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brent\Documents\Thinkful\"/>
    </mc:Choice>
  </mc:AlternateContent>
  <xr:revisionPtr revIDLastSave="0" documentId="13_ncr:1_{A30EC817-DE37-48E2-951C-88F4F908DF87}" xr6:coauthVersionLast="45" xr6:coauthVersionMax="45" xr10:uidLastSave="{00000000-0000-0000-0000-000000000000}"/>
  <bookViews>
    <workbookView xWindow="-96" yWindow="-96" windowWidth="23232" windowHeight="13992" activeTab="1" xr2:uid="{00000000-000D-0000-FFFF-FFFF00000000}"/>
  </bookViews>
  <sheets>
    <sheet name="POWER POINT (1)" sheetId="14" r:id="rId1"/>
    <sheet name="POWER POINT (2)" sheetId="11" r:id="rId2"/>
    <sheet name="POWER POINT (3)" sheetId="13" r:id="rId3"/>
    <sheet name="base_salary" sheetId="1" r:id="rId4"/>
    <sheet name="deals_closed" sheetId="2" r:id="rId5"/>
    <sheet name="2018_commission_structure" sheetId="3" r:id="rId6"/>
    <sheet name="benchmark_data" sheetId="4" r:id="rId7"/>
    <sheet name="Calculations" sheetId="5" r:id="rId8"/>
    <sheet name="Key Metrics" sheetId="6" r:id="rId9"/>
    <sheet name="Employee Database" sheetId="7" r:id="rId10"/>
    <sheet name="Job Title Database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3" l="1"/>
  <c r="H10" i="13"/>
  <c r="H9" i="13"/>
  <c r="H6" i="13"/>
  <c r="H5" i="13"/>
  <c r="B14" i="14"/>
  <c r="H10" i="14"/>
  <c r="H9" i="14"/>
  <c r="H6" i="14"/>
  <c r="H5" i="14"/>
  <c r="L5" i="14"/>
  <c r="K5" i="14"/>
  <c r="M5" i="14" s="1"/>
  <c r="L4" i="14"/>
  <c r="K4" i="14"/>
  <c r="L3" i="14"/>
  <c r="K3" i="14"/>
  <c r="M3" i="14" s="1"/>
  <c r="L5" i="13"/>
  <c r="K5" i="13"/>
  <c r="M5" i="13" s="1"/>
  <c r="L4" i="13"/>
  <c r="K4" i="13"/>
  <c r="L3" i="13"/>
  <c r="K3" i="13"/>
  <c r="M3" i="13" s="1"/>
  <c r="B14" i="11"/>
  <c r="H10" i="11"/>
  <c r="H9" i="11"/>
  <c r="H6" i="11"/>
  <c r="H5" i="11"/>
  <c r="L5" i="11"/>
  <c r="K5" i="11"/>
  <c r="M5" i="11" s="1"/>
  <c r="L4" i="11"/>
  <c r="K4" i="11"/>
  <c r="M4" i="11" s="1"/>
  <c r="L3" i="11"/>
  <c r="K3" i="11"/>
  <c r="M3" i="11" s="1"/>
  <c r="H11" i="13" l="1"/>
  <c r="H7" i="13"/>
  <c r="H11" i="14"/>
  <c r="H7" i="14"/>
  <c r="M4" i="14"/>
  <c r="M4" i="13"/>
  <c r="H11" i="11"/>
  <c r="H2" i="9"/>
  <c r="H3" i="9" s="1"/>
  <c r="H10" i="9" s="1"/>
  <c r="D6" i="9"/>
  <c r="D5" i="9"/>
  <c r="D3" i="9"/>
  <c r="D10" i="9" s="1"/>
  <c r="L4" i="9"/>
  <c r="L5" i="9"/>
  <c r="L3" i="9"/>
  <c r="K3" i="9"/>
  <c r="K4" i="9"/>
  <c r="K5" i="9"/>
  <c r="B14" i="9"/>
  <c r="F29" i="6"/>
  <c r="A931" i="5"/>
  <c r="A507" i="5"/>
  <c r="A20" i="5"/>
  <c r="A369" i="5"/>
  <c r="A884" i="5"/>
  <c r="A868" i="5"/>
  <c r="A791" i="5"/>
  <c r="A1001" i="5"/>
  <c r="A30" i="5"/>
  <c r="A429" i="5"/>
  <c r="A670" i="5"/>
  <c r="A556" i="5"/>
  <c r="A322" i="5"/>
  <c r="A103" i="5"/>
  <c r="A197" i="5"/>
  <c r="A657" i="5"/>
  <c r="A179" i="5"/>
  <c r="A795" i="5"/>
  <c r="A299" i="5"/>
  <c r="A715" i="5"/>
  <c r="A66" i="5"/>
  <c r="A847" i="5"/>
  <c r="A907" i="5"/>
  <c r="A412" i="5"/>
  <c r="A628" i="5"/>
  <c r="A716" i="5"/>
  <c r="A476" i="5"/>
  <c r="A913" i="5"/>
  <c r="A631" i="5"/>
  <c r="A849" i="5"/>
  <c r="A760" i="5"/>
  <c r="A605" i="5"/>
  <c r="A89" i="5"/>
  <c r="A350" i="5"/>
  <c r="A998" i="5"/>
  <c r="A212" i="5"/>
  <c r="A941" i="5"/>
  <c r="A878" i="5"/>
  <c r="A838" i="5"/>
  <c r="A96" i="5"/>
  <c r="A871" i="5"/>
  <c r="A543" i="5"/>
  <c r="A516" i="5"/>
  <c r="A480" i="5"/>
  <c r="A436" i="5"/>
  <c r="A742" i="5"/>
  <c r="A669" i="5"/>
  <c r="A882" i="5"/>
  <c r="A154" i="5"/>
  <c r="A306" i="5"/>
  <c r="A885" i="5"/>
  <c r="A686" i="5"/>
  <c r="A921" i="5"/>
  <c r="A362" i="5"/>
  <c r="A394" i="5"/>
  <c r="A223" i="5"/>
  <c r="A923" i="5"/>
  <c r="A673" i="5"/>
  <c r="A165" i="5"/>
  <c r="A573" i="5"/>
  <c r="A335" i="5"/>
  <c r="A447" i="5"/>
  <c r="A464" i="5"/>
  <c r="A958" i="5"/>
  <c r="A377" i="5"/>
  <c r="A655" i="5"/>
  <c r="A460" i="5"/>
  <c r="A78" i="5"/>
  <c r="A942" i="5"/>
  <c r="A836" i="5"/>
  <c r="A403" i="5"/>
  <c r="A758" i="5"/>
  <c r="A967" i="5"/>
  <c r="A525" i="5"/>
  <c r="A232" i="5"/>
  <c r="A924" i="5"/>
  <c r="A899" i="5"/>
  <c r="A532" i="5"/>
  <c r="A691" i="5"/>
  <c r="A842" i="5"/>
  <c r="A779" i="5"/>
  <c r="A706" i="5"/>
  <c r="A132" i="5"/>
  <c r="A81" i="5"/>
  <c r="A485" i="5"/>
  <c r="A796" i="5"/>
  <c r="A441" i="5"/>
  <c r="A98" i="5"/>
  <c r="A953" i="5"/>
  <c r="A347" i="5"/>
  <c r="A75" i="5"/>
  <c r="A163" i="5"/>
  <c r="A720" i="5"/>
  <c r="A582" i="5"/>
  <c r="A989" i="5"/>
  <c r="A301" i="5"/>
  <c r="A161" i="5"/>
  <c r="A763" i="5"/>
  <c r="A204" i="5"/>
  <c r="A832" i="5"/>
  <c r="A564" i="5"/>
  <c r="A351" i="5"/>
  <c r="A46" i="5"/>
  <c r="A762" i="5"/>
  <c r="A898" i="5"/>
  <c r="A806" i="5"/>
  <c r="A995" i="5"/>
  <c r="A340" i="5"/>
  <c r="A360" i="5"/>
  <c r="A900" i="5"/>
  <c r="A229" i="5"/>
  <c r="A426" i="5"/>
  <c r="A281" i="5"/>
  <c r="A726" i="5"/>
  <c r="A751" i="5"/>
  <c r="A295" i="5"/>
  <c r="A134" i="5"/>
  <c r="A949" i="5"/>
  <c r="A925" i="5"/>
  <c r="A193" i="5"/>
  <c r="A68" i="5"/>
  <c r="A569" i="5"/>
  <c r="A5" i="5"/>
  <c r="A327" i="5"/>
  <c r="A217" i="5"/>
  <c r="A276" i="5"/>
  <c r="A342" i="5"/>
  <c r="A213" i="5"/>
  <c r="A365" i="5"/>
  <c r="A535" i="5"/>
  <c r="A612" i="5"/>
  <c r="A277" i="5"/>
  <c r="A378" i="5"/>
  <c r="A901" i="5"/>
  <c r="A642" i="5"/>
  <c r="A418" i="5"/>
  <c r="A160" i="5"/>
  <c r="A415" i="5"/>
  <c r="A102" i="5"/>
  <c r="A579" i="5"/>
  <c r="A865" i="5"/>
  <c r="A363" i="5"/>
  <c r="A684" i="5"/>
  <c r="A801" i="5"/>
  <c r="A182" i="5"/>
  <c r="A870" i="5"/>
  <c r="A171" i="5"/>
  <c r="A359" i="5"/>
  <c r="A25" i="5"/>
  <c r="A803" i="5"/>
  <c r="A917" i="5"/>
  <c r="A709" i="5"/>
  <c r="A725" i="5"/>
  <c r="A181" i="5"/>
  <c r="A221" i="5"/>
  <c r="A897" i="5"/>
  <c r="A889" i="5"/>
  <c r="A6" i="5"/>
  <c r="A65" i="5"/>
  <c r="A345" i="5"/>
  <c r="A697" i="5"/>
  <c r="A266" i="5"/>
  <c r="A802" i="5"/>
  <c r="A738" i="5"/>
  <c r="A653" i="5"/>
  <c r="A343" i="5"/>
  <c r="A531" i="5"/>
  <c r="A654" i="5"/>
  <c r="A138" i="5"/>
  <c r="A743" i="5"/>
  <c r="A610" i="5"/>
  <c r="A421" i="5"/>
  <c r="A814" i="5"/>
  <c r="A280" i="5"/>
  <c r="A471" i="5"/>
  <c r="A498" i="5"/>
  <c r="A137" i="5"/>
  <c r="A93" i="5"/>
  <c r="A220" i="5"/>
  <c r="A800" i="5"/>
  <c r="A771" i="5"/>
  <c r="A140" i="5"/>
  <c r="A291" i="5"/>
  <c r="A950" i="5"/>
  <c r="A735" i="5"/>
  <c r="A733" i="5"/>
  <c r="A141" i="5"/>
  <c r="A620" i="5"/>
  <c r="A919" i="5"/>
  <c r="A70" i="5"/>
  <c r="A576" i="5"/>
  <c r="A853" i="5"/>
  <c r="A752" i="5"/>
  <c r="A548" i="5"/>
  <c r="A254" i="5"/>
  <c r="A355" i="5"/>
  <c r="A226" i="5"/>
  <c r="A664" i="5"/>
  <c r="A807" i="5"/>
  <c r="A661" i="5"/>
  <c r="A437" i="5"/>
  <c r="A681" i="5"/>
  <c r="A272" i="5"/>
  <c r="A904" i="5"/>
  <c r="A891" i="5"/>
  <c r="A63" i="5"/>
  <c r="A866" i="5"/>
  <c r="A185" i="5"/>
  <c r="A821" i="5"/>
  <c r="A224" i="5"/>
  <c r="A918" i="5"/>
  <c r="A727" i="5"/>
  <c r="A211" i="5"/>
  <c r="A506" i="5"/>
  <c r="A150" i="5"/>
  <c r="A890" i="5"/>
  <c r="A14" i="5"/>
  <c r="A82" i="5"/>
  <c r="A146" i="5"/>
  <c r="A324" i="5"/>
  <c r="A815" i="5"/>
  <c r="A902" i="5"/>
  <c r="A526" i="5"/>
  <c r="A271" i="5"/>
  <c r="A456" i="5"/>
  <c r="A124" i="5"/>
  <c r="A123" i="5"/>
  <c r="A523" i="5"/>
  <c r="A887" i="5"/>
  <c r="A31" i="5"/>
  <c r="A956" i="5"/>
  <c r="A927" i="5"/>
  <c r="A926" i="5"/>
  <c r="A309" i="5"/>
  <c r="A7" i="5"/>
  <c r="A166" i="5"/>
  <c r="A305" i="5"/>
  <c r="A390" i="5"/>
  <c r="A71" i="5"/>
  <c r="A906" i="5"/>
  <c r="A314" i="5"/>
  <c r="A677" i="5"/>
  <c r="A331" i="5"/>
  <c r="A399" i="5"/>
  <c r="A382" i="5"/>
  <c r="A230" i="5"/>
  <c r="A177" i="5"/>
  <c r="A125" i="5"/>
  <c r="A114" i="5"/>
  <c r="A505" i="5"/>
  <c r="A632" i="5"/>
  <c r="A376" i="5"/>
  <c r="A703" i="5"/>
  <c r="A234" i="5"/>
  <c r="A711" i="5"/>
  <c r="A722" i="5"/>
  <c r="A978" i="5"/>
  <c r="A2" i="5"/>
  <c r="A671" i="5"/>
  <c r="A346" i="5"/>
  <c r="A122" i="5"/>
  <c r="A486" i="5"/>
  <c r="A595" i="5"/>
  <c r="A797" i="5"/>
  <c r="A106" i="5"/>
  <c r="A155" i="5"/>
  <c r="A990" i="5"/>
  <c r="A77" i="5"/>
  <c r="A273" i="5"/>
  <c r="A979" i="5"/>
  <c r="A812" i="5"/>
  <c r="A208" i="5"/>
  <c r="A313" i="5"/>
  <c r="A930" i="5"/>
  <c r="A719" i="5"/>
  <c r="A602" i="5"/>
  <c r="A101" i="5"/>
  <c r="A333" i="5"/>
  <c r="A288" i="5"/>
  <c r="A872" i="5"/>
  <c r="A176" i="5"/>
  <c r="A203" i="5"/>
  <c r="A636" i="5"/>
  <c r="A952" i="5"/>
  <c r="A993" i="5"/>
  <c r="A538" i="5"/>
  <c r="A72" i="5"/>
  <c r="A756" i="5"/>
  <c r="A961" i="5"/>
  <c r="A406" i="5"/>
  <c r="A35" i="5"/>
  <c r="A955" i="5"/>
  <c r="A665" i="5"/>
  <c r="A275" i="5"/>
  <c r="A574" i="5"/>
  <c r="A748" i="5"/>
  <c r="A385" i="5"/>
  <c r="A453" i="5"/>
  <c r="A268" i="5"/>
  <c r="A721" i="5"/>
  <c r="A570" i="5"/>
  <c r="A474" i="5"/>
  <c r="A683" i="5"/>
  <c r="A307" i="5"/>
  <c r="A776" i="5"/>
  <c r="A477" i="5"/>
  <c r="A463" i="5"/>
  <c r="A383" i="5"/>
  <c r="A739" i="5"/>
  <c r="A937" i="5"/>
  <c r="A198" i="5"/>
  <c r="A501" i="5"/>
  <c r="A948" i="5"/>
  <c r="A965" i="5"/>
  <c r="A690" i="5"/>
  <c r="A975" i="5"/>
  <c r="A491" i="5"/>
  <c r="A674" i="5"/>
  <c r="A984" i="5"/>
  <c r="A339" i="5"/>
  <c r="A639" i="5"/>
  <c r="A705" i="5"/>
  <c r="A144" i="5"/>
  <c r="A980" i="5"/>
  <c r="A348" i="5"/>
  <c r="A380" i="5"/>
  <c r="A945" i="5"/>
  <c r="A405" i="5"/>
  <c r="A215" i="5"/>
  <c r="A38" i="5"/>
  <c r="A936" i="5"/>
  <c r="A334" i="5"/>
  <c r="A315" i="5"/>
  <c r="A749" i="5"/>
  <c r="A876" i="5"/>
  <c r="A472" i="5"/>
  <c r="A257" i="5"/>
  <c r="A201" i="5"/>
  <c r="A233" i="5"/>
  <c r="A547" i="5"/>
  <c r="A97" i="5"/>
  <c r="A613" i="5"/>
  <c r="A186" i="5"/>
  <c r="A420" i="5"/>
  <c r="A50" i="5"/>
  <c r="A259" i="5"/>
  <c r="A578" i="5"/>
  <c r="A167" i="5"/>
  <c r="A521" i="5"/>
  <c r="A283" i="5"/>
  <c r="A728" i="5"/>
  <c r="A323" i="5"/>
  <c r="A789" i="5"/>
  <c r="A235" i="5"/>
  <c r="A135" i="5"/>
  <c r="A475" i="5"/>
  <c r="A997" i="5"/>
  <c r="A386" i="5"/>
  <c r="A458" i="5"/>
  <c r="A88" i="5"/>
  <c r="A626" i="5"/>
  <c r="A932" i="5"/>
  <c r="A745" i="5"/>
  <c r="A428" i="5"/>
  <c r="A438" i="5"/>
  <c r="A36" i="5"/>
  <c r="A584" i="5"/>
  <c r="A895" i="5"/>
  <c r="A567" i="5"/>
  <c r="A373" i="5"/>
  <c r="A285" i="5"/>
  <c r="A237" i="5"/>
  <c r="A754" i="5"/>
  <c r="A780" i="5"/>
  <c r="A731" i="5"/>
  <c r="A269" i="5"/>
  <c r="A714" i="5"/>
  <c r="A504" i="5"/>
  <c r="A28" i="5"/>
  <c r="A534" i="5"/>
  <c r="A413" i="5"/>
  <c r="A400" i="5"/>
  <c r="A500" i="5"/>
  <c r="A969" i="5"/>
  <c r="A256" i="5"/>
  <c r="A787" i="5"/>
  <c r="A483" i="5"/>
  <c r="A214" i="5"/>
  <c r="A310" i="5"/>
  <c r="A790" i="5"/>
  <c r="A542" i="5"/>
  <c r="A957" i="5"/>
  <c r="A553" i="5"/>
  <c r="A591" i="5"/>
  <c r="A778" i="5"/>
  <c r="A519" i="5"/>
  <c r="A857" i="5"/>
  <c r="A544" i="5"/>
  <c r="A864" i="5"/>
  <c r="A241" i="5"/>
  <c r="A508" i="5"/>
  <c r="A51" i="5"/>
  <c r="A3" i="5"/>
  <c r="A424" i="5"/>
  <c r="A60" i="5"/>
  <c r="A886" i="5"/>
  <c r="A449" i="5"/>
  <c r="A881" i="5"/>
  <c r="A839" i="5"/>
  <c r="A192" i="5"/>
  <c r="A592" i="5"/>
  <c r="A9" i="5"/>
  <c r="A805" i="5"/>
  <c r="A190" i="5"/>
  <c r="A850" i="5"/>
  <c r="A16" i="5"/>
  <c r="A352" i="5"/>
  <c r="A238" i="5"/>
  <c r="A422" i="5"/>
  <c r="A922" i="5"/>
  <c r="A32" i="5"/>
  <c r="A708" i="5"/>
  <c r="A80" i="5"/>
  <c r="A52" i="5"/>
  <c r="A589" i="5"/>
  <c r="A788" i="5"/>
  <c r="A502" i="5"/>
  <c r="A939" i="5"/>
  <c r="A833" i="5"/>
  <c r="A407" i="5"/>
  <c r="A284" i="5"/>
  <c r="A757" i="5"/>
  <c r="A384" i="5"/>
  <c r="A23" i="5"/>
  <c r="A537" i="5"/>
  <c r="A855" i="5"/>
  <c r="A85" i="5"/>
  <c r="A87" i="5"/>
  <c r="A222" i="5"/>
  <c r="A905" i="5"/>
  <c r="A170" i="5"/>
  <c r="A484" i="5"/>
  <c r="A325" i="5"/>
  <c r="A37" i="5"/>
  <c r="A606" i="5"/>
  <c r="A466" i="5"/>
  <c r="A127" i="5"/>
  <c r="A629" i="5"/>
  <c r="A820" i="5"/>
  <c r="A8" i="5"/>
  <c r="A861" i="5"/>
  <c r="A822" i="5"/>
  <c r="A457" i="5"/>
  <c r="A698" i="5"/>
  <c r="A609" i="5"/>
  <c r="A374" i="5"/>
  <c r="A74" i="5"/>
  <c r="A202" i="5"/>
  <c r="A782" i="5"/>
  <c r="A304" i="5"/>
  <c r="A497" i="5"/>
  <c r="A180" i="5"/>
  <c r="A442" i="5"/>
  <c r="A62" i="5"/>
  <c r="A774" i="5"/>
  <c r="A189" i="5"/>
  <c r="A435" i="5"/>
  <c r="A713" i="5"/>
  <c r="A316" i="5"/>
  <c r="A47" i="5"/>
  <c r="A94" i="5"/>
  <c r="A40" i="5"/>
  <c r="A12" i="5"/>
  <c r="A4" i="5"/>
  <c r="A388" i="5"/>
  <c r="A499" i="5"/>
  <c r="A59" i="5"/>
  <c r="A994" i="5"/>
  <c r="A368" i="5"/>
  <c r="A183" i="5"/>
  <c r="A601" i="5"/>
  <c r="A227" i="5"/>
  <c r="A248" i="5"/>
  <c r="A672" i="5"/>
  <c r="A200" i="5"/>
  <c r="A22" i="5"/>
  <c r="A966" i="5"/>
  <c r="A53" i="5"/>
  <c r="A560" i="5"/>
  <c r="A302" i="5"/>
  <c r="A764" i="5"/>
  <c r="A676" i="5"/>
  <c r="A58" i="5"/>
  <c r="A888" i="5"/>
  <c r="A562" i="5"/>
  <c r="A366" i="5"/>
  <c r="A446" i="5"/>
  <c r="A943" i="5"/>
  <c r="A960" i="5"/>
  <c r="A482" i="5"/>
  <c r="A513" i="5"/>
  <c r="A264" i="5"/>
  <c r="A242" i="5"/>
  <c r="A300" i="5"/>
  <c r="A455" i="5"/>
  <c r="A379" i="5"/>
  <c r="A546" i="5"/>
  <c r="A282" i="5"/>
  <c r="A828" i="5"/>
  <c r="A243" i="5"/>
  <c r="A509" i="5"/>
  <c r="A395" i="5"/>
  <c r="A808" i="5"/>
  <c r="A555" i="5"/>
  <c r="A699" i="5"/>
  <c r="A528" i="5"/>
  <c r="A39" i="5"/>
  <c r="A147" i="5"/>
  <c r="A679" i="5"/>
  <c r="A27" i="5"/>
  <c r="A175" i="5"/>
  <c r="A933" i="5"/>
  <c r="A263" i="5"/>
  <c r="A575" i="5"/>
  <c r="A527" i="5"/>
  <c r="A992" i="5"/>
  <c r="A196" i="5"/>
  <c r="A255" i="5"/>
  <c r="A1000" i="5"/>
  <c r="A262" i="5"/>
  <c r="A834" i="5"/>
  <c r="A454" i="5"/>
  <c r="A236" i="5"/>
  <c r="A116" i="5"/>
  <c r="A503" i="5"/>
  <c r="A488" i="5"/>
  <c r="A465" i="5"/>
  <c r="A341" i="5"/>
  <c r="A24" i="5"/>
  <c r="A207" i="5"/>
  <c r="A701" i="5"/>
  <c r="A648" i="5"/>
  <c r="A844" i="5"/>
  <c r="A920" i="5"/>
  <c r="A425" i="5"/>
  <c r="A641" i="5"/>
  <c r="A867" i="5"/>
  <c r="A111" i="5"/>
  <c r="A914" i="5"/>
  <c r="A49" i="5"/>
  <c r="A490" i="5"/>
  <c r="A637" i="5"/>
  <c r="A723" i="5"/>
  <c r="A893" i="5"/>
  <c r="A643" i="5"/>
  <c r="A371" i="5"/>
  <c r="A651" i="5"/>
  <c r="A663" i="5"/>
  <c r="A869" i="5"/>
  <c r="A545" i="5"/>
  <c r="A117" i="5"/>
  <c r="A652" i="5"/>
  <c r="A292" i="5"/>
  <c r="A517" i="5"/>
  <c r="A318" i="5"/>
  <c r="A372" i="5"/>
  <c r="A656" i="5"/>
  <c r="A48" i="5"/>
  <c r="A370" i="5"/>
  <c r="A718" i="5"/>
  <c r="A794" i="5"/>
  <c r="A599" i="5"/>
  <c r="A439" i="5"/>
  <c r="A76" i="5"/>
  <c r="A970" i="5"/>
  <c r="A916" i="5"/>
  <c r="A126" i="5"/>
  <c r="A289" i="5"/>
  <c r="A840" i="5"/>
  <c r="A894" i="5"/>
  <c r="A398" i="5"/>
  <c r="A396" i="5"/>
  <c r="A740" i="5"/>
  <c r="A358" i="5"/>
  <c r="A249" i="5"/>
  <c r="A539" i="5"/>
  <c r="A638" i="5"/>
  <c r="A877" i="5"/>
  <c r="A459" i="5"/>
  <c r="A524" i="5"/>
  <c r="A761" i="5"/>
  <c r="A935" i="5"/>
  <c r="A600" i="5"/>
  <c r="A875" i="5"/>
  <c r="A971" i="5"/>
  <c r="A258" i="5"/>
  <c r="A108" i="5"/>
  <c r="A86" i="5"/>
  <c r="A159" i="5"/>
  <c r="A734" i="5"/>
  <c r="A432" i="5"/>
  <c r="A61" i="5"/>
  <c r="A29" i="5"/>
  <c r="A954" i="5"/>
  <c r="A879" i="5"/>
  <c r="A479" i="5"/>
  <c r="A157" i="5"/>
  <c r="A938" i="5"/>
  <c r="A409" i="5"/>
  <c r="A596" i="5"/>
  <c r="A633" i="5"/>
  <c r="A729" i="5"/>
  <c r="A811" i="5"/>
  <c r="A13" i="5"/>
  <c r="A825" i="5"/>
  <c r="A988" i="5"/>
  <c r="A381" i="5"/>
  <c r="A630" i="5"/>
  <c r="A45" i="5"/>
  <c r="A156" i="5"/>
  <c r="A493" i="5"/>
  <c r="A158" i="5"/>
  <c r="A737" i="5"/>
  <c r="A835" i="5"/>
  <c r="A419" i="5"/>
  <c r="A443" i="5"/>
  <c r="A174" i="5"/>
  <c r="A319" i="5"/>
  <c r="A858" i="5"/>
  <c r="A831" i="5"/>
  <c r="A18" i="5"/>
  <c r="A896" i="5"/>
  <c r="A603" i="5"/>
  <c r="A321" i="5"/>
  <c r="A843" i="5"/>
  <c r="A287" i="5"/>
  <c r="A461" i="5"/>
  <c r="A809" i="5"/>
  <c r="A44" i="5"/>
  <c r="A54" i="5"/>
  <c r="A624" i="5"/>
  <c r="A813" i="5"/>
  <c r="A947" i="5"/>
  <c r="A645" i="5"/>
  <c r="A26" i="5"/>
  <c r="A100" i="5"/>
  <c r="A707" i="5"/>
  <c r="A614" i="5"/>
  <c r="A391" i="5"/>
  <c r="A841" i="5"/>
  <c r="A644" i="5"/>
  <c r="A522" i="5"/>
  <c r="A561" i="5"/>
  <c r="A695" i="5"/>
  <c r="A387" i="5"/>
  <c r="A824" i="5"/>
  <c r="A826" i="5"/>
  <c r="A133" i="5"/>
  <c r="A199" i="5"/>
  <c r="A852" i="5"/>
  <c r="A799" i="5"/>
  <c r="A750" i="5"/>
  <c r="A540" i="5"/>
  <c r="A448" i="5"/>
  <c r="A549" i="5"/>
  <c r="A819" i="5"/>
  <c r="A929" i="5"/>
  <c r="A431" i="5"/>
  <c r="A142" i="5"/>
  <c r="A468" i="5"/>
  <c r="A15" i="5"/>
  <c r="A294" i="5"/>
  <c r="A689" i="5"/>
  <c r="A586" i="5"/>
  <c r="A73" i="5"/>
  <c r="A659" i="5"/>
  <c r="A972" i="5"/>
  <c r="A598" i="5"/>
  <c r="A153" i="5"/>
  <c r="A173" i="5"/>
  <c r="A467" i="5"/>
  <c r="A139" i="5"/>
  <c r="A773" i="5"/>
  <c r="A481" i="5"/>
  <c r="A110" i="5"/>
  <c r="A408" i="5"/>
  <c r="A767" i="5"/>
  <c r="A668" i="5"/>
  <c r="A113" i="5"/>
  <c r="A741" i="5"/>
  <c r="A344" i="5"/>
  <c r="A623" i="5"/>
  <c r="A903" i="5"/>
  <c r="A823" i="5"/>
  <c r="A511" i="5"/>
  <c r="A296" i="5"/>
  <c r="A191" i="5"/>
  <c r="A260" i="5"/>
  <c r="A188" i="5"/>
  <c r="A565" i="5"/>
  <c r="A338" i="5"/>
  <c r="A11" i="5"/>
  <c r="A245" i="5"/>
  <c r="A118" i="5"/>
  <c r="A320" i="5"/>
  <c r="A541" i="5"/>
  <c r="A115" i="5"/>
  <c r="A766" i="5"/>
  <c r="A597" i="5"/>
  <c r="A793" i="5"/>
  <c r="A361" i="5"/>
  <c r="A851" i="5"/>
  <c r="A34" i="5"/>
  <c r="A777" i="5"/>
  <c r="A172" i="5"/>
  <c r="A617" i="5"/>
  <c r="A732" i="5"/>
  <c r="A765" i="5"/>
  <c r="A755" i="5"/>
  <c r="A104" i="5"/>
  <c r="A566" i="5"/>
  <c r="A250" i="5"/>
  <c r="A389" i="5"/>
  <c r="A128" i="5"/>
  <c r="A580" i="5"/>
  <c r="A784" i="5"/>
  <c r="A267" i="5"/>
  <c r="A404" i="5"/>
  <c r="A987" i="5"/>
  <c r="A332" i="5"/>
  <c r="A56" i="5"/>
  <c r="A724" i="5"/>
  <c r="A959" i="5"/>
  <c r="A206" i="5"/>
  <c r="A349" i="5"/>
  <c r="A145" i="5"/>
  <c r="A985" i="5"/>
  <c r="A286" i="5"/>
  <c r="A112" i="5"/>
  <c r="A279" i="5"/>
  <c r="A685" i="5"/>
  <c r="A297" i="5"/>
  <c r="A619" i="5"/>
  <c r="A963" i="5"/>
  <c r="A195" i="5"/>
  <c r="A353" i="5"/>
  <c r="A184" i="5"/>
  <c r="A558" i="5"/>
  <c r="A496" i="5"/>
  <c r="A982" i="5"/>
  <c r="A55" i="5"/>
  <c r="A688" i="5"/>
  <c r="A873" i="5"/>
  <c r="A216" i="5"/>
  <c r="A650" i="5"/>
  <c r="A634" i="5"/>
  <c r="A783" i="5"/>
  <c r="A744" i="5"/>
  <c r="A660" i="5"/>
  <c r="A646" i="5"/>
  <c r="A131" i="5"/>
  <c r="A694" i="5"/>
  <c r="A616" i="5"/>
  <c r="A414" i="5"/>
  <c r="A326" i="5"/>
  <c r="A736" i="5"/>
  <c r="A692" i="5"/>
  <c r="A604" i="5"/>
  <c r="A845" i="5"/>
  <c r="A973" i="5"/>
  <c r="A759" i="5"/>
  <c r="A91" i="5"/>
  <c r="A67" i="5"/>
  <c r="A354" i="5"/>
  <c r="A696" i="5"/>
  <c r="A810" i="5"/>
  <c r="A700" i="5"/>
  <c r="A846" i="5"/>
  <c r="A829" i="5"/>
  <c r="A860" i="5"/>
  <c r="A494" i="5"/>
  <c r="A781" i="5"/>
  <c r="A702" i="5"/>
  <c r="A529" i="5"/>
  <c r="A785" i="5"/>
  <c r="A770" i="5"/>
  <c r="A445" i="5"/>
  <c r="A336" i="5"/>
  <c r="A239" i="5"/>
  <c r="A568" i="5"/>
  <c r="A514" i="5"/>
  <c r="A423" i="5"/>
  <c r="A397" i="5"/>
  <c r="A311" i="5"/>
  <c r="A253" i="5"/>
  <c r="A410" i="5"/>
  <c r="A786" i="5"/>
  <c r="A635" i="5"/>
  <c r="A205" i="5"/>
  <c r="A168" i="5"/>
  <c r="A462" i="5"/>
  <c r="A312" i="5"/>
  <c r="A261" i="5"/>
  <c r="A121" i="5"/>
  <c r="A149" i="5"/>
  <c r="A976" i="5"/>
  <c r="A666" i="5"/>
  <c r="A587" i="5"/>
  <c r="A520" i="5"/>
  <c r="A293" i="5"/>
  <c r="A308" i="5"/>
  <c r="A983" i="5"/>
  <c r="A863" i="5"/>
  <c r="A210" i="5"/>
  <c r="A550" i="5"/>
  <c r="A996" i="5"/>
  <c r="A625" i="5"/>
  <c r="A934" i="5"/>
  <c r="A164" i="5"/>
  <c r="A143" i="5"/>
  <c r="A246" i="5"/>
  <c r="A792" i="5"/>
  <c r="A854" i="5"/>
  <c r="A450" i="5"/>
  <c r="A594" i="5"/>
  <c r="A753" i="5"/>
  <c r="A862" i="5"/>
  <c r="A912" i="5"/>
  <c r="A225" i="5"/>
  <c r="A968" i="5"/>
  <c r="A84" i="5"/>
  <c r="A557" i="5"/>
  <c r="A775" i="5"/>
  <c r="A944" i="5"/>
  <c r="A977" i="5"/>
  <c r="A999" i="5"/>
  <c r="A317" i="5"/>
  <c r="A747" i="5"/>
  <c r="A148" i="5"/>
  <c r="A194" i="5"/>
  <c r="A231" i="5"/>
  <c r="A427" i="5"/>
  <c r="A712" i="5"/>
  <c r="A816" i="5"/>
  <c r="A330" i="5"/>
  <c r="A986" i="5"/>
  <c r="A563" i="5"/>
  <c r="A693" i="5"/>
  <c r="A17" i="5"/>
  <c r="A909" i="5"/>
  <c r="A772" i="5"/>
  <c r="A444" i="5"/>
  <c r="A512" i="5"/>
  <c r="A615" i="5"/>
  <c r="A478" i="5"/>
  <c r="A356" i="5"/>
  <c r="A837" i="5"/>
  <c r="A552" i="5"/>
  <c r="A43" i="5"/>
  <c r="A375" i="5"/>
  <c r="A99" i="5"/>
  <c r="A21" i="5"/>
  <c r="A607" i="5"/>
  <c r="A430" i="5"/>
  <c r="A252" i="5"/>
  <c r="A848" i="5"/>
  <c r="A827" i="5"/>
  <c r="A647" i="5"/>
  <c r="A510" i="5"/>
  <c r="A662" i="5"/>
  <c r="A411" i="5"/>
  <c r="A169" i="5"/>
  <c r="A536" i="5"/>
  <c r="A402" i="5"/>
  <c r="A274" i="5"/>
  <c r="A57" i="5"/>
  <c r="A590" i="5"/>
  <c r="A64" i="5"/>
  <c r="A717" i="5"/>
  <c r="A581" i="5"/>
  <c r="A451" i="5"/>
  <c r="A675" i="5"/>
  <c r="A830" i="5"/>
  <c r="A109" i="5"/>
  <c r="A489" i="5"/>
  <c r="A915" i="5"/>
  <c r="A244" i="5"/>
  <c r="A518" i="5"/>
  <c r="A618" i="5"/>
  <c r="A278" i="5"/>
  <c r="A804" i="5"/>
  <c r="A974" i="5"/>
  <c r="A178" i="5"/>
  <c r="A962" i="5"/>
  <c r="A530" i="5"/>
  <c r="A577" i="5"/>
  <c r="A492" i="5"/>
  <c r="A393" i="5"/>
  <c r="A746" i="5"/>
  <c r="A364" i="5"/>
  <c r="A515" i="5"/>
  <c r="A329" i="5"/>
  <c r="A130" i="5"/>
  <c r="A187" i="5"/>
  <c r="A680" i="5"/>
  <c r="A611" i="5"/>
  <c r="A105" i="5"/>
  <c r="A559" i="5"/>
  <c r="A33" i="5"/>
  <c r="A940" i="5"/>
  <c r="A119" i="5"/>
  <c r="A880" i="5"/>
  <c r="A92" i="5"/>
  <c r="A240" i="5"/>
  <c r="A487" i="5"/>
  <c r="A19" i="5"/>
  <c r="A946" i="5"/>
  <c r="A908" i="5"/>
  <c r="A928" i="5"/>
  <c r="A107" i="5"/>
  <c r="A588" i="5"/>
  <c r="A433" i="5"/>
  <c r="A219" i="5"/>
  <c r="A818" i="5"/>
  <c r="A585" i="5"/>
  <c r="A290" i="5"/>
  <c r="A337" i="5"/>
  <c r="A687" i="5"/>
  <c r="A640" i="5"/>
  <c r="A678" i="5"/>
  <c r="A911" i="5"/>
  <c r="A129" i="5"/>
  <c r="A981" i="5"/>
  <c r="A704" i="5"/>
  <c r="A649" i="5"/>
  <c r="A621" i="5"/>
  <c r="A554" i="5"/>
  <c r="A152" i="5"/>
  <c r="A627" i="5"/>
  <c r="A401" i="5"/>
  <c r="A434" i="5"/>
  <c r="A951" i="5"/>
  <c r="A571" i="5"/>
  <c r="A817" i="5"/>
  <c r="A658" i="5"/>
  <c r="A79" i="5"/>
  <c r="A10" i="5"/>
  <c r="A768" i="5"/>
  <c r="A83" i="5"/>
  <c r="A583" i="5"/>
  <c r="A265" i="5"/>
  <c r="A303" i="5"/>
  <c r="A495" i="5"/>
  <c r="A859" i="5"/>
  <c r="A593" i="5"/>
  <c r="A874" i="5"/>
  <c r="A247" i="5"/>
  <c r="A120" i="5"/>
  <c r="A469" i="5"/>
  <c r="A42" i="5"/>
  <c r="A572" i="5"/>
  <c r="A473" i="5"/>
  <c r="A892" i="5"/>
  <c r="A608" i="5"/>
  <c r="A440" i="5"/>
  <c r="A367" i="5"/>
  <c r="A856" i="5"/>
  <c r="A710" i="5"/>
  <c r="A769" i="5"/>
  <c r="A883" i="5"/>
  <c r="A622" i="5"/>
  <c r="A90" i="5"/>
  <c r="A251" i="5"/>
  <c r="A151" i="5"/>
  <c r="A470" i="5"/>
  <c r="A533" i="5"/>
  <c r="A209" i="5"/>
  <c r="A298" i="5"/>
  <c r="A730" i="5"/>
  <c r="A991" i="5"/>
  <c r="A357" i="5"/>
  <c r="A270" i="5"/>
  <c r="A452" i="5"/>
  <c r="A95" i="5"/>
  <c r="A798" i="5"/>
  <c r="A682" i="5"/>
  <c r="A218" i="5"/>
  <c r="A69" i="5"/>
  <c r="A910" i="5"/>
  <c r="A964" i="5"/>
  <c r="A551" i="5"/>
  <c r="A416" i="5"/>
  <c r="A228" i="5"/>
  <c r="A328" i="5"/>
  <c r="A392" i="5"/>
  <c r="A136" i="5"/>
  <c r="A41" i="5"/>
  <c r="A162" i="5"/>
  <c r="A667" i="5"/>
  <c r="A417" i="5"/>
  <c r="B14" i="7"/>
  <c r="H7" i="11" l="1"/>
  <c r="H5" i="9"/>
  <c r="H6" i="9"/>
  <c r="D9" i="9"/>
  <c r="D11" i="9" s="1"/>
  <c r="H9" i="9"/>
  <c r="H11" i="9" s="1"/>
  <c r="B15" i="9"/>
  <c r="D7" i="9"/>
  <c r="D3" i="7"/>
  <c r="B15" i="7" s="1"/>
  <c r="D5" i="7"/>
  <c r="H7" i="9" l="1"/>
  <c r="D10" i="7"/>
  <c r="D9" i="7"/>
  <c r="D11" i="7" s="1"/>
  <c r="F25" i="6" l="1"/>
  <c r="F23" i="6"/>
  <c r="E25" i="6"/>
  <c r="E23" i="6"/>
  <c r="G417" i="5"/>
  <c r="G931" i="5"/>
  <c r="D23" i="6"/>
  <c r="C30" i="6"/>
  <c r="C23" i="6"/>
  <c r="N8" i="6"/>
  <c r="N9" i="6"/>
  <c r="N7" i="6"/>
  <c r="B30" i="6"/>
  <c r="D30" i="6" s="1"/>
  <c r="B23" i="6"/>
  <c r="I931" i="5"/>
  <c r="I507" i="5"/>
  <c r="I20" i="5"/>
  <c r="I369" i="5"/>
  <c r="I884" i="5"/>
  <c r="I868" i="5"/>
  <c r="I791" i="5"/>
  <c r="I1001" i="5"/>
  <c r="I30" i="5"/>
  <c r="I429" i="5"/>
  <c r="I670" i="5"/>
  <c r="I556" i="5"/>
  <c r="I322" i="5"/>
  <c r="I103" i="5"/>
  <c r="I197" i="5"/>
  <c r="I657" i="5"/>
  <c r="I179" i="5"/>
  <c r="I795" i="5"/>
  <c r="I299" i="5"/>
  <c r="I715" i="5"/>
  <c r="I66" i="5"/>
  <c r="I847" i="5"/>
  <c r="I907" i="5"/>
  <c r="I412" i="5"/>
  <c r="I628" i="5"/>
  <c r="I716" i="5"/>
  <c r="I476" i="5"/>
  <c r="I913" i="5"/>
  <c r="I631" i="5"/>
  <c r="I849" i="5"/>
  <c r="I760" i="5"/>
  <c r="I605" i="5"/>
  <c r="I89" i="5"/>
  <c r="I350" i="5"/>
  <c r="I998" i="5"/>
  <c r="I212" i="5"/>
  <c r="I941" i="5"/>
  <c r="I878" i="5"/>
  <c r="I838" i="5"/>
  <c r="I96" i="5"/>
  <c r="I871" i="5"/>
  <c r="I543" i="5"/>
  <c r="I516" i="5"/>
  <c r="I480" i="5"/>
  <c r="I436" i="5"/>
  <c r="I742" i="5"/>
  <c r="I669" i="5"/>
  <c r="I882" i="5"/>
  <c r="I154" i="5"/>
  <c r="I306" i="5"/>
  <c r="I885" i="5"/>
  <c r="I686" i="5"/>
  <c r="I921" i="5"/>
  <c r="I362" i="5"/>
  <c r="I394" i="5"/>
  <c r="I223" i="5"/>
  <c r="I923" i="5"/>
  <c r="I673" i="5"/>
  <c r="I165" i="5"/>
  <c r="I573" i="5"/>
  <c r="I335" i="5"/>
  <c r="I447" i="5"/>
  <c r="I464" i="5"/>
  <c r="I958" i="5"/>
  <c r="I377" i="5"/>
  <c r="I655" i="5"/>
  <c r="I460" i="5"/>
  <c r="I78" i="5"/>
  <c r="I942" i="5"/>
  <c r="I836" i="5"/>
  <c r="I403" i="5"/>
  <c r="I758" i="5"/>
  <c r="I967" i="5"/>
  <c r="I525" i="5"/>
  <c r="I232" i="5"/>
  <c r="I924" i="5"/>
  <c r="I899" i="5"/>
  <c r="I532" i="5"/>
  <c r="I691" i="5"/>
  <c r="I842" i="5"/>
  <c r="I779" i="5"/>
  <c r="I706" i="5"/>
  <c r="I132" i="5"/>
  <c r="I81" i="5"/>
  <c r="I485" i="5"/>
  <c r="I796" i="5"/>
  <c r="I441" i="5"/>
  <c r="I98" i="5"/>
  <c r="I953" i="5"/>
  <c r="I347" i="5"/>
  <c r="I75" i="5"/>
  <c r="I163" i="5"/>
  <c r="I720" i="5"/>
  <c r="I582" i="5"/>
  <c r="I989" i="5"/>
  <c r="I301" i="5"/>
  <c r="I161" i="5"/>
  <c r="I763" i="5"/>
  <c r="I204" i="5"/>
  <c r="I832" i="5"/>
  <c r="I564" i="5"/>
  <c r="I351" i="5"/>
  <c r="I46" i="5"/>
  <c r="I762" i="5"/>
  <c r="I898" i="5"/>
  <c r="I806" i="5"/>
  <c r="I995" i="5"/>
  <c r="I340" i="5"/>
  <c r="I360" i="5"/>
  <c r="I900" i="5"/>
  <c r="I229" i="5"/>
  <c r="I426" i="5"/>
  <c r="I281" i="5"/>
  <c r="I726" i="5"/>
  <c r="I751" i="5"/>
  <c r="I295" i="5"/>
  <c r="I134" i="5"/>
  <c r="I949" i="5"/>
  <c r="I925" i="5"/>
  <c r="I193" i="5"/>
  <c r="I68" i="5"/>
  <c r="I569" i="5"/>
  <c r="I5" i="5"/>
  <c r="I327" i="5"/>
  <c r="I217" i="5"/>
  <c r="I276" i="5"/>
  <c r="I342" i="5"/>
  <c r="I213" i="5"/>
  <c r="I365" i="5"/>
  <c r="I535" i="5"/>
  <c r="I612" i="5"/>
  <c r="I277" i="5"/>
  <c r="I378" i="5"/>
  <c r="I901" i="5"/>
  <c r="I642" i="5"/>
  <c r="I418" i="5"/>
  <c r="I160" i="5"/>
  <c r="I415" i="5"/>
  <c r="I102" i="5"/>
  <c r="I579" i="5"/>
  <c r="I865" i="5"/>
  <c r="I363" i="5"/>
  <c r="I684" i="5"/>
  <c r="I801" i="5"/>
  <c r="I182" i="5"/>
  <c r="I870" i="5"/>
  <c r="I171" i="5"/>
  <c r="I359" i="5"/>
  <c r="I25" i="5"/>
  <c r="I803" i="5"/>
  <c r="I917" i="5"/>
  <c r="I709" i="5"/>
  <c r="I725" i="5"/>
  <c r="I181" i="5"/>
  <c r="I221" i="5"/>
  <c r="I897" i="5"/>
  <c r="I889" i="5"/>
  <c r="I6" i="5"/>
  <c r="I65" i="5"/>
  <c r="I345" i="5"/>
  <c r="I697" i="5"/>
  <c r="I266" i="5"/>
  <c r="I802" i="5"/>
  <c r="I738" i="5"/>
  <c r="I653" i="5"/>
  <c r="I343" i="5"/>
  <c r="I531" i="5"/>
  <c r="I654" i="5"/>
  <c r="I138" i="5"/>
  <c r="I743" i="5"/>
  <c r="I610" i="5"/>
  <c r="I421" i="5"/>
  <c r="I814" i="5"/>
  <c r="I280" i="5"/>
  <c r="I471" i="5"/>
  <c r="I498" i="5"/>
  <c r="I137" i="5"/>
  <c r="I93" i="5"/>
  <c r="I220" i="5"/>
  <c r="I800" i="5"/>
  <c r="I771" i="5"/>
  <c r="I140" i="5"/>
  <c r="I291" i="5"/>
  <c r="I950" i="5"/>
  <c r="I735" i="5"/>
  <c r="I733" i="5"/>
  <c r="I141" i="5"/>
  <c r="I620" i="5"/>
  <c r="I919" i="5"/>
  <c r="I70" i="5"/>
  <c r="I576" i="5"/>
  <c r="I853" i="5"/>
  <c r="I752" i="5"/>
  <c r="I548" i="5"/>
  <c r="I254" i="5"/>
  <c r="I355" i="5"/>
  <c r="I226" i="5"/>
  <c r="I664" i="5"/>
  <c r="I807" i="5"/>
  <c r="I661" i="5"/>
  <c r="I437" i="5"/>
  <c r="I681" i="5"/>
  <c r="I272" i="5"/>
  <c r="I904" i="5"/>
  <c r="I891" i="5"/>
  <c r="I63" i="5"/>
  <c r="I866" i="5"/>
  <c r="I185" i="5"/>
  <c r="I821" i="5"/>
  <c r="I224" i="5"/>
  <c r="I918" i="5"/>
  <c r="I727" i="5"/>
  <c r="I211" i="5"/>
  <c r="I506" i="5"/>
  <c r="I150" i="5"/>
  <c r="I890" i="5"/>
  <c r="I14" i="5"/>
  <c r="I82" i="5"/>
  <c r="I146" i="5"/>
  <c r="I324" i="5"/>
  <c r="I815" i="5"/>
  <c r="I902" i="5"/>
  <c r="I526" i="5"/>
  <c r="I271" i="5"/>
  <c r="I456" i="5"/>
  <c r="I124" i="5"/>
  <c r="I123" i="5"/>
  <c r="I523" i="5"/>
  <c r="I887" i="5"/>
  <c r="I31" i="5"/>
  <c r="I956" i="5"/>
  <c r="I927" i="5"/>
  <c r="I926" i="5"/>
  <c r="I309" i="5"/>
  <c r="I7" i="5"/>
  <c r="I166" i="5"/>
  <c r="I305" i="5"/>
  <c r="I390" i="5"/>
  <c r="I71" i="5"/>
  <c r="I906" i="5"/>
  <c r="I314" i="5"/>
  <c r="I677" i="5"/>
  <c r="I331" i="5"/>
  <c r="I399" i="5"/>
  <c r="I382" i="5"/>
  <c r="I230" i="5"/>
  <c r="I177" i="5"/>
  <c r="I125" i="5"/>
  <c r="I114" i="5"/>
  <c r="I505" i="5"/>
  <c r="I632" i="5"/>
  <c r="I376" i="5"/>
  <c r="I703" i="5"/>
  <c r="I234" i="5"/>
  <c r="I711" i="5"/>
  <c r="I722" i="5"/>
  <c r="I978" i="5"/>
  <c r="I2" i="5"/>
  <c r="I671" i="5"/>
  <c r="I346" i="5"/>
  <c r="I122" i="5"/>
  <c r="I486" i="5"/>
  <c r="I595" i="5"/>
  <c r="I797" i="5"/>
  <c r="I106" i="5"/>
  <c r="I155" i="5"/>
  <c r="I990" i="5"/>
  <c r="I77" i="5"/>
  <c r="I273" i="5"/>
  <c r="I979" i="5"/>
  <c r="I812" i="5"/>
  <c r="I208" i="5"/>
  <c r="I313" i="5"/>
  <c r="I930" i="5"/>
  <c r="I719" i="5"/>
  <c r="I602" i="5"/>
  <c r="I101" i="5"/>
  <c r="I333" i="5"/>
  <c r="I288" i="5"/>
  <c r="I872" i="5"/>
  <c r="I176" i="5"/>
  <c r="I203" i="5"/>
  <c r="I636" i="5"/>
  <c r="I952" i="5"/>
  <c r="I993" i="5"/>
  <c r="I538" i="5"/>
  <c r="I72" i="5"/>
  <c r="I756" i="5"/>
  <c r="I961" i="5"/>
  <c r="I406" i="5"/>
  <c r="I35" i="5"/>
  <c r="I955" i="5"/>
  <c r="I665" i="5"/>
  <c r="I275" i="5"/>
  <c r="I574" i="5"/>
  <c r="I748" i="5"/>
  <c r="I385" i="5"/>
  <c r="I453" i="5"/>
  <c r="I268" i="5"/>
  <c r="I721" i="5"/>
  <c r="I570" i="5"/>
  <c r="I474" i="5"/>
  <c r="I683" i="5"/>
  <c r="I307" i="5"/>
  <c r="I776" i="5"/>
  <c r="I477" i="5"/>
  <c r="I463" i="5"/>
  <c r="I383" i="5"/>
  <c r="I739" i="5"/>
  <c r="I937" i="5"/>
  <c r="I198" i="5"/>
  <c r="I501" i="5"/>
  <c r="I948" i="5"/>
  <c r="I965" i="5"/>
  <c r="I690" i="5"/>
  <c r="I975" i="5"/>
  <c r="I491" i="5"/>
  <c r="I674" i="5"/>
  <c r="I984" i="5"/>
  <c r="I339" i="5"/>
  <c r="I639" i="5"/>
  <c r="I705" i="5"/>
  <c r="I144" i="5"/>
  <c r="I980" i="5"/>
  <c r="I348" i="5"/>
  <c r="I380" i="5"/>
  <c r="I945" i="5"/>
  <c r="I405" i="5"/>
  <c r="I215" i="5"/>
  <c r="I38" i="5"/>
  <c r="I936" i="5"/>
  <c r="I334" i="5"/>
  <c r="I315" i="5"/>
  <c r="I749" i="5"/>
  <c r="I876" i="5"/>
  <c r="I472" i="5"/>
  <c r="I257" i="5"/>
  <c r="I201" i="5"/>
  <c r="I233" i="5"/>
  <c r="I547" i="5"/>
  <c r="I97" i="5"/>
  <c r="I613" i="5"/>
  <c r="I186" i="5"/>
  <c r="I420" i="5"/>
  <c r="I50" i="5"/>
  <c r="I259" i="5"/>
  <c r="I578" i="5"/>
  <c r="I167" i="5"/>
  <c r="I521" i="5"/>
  <c r="I283" i="5"/>
  <c r="I728" i="5"/>
  <c r="I323" i="5"/>
  <c r="I789" i="5"/>
  <c r="I235" i="5"/>
  <c r="I135" i="5"/>
  <c r="I475" i="5"/>
  <c r="I997" i="5"/>
  <c r="I386" i="5"/>
  <c r="I458" i="5"/>
  <c r="I88" i="5"/>
  <c r="I626" i="5"/>
  <c r="I932" i="5"/>
  <c r="I745" i="5"/>
  <c r="I428" i="5"/>
  <c r="I438" i="5"/>
  <c r="I36" i="5"/>
  <c r="I584" i="5"/>
  <c r="I895" i="5"/>
  <c r="I567" i="5"/>
  <c r="I373" i="5"/>
  <c r="I285" i="5"/>
  <c r="I237" i="5"/>
  <c r="I754" i="5"/>
  <c r="I780" i="5"/>
  <c r="I731" i="5"/>
  <c r="I269" i="5"/>
  <c r="I714" i="5"/>
  <c r="I504" i="5"/>
  <c r="I28" i="5"/>
  <c r="I534" i="5"/>
  <c r="I413" i="5"/>
  <c r="I400" i="5"/>
  <c r="I500" i="5"/>
  <c r="I969" i="5"/>
  <c r="I256" i="5"/>
  <c r="I787" i="5"/>
  <c r="I483" i="5"/>
  <c r="I214" i="5"/>
  <c r="I310" i="5"/>
  <c r="I790" i="5"/>
  <c r="I542" i="5"/>
  <c r="I957" i="5"/>
  <c r="I553" i="5"/>
  <c r="I591" i="5"/>
  <c r="I778" i="5"/>
  <c r="I519" i="5"/>
  <c r="I857" i="5"/>
  <c r="I544" i="5"/>
  <c r="I864" i="5"/>
  <c r="I241" i="5"/>
  <c r="I508" i="5"/>
  <c r="I51" i="5"/>
  <c r="I3" i="5"/>
  <c r="I424" i="5"/>
  <c r="I60" i="5"/>
  <c r="I886" i="5"/>
  <c r="I449" i="5"/>
  <c r="I881" i="5"/>
  <c r="I839" i="5"/>
  <c r="I192" i="5"/>
  <c r="I592" i="5"/>
  <c r="I9" i="5"/>
  <c r="I805" i="5"/>
  <c r="I190" i="5"/>
  <c r="I850" i="5"/>
  <c r="I16" i="5"/>
  <c r="I352" i="5"/>
  <c r="I238" i="5"/>
  <c r="I422" i="5"/>
  <c r="I922" i="5"/>
  <c r="I32" i="5"/>
  <c r="I708" i="5"/>
  <c r="I80" i="5"/>
  <c r="I52" i="5"/>
  <c r="I589" i="5"/>
  <c r="I788" i="5"/>
  <c r="I502" i="5"/>
  <c r="I939" i="5"/>
  <c r="I833" i="5"/>
  <c r="I407" i="5"/>
  <c r="I284" i="5"/>
  <c r="I757" i="5"/>
  <c r="I384" i="5"/>
  <c r="I23" i="5"/>
  <c r="I537" i="5"/>
  <c r="I855" i="5"/>
  <c r="I85" i="5"/>
  <c r="I87" i="5"/>
  <c r="I222" i="5"/>
  <c r="I905" i="5"/>
  <c r="I170" i="5"/>
  <c r="I484" i="5"/>
  <c r="I325" i="5"/>
  <c r="I37" i="5"/>
  <c r="I606" i="5"/>
  <c r="I466" i="5"/>
  <c r="I127" i="5"/>
  <c r="I629" i="5"/>
  <c r="I820" i="5"/>
  <c r="I8" i="5"/>
  <c r="I861" i="5"/>
  <c r="I822" i="5"/>
  <c r="I457" i="5"/>
  <c r="I698" i="5"/>
  <c r="I609" i="5"/>
  <c r="I374" i="5"/>
  <c r="I74" i="5"/>
  <c r="I202" i="5"/>
  <c r="I782" i="5"/>
  <c r="I304" i="5"/>
  <c r="I497" i="5"/>
  <c r="I180" i="5"/>
  <c r="I442" i="5"/>
  <c r="I62" i="5"/>
  <c r="I774" i="5"/>
  <c r="I189" i="5"/>
  <c r="I435" i="5"/>
  <c r="I713" i="5"/>
  <c r="I316" i="5"/>
  <c r="I47" i="5"/>
  <c r="I94" i="5"/>
  <c r="I40" i="5"/>
  <c r="I12" i="5"/>
  <c r="I4" i="5"/>
  <c r="I388" i="5"/>
  <c r="I499" i="5"/>
  <c r="I59" i="5"/>
  <c r="I994" i="5"/>
  <c r="I368" i="5"/>
  <c r="I183" i="5"/>
  <c r="I601" i="5"/>
  <c r="I227" i="5"/>
  <c r="I248" i="5"/>
  <c r="I672" i="5"/>
  <c r="I200" i="5"/>
  <c r="I22" i="5"/>
  <c r="I966" i="5"/>
  <c r="I53" i="5"/>
  <c r="I560" i="5"/>
  <c r="I302" i="5"/>
  <c r="I764" i="5"/>
  <c r="I676" i="5"/>
  <c r="I58" i="5"/>
  <c r="I888" i="5"/>
  <c r="I562" i="5"/>
  <c r="I366" i="5"/>
  <c r="I446" i="5"/>
  <c r="I943" i="5"/>
  <c r="I960" i="5"/>
  <c r="I482" i="5"/>
  <c r="I513" i="5"/>
  <c r="I264" i="5"/>
  <c r="I242" i="5"/>
  <c r="I300" i="5"/>
  <c r="I455" i="5"/>
  <c r="I379" i="5"/>
  <c r="I546" i="5"/>
  <c r="I282" i="5"/>
  <c r="I828" i="5"/>
  <c r="I243" i="5"/>
  <c r="I509" i="5"/>
  <c r="I395" i="5"/>
  <c r="I808" i="5"/>
  <c r="I555" i="5"/>
  <c r="I699" i="5"/>
  <c r="I528" i="5"/>
  <c r="I39" i="5"/>
  <c r="I147" i="5"/>
  <c r="I679" i="5"/>
  <c r="I27" i="5"/>
  <c r="I175" i="5"/>
  <c r="I933" i="5"/>
  <c r="I263" i="5"/>
  <c r="I575" i="5"/>
  <c r="I527" i="5"/>
  <c r="I992" i="5"/>
  <c r="I196" i="5"/>
  <c r="I255" i="5"/>
  <c r="I1000" i="5"/>
  <c r="I262" i="5"/>
  <c r="I834" i="5"/>
  <c r="I454" i="5"/>
  <c r="I236" i="5"/>
  <c r="I116" i="5"/>
  <c r="I503" i="5"/>
  <c r="I488" i="5"/>
  <c r="I465" i="5"/>
  <c r="I341" i="5"/>
  <c r="I24" i="5"/>
  <c r="I207" i="5"/>
  <c r="I701" i="5"/>
  <c r="I648" i="5"/>
  <c r="I844" i="5"/>
  <c r="I920" i="5"/>
  <c r="I425" i="5"/>
  <c r="I641" i="5"/>
  <c r="I867" i="5"/>
  <c r="I111" i="5"/>
  <c r="I914" i="5"/>
  <c r="I49" i="5"/>
  <c r="I490" i="5"/>
  <c r="I637" i="5"/>
  <c r="I723" i="5"/>
  <c r="I893" i="5"/>
  <c r="I643" i="5"/>
  <c r="I371" i="5"/>
  <c r="I651" i="5"/>
  <c r="I663" i="5"/>
  <c r="I869" i="5"/>
  <c r="I545" i="5"/>
  <c r="I117" i="5"/>
  <c r="I652" i="5"/>
  <c r="I292" i="5"/>
  <c r="I517" i="5"/>
  <c r="I318" i="5"/>
  <c r="I372" i="5"/>
  <c r="I656" i="5"/>
  <c r="I48" i="5"/>
  <c r="I370" i="5"/>
  <c r="I718" i="5"/>
  <c r="I794" i="5"/>
  <c r="I599" i="5"/>
  <c r="I439" i="5"/>
  <c r="I76" i="5"/>
  <c r="I970" i="5"/>
  <c r="I916" i="5"/>
  <c r="I126" i="5"/>
  <c r="I289" i="5"/>
  <c r="I840" i="5"/>
  <c r="I894" i="5"/>
  <c r="I398" i="5"/>
  <c r="I396" i="5"/>
  <c r="I740" i="5"/>
  <c r="I358" i="5"/>
  <c r="I249" i="5"/>
  <c r="I539" i="5"/>
  <c r="I638" i="5"/>
  <c r="I877" i="5"/>
  <c r="I459" i="5"/>
  <c r="I524" i="5"/>
  <c r="I761" i="5"/>
  <c r="I935" i="5"/>
  <c r="I600" i="5"/>
  <c r="I875" i="5"/>
  <c r="I971" i="5"/>
  <c r="I258" i="5"/>
  <c r="I108" i="5"/>
  <c r="I86" i="5"/>
  <c r="I159" i="5"/>
  <c r="I734" i="5"/>
  <c r="I432" i="5"/>
  <c r="I61" i="5"/>
  <c r="I29" i="5"/>
  <c r="I954" i="5"/>
  <c r="I879" i="5"/>
  <c r="I479" i="5"/>
  <c r="I157" i="5"/>
  <c r="I938" i="5"/>
  <c r="I409" i="5"/>
  <c r="I596" i="5"/>
  <c r="I633" i="5"/>
  <c r="I729" i="5"/>
  <c r="I811" i="5"/>
  <c r="I13" i="5"/>
  <c r="I825" i="5"/>
  <c r="I988" i="5"/>
  <c r="I381" i="5"/>
  <c r="I630" i="5"/>
  <c r="I45" i="5"/>
  <c r="I156" i="5"/>
  <c r="I493" i="5"/>
  <c r="I158" i="5"/>
  <c r="I737" i="5"/>
  <c r="I835" i="5"/>
  <c r="I419" i="5"/>
  <c r="I443" i="5"/>
  <c r="I174" i="5"/>
  <c r="I319" i="5"/>
  <c r="I858" i="5"/>
  <c r="I831" i="5"/>
  <c r="I18" i="5"/>
  <c r="I896" i="5"/>
  <c r="I603" i="5"/>
  <c r="I321" i="5"/>
  <c r="I843" i="5"/>
  <c r="I287" i="5"/>
  <c r="I461" i="5"/>
  <c r="I809" i="5"/>
  <c r="I44" i="5"/>
  <c r="I54" i="5"/>
  <c r="I624" i="5"/>
  <c r="I813" i="5"/>
  <c r="I947" i="5"/>
  <c r="I645" i="5"/>
  <c r="I26" i="5"/>
  <c r="I100" i="5"/>
  <c r="I707" i="5"/>
  <c r="I614" i="5"/>
  <c r="I391" i="5"/>
  <c r="I841" i="5"/>
  <c r="I644" i="5"/>
  <c r="I522" i="5"/>
  <c r="I561" i="5"/>
  <c r="I695" i="5"/>
  <c r="I387" i="5"/>
  <c r="I824" i="5"/>
  <c r="I826" i="5"/>
  <c r="I133" i="5"/>
  <c r="I199" i="5"/>
  <c r="I852" i="5"/>
  <c r="I799" i="5"/>
  <c r="I750" i="5"/>
  <c r="I540" i="5"/>
  <c r="I448" i="5"/>
  <c r="I549" i="5"/>
  <c r="I819" i="5"/>
  <c r="I929" i="5"/>
  <c r="I431" i="5"/>
  <c r="I142" i="5"/>
  <c r="I468" i="5"/>
  <c r="I15" i="5"/>
  <c r="I294" i="5"/>
  <c r="I689" i="5"/>
  <c r="I586" i="5"/>
  <c r="I73" i="5"/>
  <c r="I659" i="5"/>
  <c r="I972" i="5"/>
  <c r="I598" i="5"/>
  <c r="I153" i="5"/>
  <c r="I173" i="5"/>
  <c r="I467" i="5"/>
  <c r="I139" i="5"/>
  <c r="I773" i="5"/>
  <c r="I481" i="5"/>
  <c r="I110" i="5"/>
  <c r="I408" i="5"/>
  <c r="I767" i="5"/>
  <c r="I668" i="5"/>
  <c r="I113" i="5"/>
  <c r="I741" i="5"/>
  <c r="I344" i="5"/>
  <c r="I623" i="5"/>
  <c r="I903" i="5"/>
  <c r="I823" i="5"/>
  <c r="I511" i="5"/>
  <c r="I296" i="5"/>
  <c r="I191" i="5"/>
  <c r="I260" i="5"/>
  <c r="I188" i="5"/>
  <c r="I565" i="5"/>
  <c r="I338" i="5"/>
  <c r="I11" i="5"/>
  <c r="I245" i="5"/>
  <c r="I118" i="5"/>
  <c r="I320" i="5"/>
  <c r="I541" i="5"/>
  <c r="I115" i="5"/>
  <c r="I766" i="5"/>
  <c r="I597" i="5"/>
  <c r="I793" i="5"/>
  <c r="I361" i="5"/>
  <c r="I851" i="5"/>
  <c r="I34" i="5"/>
  <c r="I777" i="5"/>
  <c r="I172" i="5"/>
  <c r="I617" i="5"/>
  <c r="I732" i="5"/>
  <c r="I765" i="5"/>
  <c r="I755" i="5"/>
  <c r="I104" i="5"/>
  <c r="I566" i="5"/>
  <c r="I250" i="5"/>
  <c r="I389" i="5"/>
  <c r="I128" i="5"/>
  <c r="I580" i="5"/>
  <c r="I784" i="5"/>
  <c r="I267" i="5"/>
  <c r="I404" i="5"/>
  <c r="I987" i="5"/>
  <c r="I332" i="5"/>
  <c r="I56" i="5"/>
  <c r="I724" i="5"/>
  <c r="I959" i="5"/>
  <c r="I206" i="5"/>
  <c r="I349" i="5"/>
  <c r="I145" i="5"/>
  <c r="I985" i="5"/>
  <c r="I286" i="5"/>
  <c r="I112" i="5"/>
  <c r="I279" i="5"/>
  <c r="I685" i="5"/>
  <c r="I297" i="5"/>
  <c r="I619" i="5"/>
  <c r="I963" i="5"/>
  <c r="I195" i="5"/>
  <c r="I353" i="5"/>
  <c r="I184" i="5"/>
  <c r="I558" i="5"/>
  <c r="I496" i="5"/>
  <c r="I982" i="5"/>
  <c r="I55" i="5"/>
  <c r="I688" i="5"/>
  <c r="I873" i="5"/>
  <c r="I216" i="5"/>
  <c r="I650" i="5"/>
  <c r="I634" i="5"/>
  <c r="I783" i="5"/>
  <c r="I744" i="5"/>
  <c r="I660" i="5"/>
  <c r="I646" i="5"/>
  <c r="I131" i="5"/>
  <c r="I694" i="5"/>
  <c r="I616" i="5"/>
  <c r="I414" i="5"/>
  <c r="I326" i="5"/>
  <c r="I736" i="5"/>
  <c r="I692" i="5"/>
  <c r="I604" i="5"/>
  <c r="I845" i="5"/>
  <c r="I973" i="5"/>
  <c r="I759" i="5"/>
  <c r="I91" i="5"/>
  <c r="I67" i="5"/>
  <c r="I354" i="5"/>
  <c r="I696" i="5"/>
  <c r="I810" i="5"/>
  <c r="I700" i="5"/>
  <c r="I846" i="5"/>
  <c r="I829" i="5"/>
  <c r="I860" i="5"/>
  <c r="I494" i="5"/>
  <c r="I781" i="5"/>
  <c r="I702" i="5"/>
  <c r="I529" i="5"/>
  <c r="I785" i="5"/>
  <c r="I770" i="5"/>
  <c r="I445" i="5"/>
  <c r="I336" i="5"/>
  <c r="I239" i="5"/>
  <c r="I568" i="5"/>
  <c r="I514" i="5"/>
  <c r="I423" i="5"/>
  <c r="I397" i="5"/>
  <c r="I311" i="5"/>
  <c r="I253" i="5"/>
  <c r="I410" i="5"/>
  <c r="I786" i="5"/>
  <c r="I635" i="5"/>
  <c r="I205" i="5"/>
  <c r="I168" i="5"/>
  <c r="I462" i="5"/>
  <c r="I312" i="5"/>
  <c r="I261" i="5"/>
  <c r="I121" i="5"/>
  <c r="I149" i="5"/>
  <c r="I976" i="5"/>
  <c r="I666" i="5"/>
  <c r="I587" i="5"/>
  <c r="I520" i="5"/>
  <c r="I293" i="5"/>
  <c r="I308" i="5"/>
  <c r="I983" i="5"/>
  <c r="I863" i="5"/>
  <c r="I210" i="5"/>
  <c r="I550" i="5"/>
  <c r="I996" i="5"/>
  <c r="I625" i="5"/>
  <c r="I934" i="5"/>
  <c r="I164" i="5"/>
  <c r="I143" i="5"/>
  <c r="I246" i="5"/>
  <c r="I792" i="5"/>
  <c r="I854" i="5"/>
  <c r="I450" i="5"/>
  <c r="I594" i="5"/>
  <c r="I753" i="5"/>
  <c r="I862" i="5"/>
  <c r="I912" i="5"/>
  <c r="I225" i="5"/>
  <c r="I968" i="5"/>
  <c r="I84" i="5"/>
  <c r="I557" i="5"/>
  <c r="I775" i="5"/>
  <c r="I944" i="5"/>
  <c r="I977" i="5"/>
  <c r="I999" i="5"/>
  <c r="I317" i="5"/>
  <c r="I747" i="5"/>
  <c r="I148" i="5"/>
  <c r="I194" i="5"/>
  <c r="I231" i="5"/>
  <c r="I427" i="5"/>
  <c r="I712" i="5"/>
  <c r="I816" i="5"/>
  <c r="I330" i="5"/>
  <c r="I986" i="5"/>
  <c r="I563" i="5"/>
  <c r="I693" i="5"/>
  <c r="I17" i="5"/>
  <c r="I909" i="5"/>
  <c r="I772" i="5"/>
  <c r="I444" i="5"/>
  <c r="I512" i="5"/>
  <c r="I615" i="5"/>
  <c r="I478" i="5"/>
  <c r="I356" i="5"/>
  <c r="I837" i="5"/>
  <c r="I552" i="5"/>
  <c r="I43" i="5"/>
  <c r="I375" i="5"/>
  <c r="I99" i="5"/>
  <c r="I21" i="5"/>
  <c r="I607" i="5"/>
  <c r="I430" i="5"/>
  <c r="I252" i="5"/>
  <c r="I848" i="5"/>
  <c r="I827" i="5"/>
  <c r="I647" i="5"/>
  <c r="I510" i="5"/>
  <c r="I662" i="5"/>
  <c r="I411" i="5"/>
  <c r="I169" i="5"/>
  <c r="I536" i="5"/>
  <c r="I402" i="5"/>
  <c r="I274" i="5"/>
  <c r="I57" i="5"/>
  <c r="I590" i="5"/>
  <c r="I64" i="5"/>
  <c r="I717" i="5"/>
  <c r="I581" i="5"/>
  <c r="I451" i="5"/>
  <c r="I675" i="5"/>
  <c r="I830" i="5"/>
  <c r="I109" i="5"/>
  <c r="I489" i="5"/>
  <c r="I915" i="5"/>
  <c r="I244" i="5"/>
  <c r="I518" i="5"/>
  <c r="I618" i="5"/>
  <c r="I278" i="5"/>
  <c r="I804" i="5"/>
  <c r="I974" i="5"/>
  <c r="I178" i="5"/>
  <c r="I962" i="5"/>
  <c r="I530" i="5"/>
  <c r="I577" i="5"/>
  <c r="I492" i="5"/>
  <c r="I393" i="5"/>
  <c r="I746" i="5"/>
  <c r="I364" i="5"/>
  <c r="I515" i="5"/>
  <c r="I329" i="5"/>
  <c r="I130" i="5"/>
  <c r="I187" i="5"/>
  <c r="I680" i="5"/>
  <c r="I611" i="5"/>
  <c r="I105" i="5"/>
  <c r="I559" i="5"/>
  <c r="I33" i="5"/>
  <c r="I940" i="5"/>
  <c r="I119" i="5"/>
  <c r="I880" i="5"/>
  <c r="I92" i="5"/>
  <c r="I240" i="5"/>
  <c r="I487" i="5"/>
  <c r="I19" i="5"/>
  <c r="I946" i="5"/>
  <c r="I908" i="5"/>
  <c r="I928" i="5"/>
  <c r="I107" i="5"/>
  <c r="I588" i="5"/>
  <c r="I433" i="5"/>
  <c r="I219" i="5"/>
  <c r="I818" i="5"/>
  <c r="I585" i="5"/>
  <c r="I290" i="5"/>
  <c r="I337" i="5"/>
  <c r="I687" i="5"/>
  <c r="I640" i="5"/>
  <c r="I678" i="5"/>
  <c r="I911" i="5"/>
  <c r="I129" i="5"/>
  <c r="I981" i="5"/>
  <c r="I704" i="5"/>
  <c r="I649" i="5"/>
  <c r="I621" i="5"/>
  <c r="I554" i="5"/>
  <c r="I152" i="5"/>
  <c r="I627" i="5"/>
  <c r="I401" i="5"/>
  <c r="I434" i="5"/>
  <c r="I951" i="5"/>
  <c r="I571" i="5"/>
  <c r="I817" i="5"/>
  <c r="I658" i="5"/>
  <c r="I79" i="5"/>
  <c r="I10" i="5"/>
  <c r="I768" i="5"/>
  <c r="I83" i="5"/>
  <c r="I583" i="5"/>
  <c r="I265" i="5"/>
  <c r="I303" i="5"/>
  <c r="I495" i="5"/>
  <c r="I859" i="5"/>
  <c r="I593" i="5"/>
  <c r="I874" i="5"/>
  <c r="I247" i="5"/>
  <c r="I120" i="5"/>
  <c r="I469" i="5"/>
  <c r="I42" i="5"/>
  <c r="I572" i="5"/>
  <c r="I473" i="5"/>
  <c r="I892" i="5"/>
  <c r="I608" i="5"/>
  <c r="I440" i="5"/>
  <c r="I367" i="5"/>
  <c r="I856" i="5"/>
  <c r="I710" i="5"/>
  <c r="I769" i="5"/>
  <c r="I883" i="5"/>
  <c r="I622" i="5"/>
  <c r="I90" i="5"/>
  <c r="I251" i="5"/>
  <c r="I151" i="5"/>
  <c r="I470" i="5"/>
  <c r="I533" i="5"/>
  <c r="I209" i="5"/>
  <c r="I298" i="5"/>
  <c r="I730" i="5"/>
  <c r="I991" i="5"/>
  <c r="I357" i="5"/>
  <c r="I270" i="5"/>
  <c r="I452" i="5"/>
  <c r="I95" i="5"/>
  <c r="I798" i="5"/>
  <c r="I682" i="5"/>
  <c r="I218" i="5"/>
  <c r="I69" i="5"/>
  <c r="I910" i="5"/>
  <c r="I964" i="5"/>
  <c r="I551" i="5"/>
  <c r="I416" i="5"/>
  <c r="I228" i="5"/>
  <c r="I328" i="5"/>
  <c r="I392" i="5"/>
  <c r="I136" i="5"/>
  <c r="I41" i="5"/>
  <c r="I162" i="5"/>
  <c r="I667" i="5"/>
  <c r="I417" i="5"/>
  <c r="H931" i="5"/>
  <c r="H507" i="5"/>
  <c r="H20" i="5"/>
  <c r="H369" i="5"/>
  <c r="H884" i="5"/>
  <c r="H868" i="5"/>
  <c r="H791" i="5"/>
  <c r="H1001" i="5"/>
  <c r="H30" i="5"/>
  <c r="H429" i="5"/>
  <c r="H670" i="5"/>
  <c r="H556" i="5"/>
  <c r="H322" i="5"/>
  <c r="H103" i="5"/>
  <c r="H197" i="5"/>
  <c r="H657" i="5"/>
  <c r="H179" i="5"/>
  <c r="H795" i="5"/>
  <c r="H299" i="5"/>
  <c r="H715" i="5"/>
  <c r="H66" i="5"/>
  <c r="H847" i="5"/>
  <c r="H907" i="5"/>
  <c r="H412" i="5"/>
  <c r="H628" i="5"/>
  <c r="H716" i="5"/>
  <c r="H476" i="5"/>
  <c r="H913" i="5"/>
  <c r="H631" i="5"/>
  <c r="H849" i="5"/>
  <c r="H760" i="5"/>
  <c r="H605" i="5"/>
  <c r="H89" i="5"/>
  <c r="H350" i="5"/>
  <c r="H998" i="5"/>
  <c r="H212" i="5"/>
  <c r="H941" i="5"/>
  <c r="H878" i="5"/>
  <c r="H838" i="5"/>
  <c r="H96" i="5"/>
  <c r="H871" i="5"/>
  <c r="H543" i="5"/>
  <c r="H516" i="5"/>
  <c r="H480" i="5"/>
  <c r="H436" i="5"/>
  <c r="H742" i="5"/>
  <c r="H669" i="5"/>
  <c r="H882" i="5"/>
  <c r="H154" i="5"/>
  <c r="H306" i="5"/>
  <c r="H885" i="5"/>
  <c r="H686" i="5"/>
  <c r="H921" i="5"/>
  <c r="H362" i="5"/>
  <c r="H394" i="5"/>
  <c r="H223" i="5"/>
  <c r="H923" i="5"/>
  <c r="H673" i="5"/>
  <c r="H165" i="5"/>
  <c r="H573" i="5"/>
  <c r="H335" i="5"/>
  <c r="H447" i="5"/>
  <c r="H464" i="5"/>
  <c r="H958" i="5"/>
  <c r="H377" i="5"/>
  <c r="H655" i="5"/>
  <c r="H460" i="5"/>
  <c r="H78" i="5"/>
  <c r="H942" i="5"/>
  <c r="H836" i="5"/>
  <c r="H403" i="5"/>
  <c r="H758" i="5"/>
  <c r="H967" i="5"/>
  <c r="H525" i="5"/>
  <c r="H232" i="5"/>
  <c r="H924" i="5"/>
  <c r="H899" i="5"/>
  <c r="H532" i="5"/>
  <c r="H691" i="5"/>
  <c r="H842" i="5"/>
  <c r="H779" i="5"/>
  <c r="H706" i="5"/>
  <c r="H132" i="5"/>
  <c r="H81" i="5"/>
  <c r="H485" i="5"/>
  <c r="H796" i="5"/>
  <c r="H441" i="5"/>
  <c r="H98" i="5"/>
  <c r="H953" i="5"/>
  <c r="H347" i="5"/>
  <c r="H75" i="5"/>
  <c r="H163" i="5"/>
  <c r="H720" i="5"/>
  <c r="H582" i="5"/>
  <c r="H989" i="5"/>
  <c r="H301" i="5"/>
  <c r="H161" i="5"/>
  <c r="H763" i="5"/>
  <c r="H204" i="5"/>
  <c r="H832" i="5"/>
  <c r="H564" i="5"/>
  <c r="H351" i="5"/>
  <c r="H46" i="5"/>
  <c r="H762" i="5"/>
  <c r="H898" i="5"/>
  <c r="H806" i="5"/>
  <c r="H995" i="5"/>
  <c r="H340" i="5"/>
  <c r="H360" i="5"/>
  <c r="H900" i="5"/>
  <c r="H229" i="5"/>
  <c r="H426" i="5"/>
  <c r="H281" i="5"/>
  <c r="H726" i="5"/>
  <c r="H751" i="5"/>
  <c r="H295" i="5"/>
  <c r="H134" i="5"/>
  <c r="H949" i="5"/>
  <c r="H925" i="5"/>
  <c r="H193" i="5"/>
  <c r="H68" i="5"/>
  <c r="H569" i="5"/>
  <c r="H5" i="5"/>
  <c r="H327" i="5"/>
  <c r="H217" i="5"/>
  <c r="H276" i="5"/>
  <c r="H342" i="5"/>
  <c r="H213" i="5"/>
  <c r="H365" i="5"/>
  <c r="H535" i="5"/>
  <c r="H612" i="5"/>
  <c r="H277" i="5"/>
  <c r="H378" i="5"/>
  <c r="H901" i="5"/>
  <c r="H642" i="5"/>
  <c r="H418" i="5"/>
  <c r="H160" i="5"/>
  <c r="H415" i="5"/>
  <c r="H102" i="5"/>
  <c r="H579" i="5"/>
  <c r="H865" i="5"/>
  <c r="H363" i="5"/>
  <c r="H684" i="5"/>
  <c r="H801" i="5"/>
  <c r="H182" i="5"/>
  <c r="H870" i="5"/>
  <c r="H171" i="5"/>
  <c r="H359" i="5"/>
  <c r="H25" i="5"/>
  <c r="H803" i="5"/>
  <c r="H917" i="5"/>
  <c r="H709" i="5"/>
  <c r="H725" i="5"/>
  <c r="H181" i="5"/>
  <c r="H221" i="5"/>
  <c r="H897" i="5"/>
  <c r="H889" i="5"/>
  <c r="H6" i="5"/>
  <c r="H65" i="5"/>
  <c r="H345" i="5"/>
  <c r="H697" i="5"/>
  <c r="H266" i="5"/>
  <c r="H802" i="5"/>
  <c r="H738" i="5"/>
  <c r="H653" i="5"/>
  <c r="H343" i="5"/>
  <c r="H531" i="5"/>
  <c r="H654" i="5"/>
  <c r="H138" i="5"/>
  <c r="H743" i="5"/>
  <c r="H610" i="5"/>
  <c r="H421" i="5"/>
  <c r="H814" i="5"/>
  <c r="H280" i="5"/>
  <c r="H471" i="5"/>
  <c r="H498" i="5"/>
  <c r="H137" i="5"/>
  <c r="H93" i="5"/>
  <c r="H220" i="5"/>
  <c r="H800" i="5"/>
  <c r="H771" i="5"/>
  <c r="H140" i="5"/>
  <c r="H291" i="5"/>
  <c r="H950" i="5"/>
  <c r="H735" i="5"/>
  <c r="H733" i="5"/>
  <c r="H141" i="5"/>
  <c r="H620" i="5"/>
  <c r="H919" i="5"/>
  <c r="H70" i="5"/>
  <c r="H576" i="5"/>
  <c r="H853" i="5"/>
  <c r="H752" i="5"/>
  <c r="H548" i="5"/>
  <c r="H254" i="5"/>
  <c r="H355" i="5"/>
  <c r="H226" i="5"/>
  <c r="H664" i="5"/>
  <c r="H807" i="5"/>
  <c r="H661" i="5"/>
  <c r="H437" i="5"/>
  <c r="H681" i="5"/>
  <c r="H272" i="5"/>
  <c r="H904" i="5"/>
  <c r="H891" i="5"/>
  <c r="H63" i="5"/>
  <c r="H866" i="5"/>
  <c r="H185" i="5"/>
  <c r="H821" i="5"/>
  <c r="H224" i="5"/>
  <c r="H918" i="5"/>
  <c r="H727" i="5"/>
  <c r="H211" i="5"/>
  <c r="H506" i="5"/>
  <c r="H150" i="5"/>
  <c r="H890" i="5"/>
  <c r="H14" i="5"/>
  <c r="H82" i="5"/>
  <c r="H146" i="5"/>
  <c r="H324" i="5"/>
  <c r="H815" i="5"/>
  <c r="H902" i="5"/>
  <c r="H526" i="5"/>
  <c r="H271" i="5"/>
  <c r="H456" i="5"/>
  <c r="H124" i="5"/>
  <c r="H123" i="5"/>
  <c r="H523" i="5"/>
  <c r="H887" i="5"/>
  <c r="H31" i="5"/>
  <c r="H956" i="5"/>
  <c r="H927" i="5"/>
  <c r="H926" i="5"/>
  <c r="H309" i="5"/>
  <c r="H7" i="5"/>
  <c r="H166" i="5"/>
  <c r="H305" i="5"/>
  <c r="H390" i="5"/>
  <c r="H71" i="5"/>
  <c r="H906" i="5"/>
  <c r="H314" i="5"/>
  <c r="H677" i="5"/>
  <c r="H331" i="5"/>
  <c r="H399" i="5"/>
  <c r="H382" i="5"/>
  <c r="H230" i="5"/>
  <c r="H177" i="5"/>
  <c r="H125" i="5"/>
  <c r="H114" i="5"/>
  <c r="H505" i="5"/>
  <c r="H632" i="5"/>
  <c r="H376" i="5"/>
  <c r="H703" i="5"/>
  <c r="H234" i="5"/>
  <c r="H711" i="5"/>
  <c r="H722" i="5"/>
  <c r="H978" i="5"/>
  <c r="H2" i="5"/>
  <c r="H671" i="5"/>
  <c r="H346" i="5"/>
  <c r="H122" i="5"/>
  <c r="H486" i="5"/>
  <c r="H595" i="5"/>
  <c r="H797" i="5"/>
  <c r="H106" i="5"/>
  <c r="H155" i="5"/>
  <c r="H990" i="5"/>
  <c r="H77" i="5"/>
  <c r="H273" i="5"/>
  <c r="H979" i="5"/>
  <c r="H812" i="5"/>
  <c r="H208" i="5"/>
  <c r="H313" i="5"/>
  <c r="H930" i="5"/>
  <c r="H719" i="5"/>
  <c r="H602" i="5"/>
  <c r="H101" i="5"/>
  <c r="H333" i="5"/>
  <c r="H288" i="5"/>
  <c r="H872" i="5"/>
  <c r="H176" i="5"/>
  <c r="H203" i="5"/>
  <c r="H636" i="5"/>
  <c r="H952" i="5"/>
  <c r="H993" i="5"/>
  <c r="H538" i="5"/>
  <c r="H72" i="5"/>
  <c r="H756" i="5"/>
  <c r="H961" i="5"/>
  <c r="H406" i="5"/>
  <c r="H35" i="5"/>
  <c r="H955" i="5"/>
  <c r="H665" i="5"/>
  <c r="H275" i="5"/>
  <c r="H574" i="5"/>
  <c r="H748" i="5"/>
  <c r="H385" i="5"/>
  <c r="H453" i="5"/>
  <c r="H268" i="5"/>
  <c r="H721" i="5"/>
  <c r="H570" i="5"/>
  <c r="H474" i="5"/>
  <c r="H683" i="5"/>
  <c r="H307" i="5"/>
  <c r="H776" i="5"/>
  <c r="H477" i="5"/>
  <c r="H463" i="5"/>
  <c r="H383" i="5"/>
  <c r="H739" i="5"/>
  <c r="H937" i="5"/>
  <c r="H198" i="5"/>
  <c r="H501" i="5"/>
  <c r="H948" i="5"/>
  <c r="H965" i="5"/>
  <c r="H690" i="5"/>
  <c r="H975" i="5"/>
  <c r="H491" i="5"/>
  <c r="H674" i="5"/>
  <c r="H984" i="5"/>
  <c r="H339" i="5"/>
  <c r="H639" i="5"/>
  <c r="H705" i="5"/>
  <c r="H144" i="5"/>
  <c r="H980" i="5"/>
  <c r="H348" i="5"/>
  <c r="H380" i="5"/>
  <c r="H945" i="5"/>
  <c r="H405" i="5"/>
  <c r="H215" i="5"/>
  <c r="H38" i="5"/>
  <c r="H936" i="5"/>
  <c r="H334" i="5"/>
  <c r="H315" i="5"/>
  <c r="H749" i="5"/>
  <c r="H876" i="5"/>
  <c r="H472" i="5"/>
  <c r="H257" i="5"/>
  <c r="H201" i="5"/>
  <c r="H233" i="5"/>
  <c r="H547" i="5"/>
  <c r="H97" i="5"/>
  <c r="H613" i="5"/>
  <c r="H186" i="5"/>
  <c r="H420" i="5"/>
  <c r="H50" i="5"/>
  <c r="H259" i="5"/>
  <c r="H578" i="5"/>
  <c r="H167" i="5"/>
  <c r="H521" i="5"/>
  <c r="H283" i="5"/>
  <c r="H728" i="5"/>
  <c r="H323" i="5"/>
  <c r="H789" i="5"/>
  <c r="H235" i="5"/>
  <c r="H135" i="5"/>
  <c r="H475" i="5"/>
  <c r="H997" i="5"/>
  <c r="H386" i="5"/>
  <c r="H458" i="5"/>
  <c r="H88" i="5"/>
  <c r="H626" i="5"/>
  <c r="H932" i="5"/>
  <c r="H745" i="5"/>
  <c r="H428" i="5"/>
  <c r="H438" i="5"/>
  <c r="H36" i="5"/>
  <c r="H584" i="5"/>
  <c r="H895" i="5"/>
  <c r="H567" i="5"/>
  <c r="H373" i="5"/>
  <c r="H285" i="5"/>
  <c r="H237" i="5"/>
  <c r="H754" i="5"/>
  <c r="H780" i="5"/>
  <c r="H731" i="5"/>
  <c r="H269" i="5"/>
  <c r="H714" i="5"/>
  <c r="H504" i="5"/>
  <c r="H28" i="5"/>
  <c r="H534" i="5"/>
  <c r="H413" i="5"/>
  <c r="H400" i="5"/>
  <c r="H500" i="5"/>
  <c r="H969" i="5"/>
  <c r="H256" i="5"/>
  <c r="H787" i="5"/>
  <c r="H483" i="5"/>
  <c r="H214" i="5"/>
  <c r="H310" i="5"/>
  <c r="H790" i="5"/>
  <c r="H542" i="5"/>
  <c r="H957" i="5"/>
  <c r="H553" i="5"/>
  <c r="H591" i="5"/>
  <c r="H778" i="5"/>
  <c r="H519" i="5"/>
  <c r="H857" i="5"/>
  <c r="H544" i="5"/>
  <c r="H864" i="5"/>
  <c r="H241" i="5"/>
  <c r="H508" i="5"/>
  <c r="H51" i="5"/>
  <c r="H3" i="5"/>
  <c r="H424" i="5"/>
  <c r="H60" i="5"/>
  <c r="H886" i="5"/>
  <c r="H449" i="5"/>
  <c r="H881" i="5"/>
  <c r="H839" i="5"/>
  <c r="H192" i="5"/>
  <c r="H592" i="5"/>
  <c r="H9" i="5"/>
  <c r="H805" i="5"/>
  <c r="H190" i="5"/>
  <c r="H850" i="5"/>
  <c r="H16" i="5"/>
  <c r="H352" i="5"/>
  <c r="H238" i="5"/>
  <c r="H422" i="5"/>
  <c r="H922" i="5"/>
  <c r="H32" i="5"/>
  <c r="H708" i="5"/>
  <c r="H80" i="5"/>
  <c r="H52" i="5"/>
  <c r="H589" i="5"/>
  <c r="H788" i="5"/>
  <c r="H502" i="5"/>
  <c r="H939" i="5"/>
  <c r="H833" i="5"/>
  <c r="H407" i="5"/>
  <c r="H284" i="5"/>
  <c r="H757" i="5"/>
  <c r="H384" i="5"/>
  <c r="H23" i="5"/>
  <c r="H537" i="5"/>
  <c r="H855" i="5"/>
  <c r="H85" i="5"/>
  <c r="H87" i="5"/>
  <c r="H222" i="5"/>
  <c r="H905" i="5"/>
  <c r="H170" i="5"/>
  <c r="H484" i="5"/>
  <c r="H325" i="5"/>
  <c r="H37" i="5"/>
  <c r="H606" i="5"/>
  <c r="H466" i="5"/>
  <c r="H127" i="5"/>
  <c r="H629" i="5"/>
  <c r="H820" i="5"/>
  <c r="H8" i="5"/>
  <c r="H861" i="5"/>
  <c r="H822" i="5"/>
  <c r="H457" i="5"/>
  <c r="H698" i="5"/>
  <c r="H609" i="5"/>
  <c r="H374" i="5"/>
  <c r="H74" i="5"/>
  <c r="H202" i="5"/>
  <c r="H782" i="5"/>
  <c r="H304" i="5"/>
  <c r="H497" i="5"/>
  <c r="H180" i="5"/>
  <c r="H442" i="5"/>
  <c r="H62" i="5"/>
  <c r="H774" i="5"/>
  <c r="H189" i="5"/>
  <c r="H435" i="5"/>
  <c r="H713" i="5"/>
  <c r="H316" i="5"/>
  <c r="H47" i="5"/>
  <c r="H94" i="5"/>
  <c r="H40" i="5"/>
  <c r="H12" i="5"/>
  <c r="H4" i="5"/>
  <c r="H388" i="5"/>
  <c r="H499" i="5"/>
  <c r="H59" i="5"/>
  <c r="H994" i="5"/>
  <c r="H368" i="5"/>
  <c r="H183" i="5"/>
  <c r="H601" i="5"/>
  <c r="H227" i="5"/>
  <c r="H248" i="5"/>
  <c r="H672" i="5"/>
  <c r="H200" i="5"/>
  <c r="H22" i="5"/>
  <c r="H966" i="5"/>
  <c r="H53" i="5"/>
  <c r="H560" i="5"/>
  <c r="H302" i="5"/>
  <c r="H764" i="5"/>
  <c r="H676" i="5"/>
  <c r="H58" i="5"/>
  <c r="H888" i="5"/>
  <c r="H562" i="5"/>
  <c r="H366" i="5"/>
  <c r="H446" i="5"/>
  <c r="H943" i="5"/>
  <c r="H960" i="5"/>
  <c r="H482" i="5"/>
  <c r="H513" i="5"/>
  <c r="H264" i="5"/>
  <c r="H242" i="5"/>
  <c r="H300" i="5"/>
  <c r="H455" i="5"/>
  <c r="H379" i="5"/>
  <c r="H546" i="5"/>
  <c r="H282" i="5"/>
  <c r="H828" i="5"/>
  <c r="H243" i="5"/>
  <c r="H509" i="5"/>
  <c r="H395" i="5"/>
  <c r="H808" i="5"/>
  <c r="H555" i="5"/>
  <c r="H699" i="5"/>
  <c r="H528" i="5"/>
  <c r="H39" i="5"/>
  <c r="H147" i="5"/>
  <c r="H679" i="5"/>
  <c r="H27" i="5"/>
  <c r="H175" i="5"/>
  <c r="H933" i="5"/>
  <c r="H263" i="5"/>
  <c r="H575" i="5"/>
  <c r="H527" i="5"/>
  <c r="H992" i="5"/>
  <c r="H196" i="5"/>
  <c r="H255" i="5"/>
  <c r="H1000" i="5"/>
  <c r="H262" i="5"/>
  <c r="H834" i="5"/>
  <c r="H454" i="5"/>
  <c r="H236" i="5"/>
  <c r="H116" i="5"/>
  <c r="H503" i="5"/>
  <c r="H488" i="5"/>
  <c r="H465" i="5"/>
  <c r="H341" i="5"/>
  <c r="H24" i="5"/>
  <c r="H207" i="5"/>
  <c r="H701" i="5"/>
  <c r="H648" i="5"/>
  <c r="H844" i="5"/>
  <c r="H920" i="5"/>
  <c r="H425" i="5"/>
  <c r="H641" i="5"/>
  <c r="H867" i="5"/>
  <c r="H111" i="5"/>
  <c r="H914" i="5"/>
  <c r="H49" i="5"/>
  <c r="H490" i="5"/>
  <c r="H637" i="5"/>
  <c r="H723" i="5"/>
  <c r="H893" i="5"/>
  <c r="H643" i="5"/>
  <c r="H371" i="5"/>
  <c r="H651" i="5"/>
  <c r="H663" i="5"/>
  <c r="H869" i="5"/>
  <c r="H545" i="5"/>
  <c r="H117" i="5"/>
  <c r="H652" i="5"/>
  <c r="H292" i="5"/>
  <c r="H517" i="5"/>
  <c r="H318" i="5"/>
  <c r="H372" i="5"/>
  <c r="H656" i="5"/>
  <c r="H48" i="5"/>
  <c r="H370" i="5"/>
  <c r="H718" i="5"/>
  <c r="H794" i="5"/>
  <c r="H599" i="5"/>
  <c r="H439" i="5"/>
  <c r="H76" i="5"/>
  <c r="H970" i="5"/>
  <c r="H916" i="5"/>
  <c r="H126" i="5"/>
  <c r="H289" i="5"/>
  <c r="H840" i="5"/>
  <c r="H894" i="5"/>
  <c r="H398" i="5"/>
  <c r="H396" i="5"/>
  <c r="H740" i="5"/>
  <c r="H358" i="5"/>
  <c r="H249" i="5"/>
  <c r="H539" i="5"/>
  <c r="H638" i="5"/>
  <c r="H877" i="5"/>
  <c r="H459" i="5"/>
  <c r="H524" i="5"/>
  <c r="H761" i="5"/>
  <c r="H935" i="5"/>
  <c r="H600" i="5"/>
  <c r="H875" i="5"/>
  <c r="H971" i="5"/>
  <c r="H258" i="5"/>
  <c r="H108" i="5"/>
  <c r="H86" i="5"/>
  <c r="H159" i="5"/>
  <c r="H734" i="5"/>
  <c r="H432" i="5"/>
  <c r="H61" i="5"/>
  <c r="H29" i="5"/>
  <c r="H954" i="5"/>
  <c r="H879" i="5"/>
  <c r="H479" i="5"/>
  <c r="H157" i="5"/>
  <c r="H938" i="5"/>
  <c r="H409" i="5"/>
  <c r="H596" i="5"/>
  <c r="H633" i="5"/>
  <c r="H729" i="5"/>
  <c r="H811" i="5"/>
  <c r="H13" i="5"/>
  <c r="H825" i="5"/>
  <c r="H988" i="5"/>
  <c r="H381" i="5"/>
  <c r="H630" i="5"/>
  <c r="H45" i="5"/>
  <c r="H156" i="5"/>
  <c r="H493" i="5"/>
  <c r="H158" i="5"/>
  <c r="H737" i="5"/>
  <c r="H835" i="5"/>
  <c r="H419" i="5"/>
  <c r="H443" i="5"/>
  <c r="H174" i="5"/>
  <c r="H319" i="5"/>
  <c r="H858" i="5"/>
  <c r="H831" i="5"/>
  <c r="H18" i="5"/>
  <c r="H896" i="5"/>
  <c r="H603" i="5"/>
  <c r="H321" i="5"/>
  <c r="H843" i="5"/>
  <c r="H287" i="5"/>
  <c r="H461" i="5"/>
  <c r="H809" i="5"/>
  <c r="H44" i="5"/>
  <c r="H54" i="5"/>
  <c r="H624" i="5"/>
  <c r="H813" i="5"/>
  <c r="H947" i="5"/>
  <c r="H645" i="5"/>
  <c r="H26" i="5"/>
  <c r="H100" i="5"/>
  <c r="H707" i="5"/>
  <c r="H614" i="5"/>
  <c r="H391" i="5"/>
  <c r="H841" i="5"/>
  <c r="H644" i="5"/>
  <c r="H522" i="5"/>
  <c r="H561" i="5"/>
  <c r="H695" i="5"/>
  <c r="H387" i="5"/>
  <c r="H824" i="5"/>
  <c r="H826" i="5"/>
  <c r="H133" i="5"/>
  <c r="H199" i="5"/>
  <c r="H852" i="5"/>
  <c r="H799" i="5"/>
  <c r="H750" i="5"/>
  <c r="H540" i="5"/>
  <c r="H448" i="5"/>
  <c r="H549" i="5"/>
  <c r="H819" i="5"/>
  <c r="H929" i="5"/>
  <c r="H431" i="5"/>
  <c r="H142" i="5"/>
  <c r="H468" i="5"/>
  <c r="H15" i="5"/>
  <c r="H294" i="5"/>
  <c r="H689" i="5"/>
  <c r="H586" i="5"/>
  <c r="H73" i="5"/>
  <c r="H659" i="5"/>
  <c r="H972" i="5"/>
  <c r="H598" i="5"/>
  <c r="H153" i="5"/>
  <c r="H173" i="5"/>
  <c r="H467" i="5"/>
  <c r="H139" i="5"/>
  <c r="H773" i="5"/>
  <c r="H481" i="5"/>
  <c r="H110" i="5"/>
  <c r="H408" i="5"/>
  <c r="H767" i="5"/>
  <c r="H668" i="5"/>
  <c r="H113" i="5"/>
  <c r="H741" i="5"/>
  <c r="H344" i="5"/>
  <c r="H623" i="5"/>
  <c r="H903" i="5"/>
  <c r="H823" i="5"/>
  <c r="H511" i="5"/>
  <c r="H296" i="5"/>
  <c r="H191" i="5"/>
  <c r="H260" i="5"/>
  <c r="H188" i="5"/>
  <c r="H565" i="5"/>
  <c r="H338" i="5"/>
  <c r="H11" i="5"/>
  <c r="H245" i="5"/>
  <c r="H118" i="5"/>
  <c r="H320" i="5"/>
  <c r="H541" i="5"/>
  <c r="H115" i="5"/>
  <c r="H766" i="5"/>
  <c r="H597" i="5"/>
  <c r="H793" i="5"/>
  <c r="H361" i="5"/>
  <c r="H851" i="5"/>
  <c r="H34" i="5"/>
  <c r="H777" i="5"/>
  <c r="H172" i="5"/>
  <c r="H617" i="5"/>
  <c r="H732" i="5"/>
  <c r="H765" i="5"/>
  <c r="H755" i="5"/>
  <c r="H104" i="5"/>
  <c r="H566" i="5"/>
  <c r="H250" i="5"/>
  <c r="H389" i="5"/>
  <c r="H128" i="5"/>
  <c r="H580" i="5"/>
  <c r="H784" i="5"/>
  <c r="H267" i="5"/>
  <c r="H404" i="5"/>
  <c r="H987" i="5"/>
  <c r="H332" i="5"/>
  <c r="H56" i="5"/>
  <c r="H724" i="5"/>
  <c r="H959" i="5"/>
  <c r="H206" i="5"/>
  <c r="H349" i="5"/>
  <c r="H145" i="5"/>
  <c r="H985" i="5"/>
  <c r="H286" i="5"/>
  <c r="H112" i="5"/>
  <c r="H279" i="5"/>
  <c r="H685" i="5"/>
  <c r="H297" i="5"/>
  <c r="H619" i="5"/>
  <c r="H963" i="5"/>
  <c r="H195" i="5"/>
  <c r="H353" i="5"/>
  <c r="H184" i="5"/>
  <c r="H558" i="5"/>
  <c r="H496" i="5"/>
  <c r="H982" i="5"/>
  <c r="H55" i="5"/>
  <c r="H688" i="5"/>
  <c r="H873" i="5"/>
  <c r="H216" i="5"/>
  <c r="H650" i="5"/>
  <c r="H634" i="5"/>
  <c r="H783" i="5"/>
  <c r="H744" i="5"/>
  <c r="H660" i="5"/>
  <c r="H646" i="5"/>
  <c r="H131" i="5"/>
  <c r="H694" i="5"/>
  <c r="H616" i="5"/>
  <c r="H414" i="5"/>
  <c r="H326" i="5"/>
  <c r="H736" i="5"/>
  <c r="H692" i="5"/>
  <c r="H604" i="5"/>
  <c r="H845" i="5"/>
  <c r="H973" i="5"/>
  <c r="H759" i="5"/>
  <c r="H91" i="5"/>
  <c r="H67" i="5"/>
  <c r="H354" i="5"/>
  <c r="H696" i="5"/>
  <c r="H810" i="5"/>
  <c r="H700" i="5"/>
  <c r="H846" i="5"/>
  <c r="H829" i="5"/>
  <c r="H860" i="5"/>
  <c r="H494" i="5"/>
  <c r="H781" i="5"/>
  <c r="H702" i="5"/>
  <c r="H529" i="5"/>
  <c r="H785" i="5"/>
  <c r="H770" i="5"/>
  <c r="H445" i="5"/>
  <c r="H336" i="5"/>
  <c r="H239" i="5"/>
  <c r="H568" i="5"/>
  <c r="H514" i="5"/>
  <c r="H423" i="5"/>
  <c r="H397" i="5"/>
  <c r="H311" i="5"/>
  <c r="H253" i="5"/>
  <c r="H410" i="5"/>
  <c r="H786" i="5"/>
  <c r="H635" i="5"/>
  <c r="H205" i="5"/>
  <c r="H168" i="5"/>
  <c r="H462" i="5"/>
  <c r="H312" i="5"/>
  <c r="H261" i="5"/>
  <c r="H121" i="5"/>
  <c r="H149" i="5"/>
  <c r="H976" i="5"/>
  <c r="H666" i="5"/>
  <c r="H587" i="5"/>
  <c r="H520" i="5"/>
  <c r="H293" i="5"/>
  <c r="H308" i="5"/>
  <c r="H983" i="5"/>
  <c r="H863" i="5"/>
  <c r="H210" i="5"/>
  <c r="H550" i="5"/>
  <c r="H996" i="5"/>
  <c r="H625" i="5"/>
  <c r="H934" i="5"/>
  <c r="H164" i="5"/>
  <c r="H143" i="5"/>
  <c r="H246" i="5"/>
  <c r="H792" i="5"/>
  <c r="H854" i="5"/>
  <c r="H450" i="5"/>
  <c r="H594" i="5"/>
  <c r="H753" i="5"/>
  <c r="H862" i="5"/>
  <c r="H912" i="5"/>
  <c r="H225" i="5"/>
  <c r="H968" i="5"/>
  <c r="H84" i="5"/>
  <c r="H557" i="5"/>
  <c r="H775" i="5"/>
  <c r="H944" i="5"/>
  <c r="H977" i="5"/>
  <c r="H999" i="5"/>
  <c r="H317" i="5"/>
  <c r="H747" i="5"/>
  <c r="H148" i="5"/>
  <c r="H194" i="5"/>
  <c r="H231" i="5"/>
  <c r="H427" i="5"/>
  <c r="H712" i="5"/>
  <c r="H816" i="5"/>
  <c r="H330" i="5"/>
  <c r="H986" i="5"/>
  <c r="H563" i="5"/>
  <c r="H693" i="5"/>
  <c r="H17" i="5"/>
  <c r="H909" i="5"/>
  <c r="H772" i="5"/>
  <c r="H444" i="5"/>
  <c r="H512" i="5"/>
  <c r="H615" i="5"/>
  <c r="H478" i="5"/>
  <c r="H356" i="5"/>
  <c r="H837" i="5"/>
  <c r="H552" i="5"/>
  <c r="H43" i="5"/>
  <c r="H375" i="5"/>
  <c r="H99" i="5"/>
  <c r="H21" i="5"/>
  <c r="H607" i="5"/>
  <c r="H430" i="5"/>
  <c r="H252" i="5"/>
  <c r="H848" i="5"/>
  <c r="H827" i="5"/>
  <c r="H647" i="5"/>
  <c r="H510" i="5"/>
  <c r="H662" i="5"/>
  <c r="H411" i="5"/>
  <c r="H169" i="5"/>
  <c r="H536" i="5"/>
  <c r="H402" i="5"/>
  <c r="H274" i="5"/>
  <c r="H57" i="5"/>
  <c r="H590" i="5"/>
  <c r="H64" i="5"/>
  <c r="H717" i="5"/>
  <c r="H581" i="5"/>
  <c r="H451" i="5"/>
  <c r="H675" i="5"/>
  <c r="H830" i="5"/>
  <c r="H109" i="5"/>
  <c r="H489" i="5"/>
  <c r="H915" i="5"/>
  <c r="H244" i="5"/>
  <c r="H518" i="5"/>
  <c r="H618" i="5"/>
  <c r="H278" i="5"/>
  <c r="H804" i="5"/>
  <c r="H974" i="5"/>
  <c r="H178" i="5"/>
  <c r="H962" i="5"/>
  <c r="H530" i="5"/>
  <c r="H577" i="5"/>
  <c r="H492" i="5"/>
  <c r="H393" i="5"/>
  <c r="H746" i="5"/>
  <c r="H364" i="5"/>
  <c r="H515" i="5"/>
  <c r="H329" i="5"/>
  <c r="H130" i="5"/>
  <c r="H187" i="5"/>
  <c r="H680" i="5"/>
  <c r="H611" i="5"/>
  <c r="H105" i="5"/>
  <c r="H559" i="5"/>
  <c r="H33" i="5"/>
  <c r="H940" i="5"/>
  <c r="H119" i="5"/>
  <c r="H880" i="5"/>
  <c r="H92" i="5"/>
  <c r="H240" i="5"/>
  <c r="H487" i="5"/>
  <c r="H19" i="5"/>
  <c r="H946" i="5"/>
  <c r="H908" i="5"/>
  <c r="H928" i="5"/>
  <c r="H107" i="5"/>
  <c r="H588" i="5"/>
  <c r="H433" i="5"/>
  <c r="H219" i="5"/>
  <c r="H818" i="5"/>
  <c r="H585" i="5"/>
  <c r="H290" i="5"/>
  <c r="H337" i="5"/>
  <c r="H687" i="5"/>
  <c r="H640" i="5"/>
  <c r="H678" i="5"/>
  <c r="H911" i="5"/>
  <c r="H129" i="5"/>
  <c r="H981" i="5"/>
  <c r="H704" i="5"/>
  <c r="H649" i="5"/>
  <c r="H621" i="5"/>
  <c r="H554" i="5"/>
  <c r="H152" i="5"/>
  <c r="H627" i="5"/>
  <c r="H401" i="5"/>
  <c r="H434" i="5"/>
  <c r="H951" i="5"/>
  <c r="H571" i="5"/>
  <c r="H817" i="5"/>
  <c r="H658" i="5"/>
  <c r="H79" i="5"/>
  <c r="H10" i="5"/>
  <c r="H768" i="5"/>
  <c r="H83" i="5"/>
  <c r="H583" i="5"/>
  <c r="H265" i="5"/>
  <c r="H303" i="5"/>
  <c r="H495" i="5"/>
  <c r="H859" i="5"/>
  <c r="H593" i="5"/>
  <c r="H874" i="5"/>
  <c r="H247" i="5"/>
  <c r="H120" i="5"/>
  <c r="H469" i="5"/>
  <c r="H42" i="5"/>
  <c r="H572" i="5"/>
  <c r="H473" i="5"/>
  <c r="H892" i="5"/>
  <c r="H608" i="5"/>
  <c r="H440" i="5"/>
  <c r="H367" i="5"/>
  <c r="H856" i="5"/>
  <c r="H710" i="5"/>
  <c r="H769" i="5"/>
  <c r="H883" i="5"/>
  <c r="H622" i="5"/>
  <c r="H90" i="5"/>
  <c r="H251" i="5"/>
  <c r="H151" i="5"/>
  <c r="H470" i="5"/>
  <c r="H533" i="5"/>
  <c r="H209" i="5"/>
  <c r="H298" i="5"/>
  <c r="H730" i="5"/>
  <c r="H991" i="5"/>
  <c r="H357" i="5"/>
  <c r="H270" i="5"/>
  <c r="H452" i="5"/>
  <c r="H95" i="5"/>
  <c r="H798" i="5"/>
  <c r="H682" i="5"/>
  <c r="H218" i="5"/>
  <c r="H69" i="5"/>
  <c r="H910" i="5"/>
  <c r="H964" i="5"/>
  <c r="H551" i="5"/>
  <c r="H416" i="5"/>
  <c r="H228" i="5"/>
  <c r="H328" i="5"/>
  <c r="H392" i="5"/>
  <c r="H136" i="5"/>
  <c r="H41" i="5"/>
  <c r="H162" i="5"/>
  <c r="H667" i="5"/>
  <c r="H417" i="5"/>
  <c r="G507" i="5"/>
  <c r="G20" i="5"/>
  <c r="G369" i="5"/>
  <c r="G884" i="5"/>
  <c r="G868" i="5"/>
  <c r="G791" i="5"/>
  <c r="G1001" i="5"/>
  <c r="G30" i="5"/>
  <c r="G429" i="5"/>
  <c r="G670" i="5"/>
  <c r="G556" i="5"/>
  <c r="G322" i="5"/>
  <c r="G103" i="5"/>
  <c r="G197" i="5"/>
  <c r="G657" i="5"/>
  <c r="G179" i="5"/>
  <c r="G795" i="5"/>
  <c r="G299" i="5"/>
  <c r="G715" i="5"/>
  <c r="G66" i="5"/>
  <c r="G847" i="5"/>
  <c r="G907" i="5"/>
  <c r="G412" i="5"/>
  <c r="G628" i="5"/>
  <c r="G716" i="5"/>
  <c r="G476" i="5"/>
  <c r="G913" i="5"/>
  <c r="G631" i="5"/>
  <c r="G849" i="5"/>
  <c r="G760" i="5"/>
  <c r="G605" i="5"/>
  <c r="G89" i="5"/>
  <c r="G350" i="5"/>
  <c r="G998" i="5"/>
  <c r="G212" i="5"/>
  <c r="G941" i="5"/>
  <c r="G878" i="5"/>
  <c r="G838" i="5"/>
  <c r="G96" i="5"/>
  <c r="G871" i="5"/>
  <c r="G543" i="5"/>
  <c r="G516" i="5"/>
  <c r="G480" i="5"/>
  <c r="G436" i="5"/>
  <c r="G742" i="5"/>
  <c r="G669" i="5"/>
  <c r="G882" i="5"/>
  <c r="G154" i="5"/>
  <c r="G306" i="5"/>
  <c r="G885" i="5"/>
  <c r="G686" i="5"/>
  <c r="G921" i="5"/>
  <c r="G362" i="5"/>
  <c r="G394" i="5"/>
  <c r="G223" i="5"/>
  <c r="G923" i="5"/>
  <c r="G673" i="5"/>
  <c r="G165" i="5"/>
  <c r="G573" i="5"/>
  <c r="G335" i="5"/>
  <c r="G447" i="5"/>
  <c r="G464" i="5"/>
  <c r="G958" i="5"/>
  <c r="G377" i="5"/>
  <c r="G655" i="5"/>
  <c r="G460" i="5"/>
  <c r="G78" i="5"/>
  <c r="G942" i="5"/>
  <c r="G836" i="5"/>
  <c r="G403" i="5"/>
  <c r="G758" i="5"/>
  <c r="G967" i="5"/>
  <c r="G525" i="5"/>
  <c r="G232" i="5"/>
  <c r="G924" i="5"/>
  <c r="G899" i="5"/>
  <c r="G532" i="5"/>
  <c r="G691" i="5"/>
  <c r="G842" i="5"/>
  <c r="G779" i="5"/>
  <c r="G706" i="5"/>
  <c r="G132" i="5"/>
  <c r="G81" i="5"/>
  <c r="G485" i="5"/>
  <c r="G796" i="5"/>
  <c r="G441" i="5"/>
  <c r="G98" i="5"/>
  <c r="G953" i="5"/>
  <c r="G347" i="5"/>
  <c r="G75" i="5"/>
  <c r="G163" i="5"/>
  <c r="G720" i="5"/>
  <c r="G582" i="5"/>
  <c r="G989" i="5"/>
  <c r="G301" i="5"/>
  <c r="G161" i="5"/>
  <c r="G763" i="5"/>
  <c r="G204" i="5"/>
  <c r="G832" i="5"/>
  <c r="G564" i="5"/>
  <c r="G351" i="5"/>
  <c r="G46" i="5"/>
  <c r="G762" i="5"/>
  <c r="G898" i="5"/>
  <c r="G806" i="5"/>
  <c r="G995" i="5"/>
  <c r="G340" i="5"/>
  <c r="G360" i="5"/>
  <c r="G900" i="5"/>
  <c r="G229" i="5"/>
  <c r="G426" i="5"/>
  <c r="G281" i="5"/>
  <c r="G726" i="5"/>
  <c r="G751" i="5"/>
  <c r="G295" i="5"/>
  <c r="G134" i="5"/>
  <c r="G949" i="5"/>
  <c r="G925" i="5"/>
  <c r="G193" i="5"/>
  <c r="G68" i="5"/>
  <c r="G569" i="5"/>
  <c r="G5" i="5"/>
  <c r="G327" i="5"/>
  <c r="G217" i="5"/>
  <c r="G276" i="5"/>
  <c r="G342" i="5"/>
  <c r="G213" i="5"/>
  <c r="G365" i="5"/>
  <c r="G535" i="5"/>
  <c r="G612" i="5"/>
  <c r="G277" i="5"/>
  <c r="G378" i="5"/>
  <c r="G901" i="5"/>
  <c r="G642" i="5"/>
  <c r="G418" i="5"/>
  <c r="G160" i="5"/>
  <c r="G415" i="5"/>
  <c r="G102" i="5"/>
  <c r="G579" i="5"/>
  <c r="G865" i="5"/>
  <c r="G363" i="5"/>
  <c r="G684" i="5"/>
  <c r="G801" i="5"/>
  <c r="G182" i="5"/>
  <c r="G870" i="5"/>
  <c r="G171" i="5"/>
  <c r="G359" i="5"/>
  <c r="G25" i="5"/>
  <c r="G803" i="5"/>
  <c r="G917" i="5"/>
  <c r="G709" i="5"/>
  <c r="G725" i="5"/>
  <c r="G181" i="5"/>
  <c r="G221" i="5"/>
  <c r="G897" i="5"/>
  <c r="G889" i="5"/>
  <c r="G6" i="5"/>
  <c r="G65" i="5"/>
  <c r="G345" i="5"/>
  <c r="G697" i="5"/>
  <c r="G266" i="5"/>
  <c r="G802" i="5"/>
  <c r="G738" i="5"/>
  <c r="G653" i="5"/>
  <c r="G343" i="5"/>
  <c r="G531" i="5"/>
  <c r="G654" i="5"/>
  <c r="G138" i="5"/>
  <c r="G743" i="5"/>
  <c r="G610" i="5"/>
  <c r="G421" i="5"/>
  <c r="G814" i="5"/>
  <c r="G280" i="5"/>
  <c r="G471" i="5"/>
  <c r="G498" i="5"/>
  <c r="G137" i="5"/>
  <c r="G93" i="5"/>
  <c r="G220" i="5"/>
  <c r="G800" i="5"/>
  <c r="G771" i="5"/>
  <c r="G140" i="5"/>
  <c r="G291" i="5"/>
  <c r="G950" i="5"/>
  <c r="G735" i="5"/>
  <c r="G733" i="5"/>
  <c r="G141" i="5"/>
  <c r="G620" i="5"/>
  <c r="G919" i="5"/>
  <c r="G70" i="5"/>
  <c r="G576" i="5"/>
  <c r="G853" i="5"/>
  <c r="G752" i="5"/>
  <c r="G548" i="5"/>
  <c r="G254" i="5"/>
  <c r="G355" i="5"/>
  <c r="G226" i="5"/>
  <c r="G664" i="5"/>
  <c r="G807" i="5"/>
  <c r="G661" i="5"/>
  <c r="G437" i="5"/>
  <c r="G681" i="5"/>
  <c r="G272" i="5"/>
  <c r="G904" i="5"/>
  <c r="G891" i="5"/>
  <c r="G63" i="5"/>
  <c r="G866" i="5"/>
  <c r="G185" i="5"/>
  <c r="G821" i="5"/>
  <c r="G224" i="5"/>
  <c r="G918" i="5"/>
  <c r="G727" i="5"/>
  <c r="G211" i="5"/>
  <c r="G506" i="5"/>
  <c r="G150" i="5"/>
  <c r="G890" i="5"/>
  <c r="G14" i="5"/>
  <c r="G82" i="5"/>
  <c r="G146" i="5"/>
  <c r="G324" i="5"/>
  <c r="G815" i="5"/>
  <c r="G902" i="5"/>
  <c r="G526" i="5"/>
  <c r="G271" i="5"/>
  <c r="G456" i="5"/>
  <c r="G124" i="5"/>
  <c r="G123" i="5"/>
  <c r="G523" i="5"/>
  <c r="G887" i="5"/>
  <c r="G31" i="5"/>
  <c r="G956" i="5"/>
  <c r="G927" i="5"/>
  <c r="G926" i="5"/>
  <c r="G309" i="5"/>
  <c r="G7" i="5"/>
  <c r="G166" i="5"/>
  <c r="G305" i="5"/>
  <c r="G390" i="5"/>
  <c r="G71" i="5"/>
  <c r="G906" i="5"/>
  <c r="G314" i="5"/>
  <c r="G677" i="5"/>
  <c r="G331" i="5"/>
  <c r="G399" i="5"/>
  <c r="G382" i="5"/>
  <c r="G230" i="5"/>
  <c r="G177" i="5"/>
  <c r="G125" i="5"/>
  <c r="G114" i="5"/>
  <c r="G505" i="5"/>
  <c r="G632" i="5"/>
  <c r="G376" i="5"/>
  <c r="G703" i="5"/>
  <c r="G234" i="5"/>
  <c r="G711" i="5"/>
  <c r="G722" i="5"/>
  <c r="G978" i="5"/>
  <c r="G2" i="5"/>
  <c r="G671" i="5"/>
  <c r="G346" i="5"/>
  <c r="G122" i="5"/>
  <c r="G486" i="5"/>
  <c r="G595" i="5"/>
  <c r="G797" i="5"/>
  <c r="G106" i="5"/>
  <c r="G155" i="5"/>
  <c r="G990" i="5"/>
  <c r="G77" i="5"/>
  <c r="G273" i="5"/>
  <c r="G979" i="5"/>
  <c r="G812" i="5"/>
  <c r="G208" i="5"/>
  <c r="G313" i="5"/>
  <c r="G930" i="5"/>
  <c r="G719" i="5"/>
  <c r="G602" i="5"/>
  <c r="G101" i="5"/>
  <c r="G333" i="5"/>
  <c r="G288" i="5"/>
  <c r="G872" i="5"/>
  <c r="G176" i="5"/>
  <c r="G203" i="5"/>
  <c r="G636" i="5"/>
  <c r="G952" i="5"/>
  <c r="G993" i="5"/>
  <c r="G538" i="5"/>
  <c r="G72" i="5"/>
  <c r="G756" i="5"/>
  <c r="G961" i="5"/>
  <c r="G406" i="5"/>
  <c r="G35" i="5"/>
  <c r="G955" i="5"/>
  <c r="G665" i="5"/>
  <c r="G275" i="5"/>
  <c r="G574" i="5"/>
  <c r="G748" i="5"/>
  <c r="G385" i="5"/>
  <c r="G453" i="5"/>
  <c r="G268" i="5"/>
  <c r="G721" i="5"/>
  <c r="G570" i="5"/>
  <c r="G474" i="5"/>
  <c r="G683" i="5"/>
  <c r="G307" i="5"/>
  <c r="G776" i="5"/>
  <c r="G477" i="5"/>
  <c r="G463" i="5"/>
  <c r="G383" i="5"/>
  <c r="G739" i="5"/>
  <c r="G937" i="5"/>
  <c r="G198" i="5"/>
  <c r="G501" i="5"/>
  <c r="G948" i="5"/>
  <c r="G965" i="5"/>
  <c r="G690" i="5"/>
  <c r="G975" i="5"/>
  <c r="G491" i="5"/>
  <c r="G674" i="5"/>
  <c r="G984" i="5"/>
  <c r="G339" i="5"/>
  <c r="G639" i="5"/>
  <c r="G705" i="5"/>
  <c r="G144" i="5"/>
  <c r="G980" i="5"/>
  <c r="G348" i="5"/>
  <c r="G380" i="5"/>
  <c r="G945" i="5"/>
  <c r="G405" i="5"/>
  <c r="G215" i="5"/>
  <c r="G38" i="5"/>
  <c r="G936" i="5"/>
  <c r="G334" i="5"/>
  <c r="G315" i="5"/>
  <c r="G749" i="5"/>
  <c r="G876" i="5"/>
  <c r="G472" i="5"/>
  <c r="G257" i="5"/>
  <c r="G201" i="5"/>
  <c r="G233" i="5"/>
  <c r="G547" i="5"/>
  <c r="G97" i="5"/>
  <c r="G613" i="5"/>
  <c r="G186" i="5"/>
  <c r="G420" i="5"/>
  <c r="G50" i="5"/>
  <c r="G259" i="5"/>
  <c r="G578" i="5"/>
  <c r="G167" i="5"/>
  <c r="G521" i="5"/>
  <c r="G283" i="5"/>
  <c r="G728" i="5"/>
  <c r="G323" i="5"/>
  <c r="G789" i="5"/>
  <c r="G235" i="5"/>
  <c r="G135" i="5"/>
  <c r="G475" i="5"/>
  <c r="G997" i="5"/>
  <c r="G386" i="5"/>
  <c r="G458" i="5"/>
  <c r="G88" i="5"/>
  <c r="G626" i="5"/>
  <c r="G932" i="5"/>
  <c r="G745" i="5"/>
  <c r="G428" i="5"/>
  <c r="G438" i="5"/>
  <c r="G36" i="5"/>
  <c r="G584" i="5"/>
  <c r="G895" i="5"/>
  <c r="G567" i="5"/>
  <c r="G373" i="5"/>
  <c r="G285" i="5"/>
  <c r="G237" i="5"/>
  <c r="G754" i="5"/>
  <c r="G780" i="5"/>
  <c r="G731" i="5"/>
  <c r="G269" i="5"/>
  <c r="G714" i="5"/>
  <c r="G504" i="5"/>
  <c r="G28" i="5"/>
  <c r="G534" i="5"/>
  <c r="G413" i="5"/>
  <c r="G400" i="5"/>
  <c r="G500" i="5"/>
  <c r="G969" i="5"/>
  <c r="G256" i="5"/>
  <c r="G787" i="5"/>
  <c r="G483" i="5"/>
  <c r="G214" i="5"/>
  <c r="G310" i="5"/>
  <c r="G790" i="5"/>
  <c r="G542" i="5"/>
  <c r="G957" i="5"/>
  <c r="G553" i="5"/>
  <c r="G591" i="5"/>
  <c r="G778" i="5"/>
  <c r="G519" i="5"/>
  <c r="G857" i="5"/>
  <c r="G544" i="5"/>
  <c r="G864" i="5"/>
  <c r="G241" i="5"/>
  <c r="G508" i="5"/>
  <c r="G51" i="5"/>
  <c r="G3" i="5"/>
  <c r="G424" i="5"/>
  <c r="G60" i="5"/>
  <c r="G886" i="5"/>
  <c r="G449" i="5"/>
  <c r="G881" i="5"/>
  <c r="G839" i="5"/>
  <c r="G192" i="5"/>
  <c r="G592" i="5"/>
  <c r="G9" i="5"/>
  <c r="G805" i="5"/>
  <c r="G190" i="5"/>
  <c r="G850" i="5"/>
  <c r="G16" i="5"/>
  <c r="G352" i="5"/>
  <c r="G238" i="5"/>
  <c r="G422" i="5"/>
  <c r="G922" i="5"/>
  <c r="G32" i="5"/>
  <c r="G708" i="5"/>
  <c r="G80" i="5"/>
  <c r="G52" i="5"/>
  <c r="G589" i="5"/>
  <c r="G788" i="5"/>
  <c r="G502" i="5"/>
  <c r="G939" i="5"/>
  <c r="G833" i="5"/>
  <c r="G407" i="5"/>
  <c r="G284" i="5"/>
  <c r="G757" i="5"/>
  <c r="G384" i="5"/>
  <c r="G23" i="5"/>
  <c r="G537" i="5"/>
  <c r="G855" i="5"/>
  <c r="G85" i="5"/>
  <c r="G87" i="5"/>
  <c r="G222" i="5"/>
  <c r="G905" i="5"/>
  <c r="G170" i="5"/>
  <c r="G484" i="5"/>
  <c r="G325" i="5"/>
  <c r="G37" i="5"/>
  <c r="G606" i="5"/>
  <c r="G466" i="5"/>
  <c r="G127" i="5"/>
  <c r="G629" i="5"/>
  <c r="G820" i="5"/>
  <c r="G8" i="5"/>
  <c r="G861" i="5"/>
  <c r="G822" i="5"/>
  <c r="G457" i="5"/>
  <c r="G698" i="5"/>
  <c r="G609" i="5"/>
  <c r="G374" i="5"/>
  <c r="G74" i="5"/>
  <c r="G202" i="5"/>
  <c r="G782" i="5"/>
  <c r="G304" i="5"/>
  <c r="G497" i="5"/>
  <c r="G180" i="5"/>
  <c r="G442" i="5"/>
  <c r="G62" i="5"/>
  <c r="G774" i="5"/>
  <c r="G189" i="5"/>
  <c r="G435" i="5"/>
  <c r="G713" i="5"/>
  <c r="G316" i="5"/>
  <c r="G47" i="5"/>
  <c r="G94" i="5"/>
  <c r="G40" i="5"/>
  <c r="G12" i="5"/>
  <c r="G4" i="5"/>
  <c r="G388" i="5"/>
  <c r="G499" i="5"/>
  <c r="G59" i="5"/>
  <c r="G994" i="5"/>
  <c r="G368" i="5"/>
  <c r="G183" i="5"/>
  <c r="G601" i="5"/>
  <c r="G227" i="5"/>
  <c r="G248" i="5"/>
  <c r="G672" i="5"/>
  <c r="G200" i="5"/>
  <c r="G22" i="5"/>
  <c r="G966" i="5"/>
  <c r="G53" i="5"/>
  <c r="G560" i="5"/>
  <c r="G302" i="5"/>
  <c r="G764" i="5"/>
  <c r="G676" i="5"/>
  <c r="G58" i="5"/>
  <c r="G888" i="5"/>
  <c r="G562" i="5"/>
  <c r="G366" i="5"/>
  <c r="G446" i="5"/>
  <c r="G943" i="5"/>
  <c r="G960" i="5"/>
  <c r="G482" i="5"/>
  <c r="G513" i="5"/>
  <c r="G264" i="5"/>
  <c r="G242" i="5"/>
  <c r="G300" i="5"/>
  <c r="G455" i="5"/>
  <c r="G379" i="5"/>
  <c r="G546" i="5"/>
  <c r="G282" i="5"/>
  <c r="G828" i="5"/>
  <c r="G243" i="5"/>
  <c r="G509" i="5"/>
  <c r="G395" i="5"/>
  <c r="G808" i="5"/>
  <c r="G555" i="5"/>
  <c r="G699" i="5"/>
  <c r="G528" i="5"/>
  <c r="G39" i="5"/>
  <c r="G147" i="5"/>
  <c r="G679" i="5"/>
  <c r="G27" i="5"/>
  <c r="G175" i="5"/>
  <c r="G933" i="5"/>
  <c r="G263" i="5"/>
  <c r="G575" i="5"/>
  <c r="G527" i="5"/>
  <c r="G992" i="5"/>
  <c r="G196" i="5"/>
  <c r="G255" i="5"/>
  <c r="G1000" i="5"/>
  <c r="G262" i="5"/>
  <c r="G834" i="5"/>
  <c r="G454" i="5"/>
  <c r="G236" i="5"/>
  <c r="G116" i="5"/>
  <c r="G503" i="5"/>
  <c r="G488" i="5"/>
  <c r="G465" i="5"/>
  <c r="G341" i="5"/>
  <c r="G24" i="5"/>
  <c r="G207" i="5"/>
  <c r="G701" i="5"/>
  <c r="G648" i="5"/>
  <c r="G844" i="5"/>
  <c r="G920" i="5"/>
  <c r="G425" i="5"/>
  <c r="G641" i="5"/>
  <c r="G867" i="5"/>
  <c r="G111" i="5"/>
  <c r="G914" i="5"/>
  <c r="G49" i="5"/>
  <c r="G490" i="5"/>
  <c r="G637" i="5"/>
  <c r="G723" i="5"/>
  <c r="G893" i="5"/>
  <c r="G643" i="5"/>
  <c r="G371" i="5"/>
  <c r="G651" i="5"/>
  <c r="G663" i="5"/>
  <c r="G869" i="5"/>
  <c r="G545" i="5"/>
  <c r="G117" i="5"/>
  <c r="G652" i="5"/>
  <c r="G292" i="5"/>
  <c r="G517" i="5"/>
  <c r="G318" i="5"/>
  <c r="G372" i="5"/>
  <c r="G656" i="5"/>
  <c r="G48" i="5"/>
  <c r="G370" i="5"/>
  <c r="G718" i="5"/>
  <c r="G794" i="5"/>
  <c r="G599" i="5"/>
  <c r="G439" i="5"/>
  <c r="G76" i="5"/>
  <c r="G970" i="5"/>
  <c r="G916" i="5"/>
  <c r="G126" i="5"/>
  <c r="G289" i="5"/>
  <c r="G840" i="5"/>
  <c r="G894" i="5"/>
  <c r="G398" i="5"/>
  <c r="G396" i="5"/>
  <c r="G740" i="5"/>
  <c r="G358" i="5"/>
  <c r="G249" i="5"/>
  <c r="G539" i="5"/>
  <c r="G638" i="5"/>
  <c r="G877" i="5"/>
  <c r="G459" i="5"/>
  <c r="G524" i="5"/>
  <c r="G761" i="5"/>
  <c r="G935" i="5"/>
  <c r="G600" i="5"/>
  <c r="G875" i="5"/>
  <c r="G971" i="5"/>
  <c r="G258" i="5"/>
  <c r="G108" i="5"/>
  <c r="G86" i="5"/>
  <c r="G159" i="5"/>
  <c r="G734" i="5"/>
  <c r="G432" i="5"/>
  <c r="G61" i="5"/>
  <c r="G29" i="5"/>
  <c r="G954" i="5"/>
  <c r="G879" i="5"/>
  <c r="G479" i="5"/>
  <c r="G157" i="5"/>
  <c r="G938" i="5"/>
  <c r="G409" i="5"/>
  <c r="G596" i="5"/>
  <c r="G633" i="5"/>
  <c r="G729" i="5"/>
  <c r="G811" i="5"/>
  <c r="G13" i="5"/>
  <c r="G825" i="5"/>
  <c r="G988" i="5"/>
  <c r="G381" i="5"/>
  <c r="G630" i="5"/>
  <c r="G45" i="5"/>
  <c r="G156" i="5"/>
  <c r="G493" i="5"/>
  <c r="G158" i="5"/>
  <c r="G737" i="5"/>
  <c r="G835" i="5"/>
  <c r="G419" i="5"/>
  <c r="G443" i="5"/>
  <c r="G174" i="5"/>
  <c r="G319" i="5"/>
  <c r="G858" i="5"/>
  <c r="G831" i="5"/>
  <c r="G18" i="5"/>
  <c r="G896" i="5"/>
  <c r="G603" i="5"/>
  <c r="G321" i="5"/>
  <c r="G843" i="5"/>
  <c r="G287" i="5"/>
  <c r="G461" i="5"/>
  <c r="G809" i="5"/>
  <c r="G44" i="5"/>
  <c r="G54" i="5"/>
  <c r="G624" i="5"/>
  <c r="G813" i="5"/>
  <c r="G947" i="5"/>
  <c r="G645" i="5"/>
  <c r="G26" i="5"/>
  <c r="G100" i="5"/>
  <c r="G707" i="5"/>
  <c r="G614" i="5"/>
  <c r="G391" i="5"/>
  <c r="G841" i="5"/>
  <c r="G644" i="5"/>
  <c r="G522" i="5"/>
  <c r="G561" i="5"/>
  <c r="G695" i="5"/>
  <c r="G387" i="5"/>
  <c r="G824" i="5"/>
  <c r="G826" i="5"/>
  <c r="G133" i="5"/>
  <c r="G199" i="5"/>
  <c r="G852" i="5"/>
  <c r="G799" i="5"/>
  <c r="G750" i="5"/>
  <c r="G540" i="5"/>
  <c r="G448" i="5"/>
  <c r="G549" i="5"/>
  <c r="G819" i="5"/>
  <c r="G929" i="5"/>
  <c r="G431" i="5"/>
  <c r="G142" i="5"/>
  <c r="G468" i="5"/>
  <c r="G15" i="5"/>
  <c r="G294" i="5"/>
  <c r="G689" i="5"/>
  <c r="G586" i="5"/>
  <c r="G73" i="5"/>
  <c r="G659" i="5"/>
  <c r="G972" i="5"/>
  <c r="G598" i="5"/>
  <c r="G153" i="5"/>
  <c r="G173" i="5"/>
  <c r="G467" i="5"/>
  <c r="G139" i="5"/>
  <c r="G773" i="5"/>
  <c r="G481" i="5"/>
  <c r="G110" i="5"/>
  <c r="G408" i="5"/>
  <c r="G767" i="5"/>
  <c r="G668" i="5"/>
  <c r="G113" i="5"/>
  <c r="G741" i="5"/>
  <c r="G344" i="5"/>
  <c r="G623" i="5"/>
  <c r="G903" i="5"/>
  <c r="G823" i="5"/>
  <c r="G511" i="5"/>
  <c r="G296" i="5"/>
  <c r="G191" i="5"/>
  <c r="G260" i="5"/>
  <c r="G188" i="5"/>
  <c r="G565" i="5"/>
  <c r="G338" i="5"/>
  <c r="G11" i="5"/>
  <c r="G245" i="5"/>
  <c r="G118" i="5"/>
  <c r="G320" i="5"/>
  <c r="G541" i="5"/>
  <c r="G115" i="5"/>
  <c r="G766" i="5"/>
  <c r="G597" i="5"/>
  <c r="G793" i="5"/>
  <c r="G361" i="5"/>
  <c r="G851" i="5"/>
  <c r="G34" i="5"/>
  <c r="G777" i="5"/>
  <c r="G172" i="5"/>
  <c r="G617" i="5"/>
  <c r="G732" i="5"/>
  <c r="G765" i="5"/>
  <c r="G755" i="5"/>
  <c r="G104" i="5"/>
  <c r="G566" i="5"/>
  <c r="G250" i="5"/>
  <c r="G389" i="5"/>
  <c r="G128" i="5"/>
  <c r="G580" i="5"/>
  <c r="G784" i="5"/>
  <c r="G267" i="5"/>
  <c r="G404" i="5"/>
  <c r="G987" i="5"/>
  <c r="G332" i="5"/>
  <c r="G56" i="5"/>
  <c r="G724" i="5"/>
  <c r="G959" i="5"/>
  <c r="G206" i="5"/>
  <c r="G349" i="5"/>
  <c r="G145" i="5"/>
  <c r="G985" i="5"/>
  <c r="G286" i="5"/>
  <c r="G112" i="5"/>
  <c r="G279" i="5"/>
  <c r="G685" i="5"/>
  <c r="G297" i="5"/>
  <c r="G619" i="5"/>
  <c r="G963" i="5"/>
  <c r="G195" i="5"/>
  <c r="G353" i="5"/>
  <c r="G184" i="5"/>
  <c r="G558" i="5"/>
  <c r="G496" i="5"/>
  <c r="G982" i="5"/>
  <c r="G55" i="5"/>
  <c r="G688" i="5"/>
  <c r="G873" i="5"/>
  <c r="G216" i="5"/>
  <c r="G650" i="5"/>
  <c r="G634" i="5"/>
  <c r="G783" i="5"/>
  <c r="G744" i="5"/>
  <c r="G660" i="5"/>
  <c r="G646" i="5"/>
  <c r="G131" i="5"/>
  <c r="G694" i="5"/>
  <c r="G616" i="5"/>
  <c r="G414" i="5"/>
  <c r="G326" i="5"/>
  <c r="G736" i="5"/>
  <c r="G692" i="5"/>
  <c r="G604" i="5"/>
  <c r="G845" i="5"/>
  <c r="G973" i="5"/>
  <c r="G759" i="5"/>
  <c r="G91" i="5"/>
  <c r="G67" i="5"/>
  <c r="G354" i="5"/>
  <c r="G696" i="5"/>
  <c r="G810" i="5"/>
  <c r="G700" i="5"/>
  <c r="G846" i="5"/>
  <c r="G829" i="5"/>
  <c r="G860" i="5"/>
  <c r="G494" i="5"/>
  <c r="G781" i="5"/>
  <c r="G702" i="5"/>
  <c r="G529" i="5"/>
  <c r="G785" i="5"/>
  <c r="G770" i="5"/>
  <c r="G445" i="5"/>
  <c r="G336" i="5"/>
  <c r="G239" i="5"/>
  <c r="G568" i="5"/>
  <c r="G514" i="5"/>
  <c r="G423" i="5"/>
  <c r="G397" i="5"/>
  <c r="G311" i="5"/>
  <c r="G253" i="5"/>
  <c r="G410" i="5"/>
  <c r="G786" i="5"/>
  <c r="G635" i="5"/>
  <c r="G205" i="5"/>
  <c r="G168" i="5"/>
  <c r="G462" i="5"/>
  <c r="G312" i="5"/>
  <c r="G261" i="5"/>
  <c r="G121" i="5"/>
  <c r="G149" i="5"/>
  <c r="G976" i="5"/>
  <c r="G666" i="5"/>
  <c r="G587" i="5"/>
  <c r="G520" i="5"/>
  <c r="G293" i="5"/>
  <c r="G308" i="5"/>
  <c r="G983" i="5"/>
  <c r="G863" i="5"/>
  <c r="G210" i="5"/>
  <c r="G550" i="5"/>
  <c r="G996" i="5"/>
  <c r="G625" i="5"/>
  <c r="G934" i="5"/>
  <c r="G164" i="5"/>
  <c r="G143" i="5"/>
  <c r="G246" i="5"/>
  <c r="G792" i="5"/>
  <c r="G854" i="5"/>
  <c r="G450" i="5"/>
  <c r="G594" i="5"/>
  <c r="G753" i="5"/>
  <c r="G862" i="5"/>
  <c r="G912" i="5"/>
  <c r="G225" i="5"/>
  <c r="G968" i="5"/>
  <c r="G84" i="5"/>
  <c r="G557" i="5"/>
  <c r="G775" i="5"/>
  <c r="G944" i="5"/>
  <c r="G977" i="5"/>
  <c r="G999" i="5"/>
  <c r="G317" i="5"/>
  <c r="G747" i="5"/>
  <c r="G148" i="5"/>
  <c r="G194" i="5"/>
  <c r="G231" i="5"/>
  <c r="G427" i="5"/>
  <c r="G712" i="5"/>
  <c r="G816" i="5"/>
  <c r="G330" i="5"/>
  <c r="G986" i="5"/>
  <c r="G563" i="5"/>
  <c r="G693" i="5"/>
  <c r="G17" i="5"/>
  <c r="G909" i="5"/>
  <c r="G772" i="5"/>
  <c r="G444" i="5"/>
  <c r="G512" i="5"/>
  <c r="G615" i="5"/>
  <c r="G478" i="5"/>
  <c r="G356" i="5"/>
  <c r="G837" i="5"/>
  <c r="G552" i="5"/>
  <c r="G43" i="5"/>
  <c r="G375" i="5"/>
  <c r="G99" i="5"/>
  <c r="G21" i="5"/>
  <c r="G607" i="5"/>
  <c r="G430" i="5"/>
  <c r="G252" i="5"/>
  <c r="G848" i="5"/>
  <c r="G827" i="5"/>
  <c r="G647" i="5"/>
  <c r="G510" i="5"/>
  <c r="G662" i="5"/>
  <c r="G411" i="5"/>
  <c r="G169" i="5"/>
  <c r="G536" i="5"/>
  <c r="G402" i="5"/>
  <c r="G274" i="5"/>
  <c r="G57" i="5"/>
  <c r="G590" i="5"/>
  <c r="G64" i="5"/>
  <c r="G717" i="5"/>
  <c r="G581" i="5"/>
  <c r="G451" i="5"/>
  <c r="G675" i="5"/>
  <c r="G830" i="5"/>
  <c r="G109" i="5"/>
  <c r="G489" i="5"/>
  <c r="G915" i="5"/>
  <c r="G244" i="5"/>
  <c r="G518" i="5"/>
  <c r="G618" i="5"/>
  <c r="G278" i="5"/>
  <c r="G804" i="5"/>
  <c r="G974" i="5"/>
  <c r="G178" i="5"/>
  <c r="G962" i="5"/>
  <c r="G530" i="5"/>
  <c r="G577" i="5"/>
  <c r="G492" i="5"/>
  <c r="G393" i="5"/>
  <c r="G746" i="5"/>
  <c r="G364" i="5"/>
  <c r="G515" i="5"/>
  <c r="G329" i="5"/>
  <c r="G130" i="5"/>
  <c r="G187" i="5"/>
  <c r="G680" i="5"/>
  <c r="G611" i="5"/>
  <c r="G105" i="5"/>
  <c r="G559" i="5"/>
  <c r="G33" i="5"/>
  <c r="G940" i="5"/>
  <c r="G119" i="5"/>
  <c r="G880" i="5"/>
  <c r="G92" i="5"/>
  <c r="G240" i="5"/>
  <c r="G487" i="5"/>
  <c r="G19" i="5"/>
  <c r="G946" i="5"/>
  <c r="G908" i="5"/>
  <c r="G928" i="5"/>
  <c r="G107" i="5"/>
  <c r="G588" i="5"/>
  <c r="G433" i="5"/>
  <c r="G219" i="5"/>
  <c r="G818" i="5"/>
  <c r="G585" i="5"/>
  <c r="G290" i="5"/>
  <c r="G337" i="5"/>
  <c r="G687" i="5"/>
  <c r="G640" i="5"/>
  <c r="G678" i="5"/>
  <c r="G911" i="5"/>
  <c r="G129" i="5"/>
  <c r="G981" i="5"/>
  <c r="G704" i="5"/>
  <c r="G649" i="5"/>
  <c r="G621" i="5"/>
  <c r="G554" i="5"/>
  <c r="G152" i="5"/>
  <c r="G627" i="5"/>
  <c r="G401" i="5"/>
  <c r="G434" i="5"/>
  <c r="G951" i="5"/>
  <c r="G571" i="5"/>
  <c r="G817" i="5"/>
  <c r="G658" i="5"/>
  <c r="G79" i="5"/>
  <c r="G10" i="5"/>
  <c r="G768" i="5"/>
  <c r="G83" i="5"/>
  <c r="G583" i="5"/>
  <c r="G265" i="5"/>
  <c r="G303" i="5"/>
  <c r="G495" i="5"/>
  <c r="G859" i="5"/>
  <c r="G593" i="5"/>
  <c r="G874" i="5"/>
  <c r="G247" i="5"/>
  <c r="G120" i="5"/>
  <c r="G469" i="5"/>
  <c r="G42" i="5"/>
  <c r="G572" i="5"/>
  <c r="G473" i="5"/>
  <c r="G892" i="5"/>
  <c r="G608" i="5"/>
  <c r="G440" i="5"/>
  <c r="G367" i="5"/>
  <c r="G856" i="5"/>
  <c r="G710" i="5"/>
  <c r="G769" i="5"/>
  <c r="G883" i="5"/>
  <c r="G622" i="5"/>
  <c r="G90" i="5"/>
  <c r="G251" i="5"/>
  <c r="G151" i="5"/>
  <c r="G470" i="5"/>
  <c r="G533" i="5"/>
  <c r="G209" i="5"/>
  <c r="G298" i="5"/>
  <c r="G730" i="5"/>
  <c r="G991" i="5"/>
  <c r="G357" i="5"/>
  <c r="G270" i="5"/>
  <c r="G452" i="5"/>
  <c r="G95" i="5"/>
  <c r="G798" i="5"/>
  <c r="G682" i="5"/>
  <c r="G218" i="5"/>
  <c r="G69" i="5"/>
  <c r="G910" i="5"/>
  <c r="G964" i="5"/>
  <c r="G551" i="5"/>
  <c r="G416" i="5"/>
  <c r="G228" i="5"/>
  <c r="G328" i="5"/>
  <c r="G392" i="5"/>
  <c r="G136" i="5"/>
  <c r="G41" i="5"/>
  <c r="G162" i="5"/>
  <c r="G667" i="5"/>
  <c r="W951" i="5" l="1"/>
  <c r="W396" i="5"/>
  <c r="W663" i="5"/>
  <c r="W116" i="5"/>
  <c r="W22" i="5"/>
  <c r="W190" i="5"/>
  <c r="W803" i="5"/>
  <c r="W543" i="5"/>
  <c r="V328" i="5"/>
  <c r="V270" i="5"/>
  <c r="V883" i="5"/>
  <c r="V120" i="5"/>
  <c r="V79" i="5"/>
  <c r="V704" i="5"/>
  <c r="V433" i="5"/>
  <c r="V940" i="5"/>
  <c r="W910" i="5"/>
  <c r="W209" i="5"/>
  <c r="W440" i="5"/>
  <c r="W330" i="5"/>
  <c r="W785" i="5"/>
  <c r="W67" i="5"/>
  <c r="W113" i="5"/>
  <c r="W972" i="5"/>
  <c r="W879" i="5"/>
  <c r="W651" i="5"/>
  <c r="W425" i="5"/>
  <c r="W175" i="5"/>
  <c r="W805" i="5"/>
  <c r="W215" i="5"/>
  <c r="W491" i="5"/>
  <c r="W978" i="5"/>
  <c r="W815" i="5"/>
  <c r="W160" i="5"/>
  <c r="W953" i="5"/>
  <c r="W377" i="5"/>
  <c r="V228" i="5"/>
  <c r="V357" i="5"/>
  <c r="V769" i="5"/>
  <c r="V527" i="5"/>
  <c r="W533" i="5"/>
  <c r="W401" i="5"/>
  <c r="W19" i="5"/>
  <c r="W187" i="5"/>
  <c r="W128" i="5"/>
  <c r="W668" i="5"/>
  <c r="W448" i="5"/>
  <c r="W54" i="5"/>
  <c r="W319" i="5"/>
  <c r="W935" i="5"/>
  <c r="W371" i="5"/>
  <c r="W920" i="5"/>
  <c r="W454" i="5"/>
  <c r="W241" i="5"/>
  <c r="W955" i="5"/>
  <c r="W359" i="5"/>
  <c r="W327" i="5"/>
  <c r="W426" i="5"/>
  <c r="W96" i="5"/>
  <c r="W657" i="5"/>
  <c r="V334" i="5"/>
  <c r="V620" i="5"/>
  <c r="V579" i="5"/>
  <c r="W717" i="5"/>
  <c r="W253" i="5"/>
  <c r="W702" i="5"/>
  <c r="W759" i="5"/>
  <c r="W389" i="5"/>
  <c r="W29" i="5"/>
  <c r="W761" i="5"/>
  <c r="W844" i="5"/>
  <c r="W94" i="5"/>
  <c r="W782" i="5"/>
  <c r="W127" i="5"/>
  <c r="W537" i="5"/>
  <c r="W80" i="5"/>
  <c r="W483" i="5"/>
  <c r="W945" i="5"/>
  <c r="W35" i="5"/>
  <c r="W610" i="5"/>
  <c r="W171" i="5"/>
  <c r="V850" i="5"/>
  <c r="W968" i="5"/>
  <c r="W408" i="5"/>
  <c r="W61" i="5"/>
  <c r="W289" i="5"/>
  <c r="W648" i="5"/>
  <c r="W147" i="5"/>
  <c r="W202" i="5"/>
  <c r="W708" i="5"/>
  <c r="W787" i="5"/>
  <c r="W780" i="5"/>
  <c r="W31" i="5"/>
  <c r="V31" i="5"/>
  <c r="AA31" i="5" s="1"/>
  <c r="AB31" i="5" s="1"/>
  <c r="W63" i="5"/>
  <c r="AA63" i="5" s="1"/>
  <c r="AB63" i="5" s="1"/>
  <c r="W901" i="5"/>
  <c r="W763" i="5"/>
  <c r="W716" i="5"/>
  <c r="V716" i="5"/>
  <c r="W103" i="5"/>
  <c r="W252" i="5"/>
  <c r="W149" i="5"/>
  <c r="W845" i="5"/>
  <c r="W110" i="5"/>
  <c r="AA110" i="5" s="1"/>
  <c r="AB110" i="5" s="1"/>
  <c r="W432" i="5"/>
  <c r="W39" i="5"/>
  <c r="W839" i="5"/>
  <c r="W521" i="5"/>
  <c r="W257" i="5"/>
  <c r="W948" i="5"/>
  <c r="V948" i="5"/>
  <c r="AA948" i="5" s="1"/>
  <c r="AB948" i="5" s="1"/>
  <c r="W101" i="5"/>
  <c r="W138" i="5"/>
  <c r="V138" i="5"/>
  <c r="W182" i="5"/>
  <c r="W485" i="5"/>
  <c r="W628" i="5"/>
  <c r="V828" i="5"/>
  <c r="V12" i="5"/>
  <c r="V789" i="5"/>
  <c r="V821" i="5"/>
  <c r="V921" i="5"/>
  <c r="W136" i="5"/>
  <c r="W90" i="5"/>
  <c r="W880" i="5"/>
  <c r="W604" i="5"/>
  <c r="W634" i="5"/>
  <c r="W287" i="5"/>
  <c r="W676" i="5"/>
  <c r="W881" i="5"/>
  <c r="W969" i="5"/>
  <c r="W853" i="5"/>
  <c r="W800" i="5"/>
  <c r="W556" i="5"/>
  <c r="V417" i="5"/>
  <c r="V69" i="5"/>
  <c r="V533" i="5"/>
  <c r="V608" i="5"/>
  <c r="V303" i="5"/>
  <c r="V401" i="5"/>
  <c r="V687" i="5"/>
  <c r="V19" i="5"/>
  <c r="V187" i="5"/>
  <c r="W622" i="5"/>
  <c r="W244" i="5"/>
  <c r="W607" i="5"/>
  <c r="W261" i="5"/>
  <c r="W692" i="5"/>
  <c r="W650" i="5"/>
  <c r="W56" i="5"/>
  <c r="W115" i="5"/>
  <c r="W490" i="5"/>
  <c r="W24" i="5"/>
  <c r="W196" i="5"/>
  <c r="W500" i="5"/>
  <c r="W578" i="5"/>
  <c r="W72" i="5"/>
  <c r="AA72" i="5" s="1"/>
  <c r="AB72" i="5" s="1"/>
  <c r="V632" i="5"/>
  <c r="W71" i="5"/>
  <c r="W684" i="5"/>
  <c r="V132" i="5"/>
  <c r="W998" i="5"/>
  <c r="V667" i="5"/>
  <c r="V218" i="5"/>
  <c r="V470" i="5"/>
  <c r="V892" i="5"/>
  <c r="V537" i="5"/>
  <c r="V35" i="5"/>
  <c r="V229" i="5"/>
  <c r="W120" i="5"/>
  <c r="W747" i="5"/>
  <c r="W312" i="5"/>
  <c r="W216" i="5"/>
  <c r="W468" i="5"/>
  <c r="W133" i="5"/>
  <c r="W49" i="5"/>
  <c r="W264" i="5"/>
  <c r="W484" i="5"/>
  <c r="W238" i="5"/>
  <c r="W591" i="5"/>
  <c r="W386" i="5"/>
  <c r="W705" i="5"/>
  <c r="W486" i="5"/>
  <c r="W124" i="5"/>
  <c r="W93" i="5"/>
  <c r="W582" i="5"/>
  <c r="W836" i="5"/>
  <c r="W847" i="5"/>
  <c r="V162" i="5"/>
  <c r="V682" i="5"/>
  <c r="V151" i="5"/>
  <c r="V473" i="5"/>
  <c r="V583" i="5"/>
  <c r="V152" i="5"/>
  <c r="V290" i="5"/>
  <c r="V240" i="5"/>
  <c r="V329" i="5"/>
  <c r="V278" i="5"/>
  <c r="V64" i="5"/>
  <c r="V848" i="5"/>
  <c r="V615" i="5"/>
  <c r="V427" i="5"/>
  <c r="V968" i="5"/>
  <c r="V934" i="5"/>
  <c r="V976" i="5"/>
  <c r="V311" i="5"/>
  <c r="V781" i="5"/>
  <c r="V973" i="5"/>
  <c r="V744" i="5"/>
  <c r="V353" i="5"/>
  <c r="V206" i="5"/>
  <c r="V250" i="5"/>
  <c r="V793" i="5"/>
  <c r="V260" i="5"/>
  <c r="V408" i="5"/>
  <c r="V586" i="5"/>
  <c r="V750" i="5"/>
  <c r="V841" i="5"/>
  <c r="V809" i="5"/>
  <c r="V443" i="5"/>
  <c r="V13" i="5"/>
  <c r="V61" i="5"/>
  <c r="V524" i="5"/>
  <c r="V289" i="5"/>
  <c r="V372" i="5"/>
  <c r="V893" i="5"/>
  <c r="V780" i="5"/>
  <c r="W228" i="5"/>
  <c r="W247" i="5"/>
  <c r="W492" i="5"/>
  <c r="W863" i="5"/>
  <c r="W462" i="5"/>
  <c r="W142" i="5"/>
  <c r="W465" i="5"/>
  <c r="W808" i="5"/>
  <c r="W553" i="5"/>
  <c r="W567" i="5"/>
  <c r="W997" i="5"/>
  <c r="W437" i="5"/>
  <c r="W725" i="5"/>
  <c r="W898" i="5"/>
  <c r="W779" i="5"/>
  <c r="W942" i="5"/>
  <c r="W89" i="5"/>
  <c r="W416" i="5"/>
  <c r="W874" i="5"/>
  <c r="W107" i="5"/>
  <c r="W559" i="5"/>
  <c r="W688" i="5"/>
  <c r="W404" i="5"/>
  <c r="W938" i="5"/>
  <c r="W488" i="5"/>
  <c r="W53" i="5"/>
  <c r="W822" i="5"/>
  <c r="W16" i="5"/>
  <c r="W424" i="5"/>
  <c r="W534" i="5"/>
  <c r="W895" i="5"/>
  <c r="W334" i="5"/>
  <c r="W748" i="5"/>
  <c r="W346" i="5"/>
  <c r="W727" i="5"/>
  <c r="W620" i="5"/>
  <c r="W213" i="5"/>
  <c r="W295" i="5"/>
  <c r="W762" i="5"/>
  <c r="W163" i="5"/>
  <c r="W842" i="5"/>
  <c r="W223" i="5"/>
  <c r="W715" i="5"/>
  <c r="V207" i="5"/>
  <c r="W730" i="5"/>
  <c r="W172" i="5"/>
  <c r="W245" i="5"/>
  <c r="W153" i="5"/>
  <c r="W157" i="5"/>
  <c r="W867" i="5"/>
  <c r="W263" i="5"/>
  <c r="W966" i="5"/>
  <c r="W636" i="5"/>
  <c r="V812" i="5"/>
  <c r="W671" i="5"/>
  <c r="W526" i="5"/>
  <c r="W918" i="5"/>
  <c r="W917" i="5"/>
  <c r="V764" i="5"/>
  <c r="V609" i="5"/>
  <c r="V778" i="5"/>
  <c r="W30" i="5"/>
  <c r="V41" i="5"/>
  <c r="V798" i="5"/>
  <c r="V251" i="5"/>
  <c r="V572" i="5"/>
  <c r="V83" i="5"/>
  <c r="V554" i="5"/>
  <c r="V585" i="5"/>
  <c r="V92" i="5"/>
  <c r="V515" i="5"/>
  <c r="V618" i="5"/>
  <c r="V590" i="5"/>
  <c r="V252" i="5"/>
  <c r="V512" i="5"/>
  <c r="V231" i="5"/>
  <c r="V225" i="5"/>
  <c r="V625" i="5"/>
  <c r="V149" i="5"/>
  <c r="V397" i="5"/>
  <c r="V494" i="5"/>
  <c r="V845" i="5"/>
  <c r="V783" i="5"/>
  <c r="V195" i="5"/>
  <c r="V959" i="5"/>
  <c r="V566" i="5"/>
  <c r="V597" i="5"/>
  <c r="V191" i="5"/>
  <c r="V110" i="5"/>
  <c r="V689" i="5"/>
  <c r="V799" i="5"/>
  <c r="V391" i="5"/>
  <c r="V461" i="5"/>
  <c r="V419" i="5"/>
  <c r="V811" i="5"/>
  <c r="V432" i="5"/>
  <c r="V459" i="5"/>
  <c r="V126" i="5"/>
  <c r="V318" i="5"/>
  <c r="V723" i="5"/>
  <c r="V701" i="5"/>
  <c r="V1000" i="5"/>
  <c r="V39" i="5"/>
  <c r="V455" i="5"/>
  <c r="V58" i="5"/>
  <c r="V601" i="5"/>
  <c r="V316" i="5"/>
  <c r="V74" i="5"/>
  <c r="V606" i="5"/>
  <c r="V384" i="5"/>
  <c r="V32" i="5"/>
  <c r="V839" i="5"/>
  <c r="V857" i="5"/>
  <c r="V256" i="5"/>
  <c r="V754" i="5"/>
  <c r="V626" i="5"/>
  <c r="V521" i="5"/>
  <c r="V257" i="5"/>
  <c r="V348" i="5"/>
  <c r="V570" i="5"/>
  <c r="V961" i="5"/>
  <c r="V101" i="5"/>
  <c r="V106" i="5"/>
  <c r="V703" i="5"/>
  <c r="V314" i="5"/>
  <c r="V887" i="5"/>
  <c r="V14" i="5"/>
  <c r="V891" i="5"/>
  <c r="V752" i="5"/>
  <c r="V771" i="5"/>
  <c r="V322" i="5"/>
  <c r="W1001" i="5"/>
  <c r="V136" i="5"/>
  <c r="V95" i="5"/>
  <c r="V90" i="5"/>
  <c r="V42" i="5"/>
  <c r="V768" i="5"/>
  <c r="V621" i="5"/>
  <c r="V818" i="5"/>
  <c r="V880" i="5"/>
  <c r="V364" i="5"/>
  <c r="V518" i="5"/>
  <c r="V57" i="5"/>
  <c r="V430" i="5"/>
  <c r="V444" i="5"/>
  <c r="V194" i="5"/>
  <c r="V912" i="5"/>
  <c r="V996" i="5"/>
  <c r="V121" i="5"/>
  <c r="V423" i="5"/>
  <c r="V860" i="5"/>
  <c r="V604" i="5"/>
  <c r="V634" i="5"/>
  <c r="V963" i="5"/>
  <c r="V724" i="5"/>
  <c r="V104" i="5"/>
  <c r="V766" i="5"/>
  <c r="V296" i="5"/>
  <c r="V481" i="5"/>
  <c r="V294" i="5"/>
  <c r="V852" i="5"/>
  <c r="V614" i="5"/>
  <c r="V287" i="5"/>
  <c r="V835" i="5"/>
  <c r="V729" i="5"/>
  <c r="V734" i="5"/>
  <c r="V877" i="5"/>
  <c r="V916" i="5"/>
  <c r="V517" i="5"/>
  <c r="V637" i="5"/>
  <c r="V255" i="5"/>
  <c r="V528" i="5"/>
  <c r="V300" i="5"/>
  <c r="V676" i="5"/>
  <c r="V183" i="5"/>
  <c r="V713" i="5"/>
  <c r="V374" i="5"/>
  <c r="V37" i="5"/>
  <c r="V757" i="5"/>
  <c r="V922" i="5"/>
  <c r="V881" i="5"/>
  <c r="V519" i="5"/>
  <c r="V969" i="5"/>
  <c r="V237" i="5"/>
  <c r="V88" i="5"/>
  <c r="V167" i="5"/>
  <c r="V472" i="5"/>
  <c r="V980" i="5"/>
  <c r="V501" i="5"/>
  <c r="V721" i="5"/>
  <c r="V756" i="5"/>
  <c r="V602" i="5"/>
  <c r="V797" i="5"/>
  <c r="V376" i="5"/>
  <c r="V906" i="5"/>
  <c r="V523" i="5"/>
  <c r="V890" i="5"/>
  <c r="V392" i="5"/>
  <c r="V452" i="5"/>
  <c r="V622" i="5"/>
  <c r="V469" i="5"/>
  <c r="V10" i="5"/>
  <c r="V649" i="5"/>
  <c r="V219" i="5"/>
  <c r="V119" i="5"/>
  <c r="V746" i="5"/>
  <c r="V244" i="5"/>
  <c r="V274" i="5"/>
  <c r="V607" i="5"/>
  <c r="V772" i="5"/>
  <c r="V148" i="5"/>
  <c r="V862" i="5"/>
  <c r="V550" i="5"/>
  <c r="V261" i="5"/>
  <c r="V514" i="5"/>
  <c r="V829" i="5"/>
  <c r="V692" i="5"/>
  <c r="V650" i="5"/>
  <c r="V619" i="5"/>
  <c r="V56" i="5"/>
  <c r="V755" i="5"/>
  <c r="V115" i="5"/>
  <c r="V511" i="5"/>
  <c r="V773" i="5"/>
  <c r="V15" i="5"/>
  <c r="V199" i="5"/>
  <c r="V707" i="5"/>
  <c r="V843" i="5"/>
  <c r="V737" i="5"/>
  <c r="V633" i="5"/>
  <c r="V159" i="5"/>
  <c r="V638" i="5"/>
  <c r="V970" i="5"/>
  <c r="V292" i="5"/>
  <c r="V490" i="5"/>
  <c r="V24" i="5"/>
  <c r="V196" i="5"/>
  <c r="V699" i="5"/>
  <c r="V242" i="5"/>
  <c r="V368" i="5"/>
  <c r="V435" i="5"/>
  <c r="V325" i="5"/>
  <c r="V284" i="5"/>
  <c r="V422" i="5"/>
  <c r="V449" i="5"/>
  <c r="V500" i="5"/>
  <c r="V285" i="5"/>
  <c r="V458" i="5"/>
  <c r="V578" i="5"/>
  <c r="V876" i="5"/>
  <c r="V144" i="5"/>
  <c r="V198" i="5"/>
  <c r="V268" i="5"/>
  <c r="V72" i="5"/>
  <c r="V719" i="5"/>
  <c r="V595" i="5"/>
  <c r="V71" i="5"/>
  <c r="V123" i="5"/>
  <c r="V150" i="5"/>
  <c r="V272" i="5"/>
  <c r="V576" i="5"/>
  <c r="V220" i="5"/>
  <c r="V531" i="5"/>
  <c r="V221" i="5"/>
  <c r="V684" i="5"/>
  <c r="V612" i="5"/>
  <c r="V925" i="5"/>
  <c r="V995" i="5"/>
  <c r="V989" i="5"/>
  <c r="V403" i="5"/>
  <c r="V165" i="5"/>
  <c r="V669" i="5"/>
  <c r="V998" i="5"/>
  <c r="V393" i="5"/>
  <c r="V915" i="5"/>
  <c r="V402" i="5"/>
  <c r="V21" i="5"/>
  <c r="V909" i="5"/>
  <c r="V747" i="5"/>
  <c r="V753" i="5"/>
  <c r="V210" i="5"/>
  <c r="V312" i="5"/>
  <c r="V568" i="5"/>
  <c r="V846" i="5"/>
  <c r="V736" i="5"/>
  <c r="V216" i="5"/>
  <c r="V297" i="5"/>
  <c r="V332" i="5"/>
  <c r="V765" i="5"/>
  <c r="V541" i="5"/>
  <c r="V823" i="5"/>
  <c r="V139" i="5"/>
  <c r="V468" i="5"/>
  <c r="V133" i="5"/>
  <c r="V100" i="5"/>
  <c r="V321" i="5"/>
  <c r="V158" i="5"/>
  <c r="V596" i="5"/>
  <c r="V86" i="5"/>
  <c r="V539" i="5"/>
  <c r="V76" i="5"/>
  <c r="V652" i="5"/>
  <c r="V49" i="5"/>
  <c r="V341" i="5"/>
  <c r="V992" i="5"/>
  <c r="V555" i="5"/>
  <c r="V264" i="5"/>
  <c r="V302" i="5"/>
  <c r="V994" i="5"/>
  <c r="V189" i="5"/>
  <c r="V698" i="5"/>
  <c r="V484" i="5"/>
  <c r="V407" i="5"/>
  <c r="V238" i="5"/>
  <c r="V886" i="5"/>
  <c r="V591" i="5"/>
  <c r="V400" i="5"/>
  <c r="V373" i="5"/>
  <c r="V386" i="5"/>
  <c r="V259" i="5"/>
  <c r="V749" i="5"/>
  <c r="V705" i="5"/>
  <c r="V937" i="5"/>
  <c r="V453" i="5"/>
  <c r="V538" i="5"/>
  <c r="V930" i="5"/>
  <c r="V486" i="5"/>
  <c r="V505" i="5"/>
  <c r="V390" i="5"/>
  <c r="V124" i="5"/>
  <c r="V506" i="5"/>
  <c r="V681" i="5"/>
  <c r="V70" i="5"/>
  <c r="V93" i="5"/>
  <c r="V343" i="5"/>
  <c r="V181" i="5"/>
  <c r="V363" i="5"/>
  <c r="V535" i="5"/>
  <c r="V949" i="5"/>
  <c r="V806" i="5"/>
  <c r="V582" i="5"/>
  <c r="V706" i="5"/>
  <c r="V836" i="5"/>
  <c r="V673" i="5"/>
  <c r="V742" i="5"/>
  <c r="V350" i="5"/>
  <c r="V847" i="5"/>
  <c r="V429" i="5"/>
  <c r="V247" i="5"/>
  <c r="V658" i="5"/>
  <c r="V981" i="5"/>
  <c r="V588" i="5"/>
  <c r="V33" i="5"/>
  <c r="V492" i="5"/>
  <c r="V489" i="5"/>
  <c r="V536" i="5"/>
  <c r="V99" i="5"/>
  <c r="V17" i="5"/>
  <c r="V317" i="5"/>
  <c r="V594" i="5"/>
  <c r="V863" i="5"/>
  <c r="V462" i="5"/>
  <c r="V239" i="5"/>
  <c r="V700" i="5"/>
  <c r="V326" i="5"/>
  <c r="V873" i="5"/>
  <c r="V685" i="5"/>
  <c r="V987" i="5"/>
  <c r="V732" i="5"/>
  <c r="V320" i="5"/>
  <c r="V903" i="5"/>
  <c r="V467" i="5"/>
  <c r="V142" i="5"/>
  <c r="V826" i="5"/>
  <c r="V26" i="5"/>
  <c r="V603" i="5"/>
  <c r="V493" i="5"/>
  <c r="V409" i="5"/>
  <c r="V108" i="5"/>
  <c r="V249" i="5"/>
  <c r="V439" i="5"/>
  <c r="V117" i="5"/>
  <c r="V914" i="5"/>
  <c r="V465" i="5"/>
  <c r="V808" i="5"/>
  <c r="V513" i="5"/>
  <c r="V560" i="5"/>
  <c r="V59" i="5"/>
  <c r="V774" i="5"/>
  <c r="V457" i="5"/>
  <c r="V170" i="5"/>
  <c r="V833" i="5"/>
  <c r="V352" i="5"/>
  <c r="V60" i="5"/>
  <c r="V553" i="5"/>
  <c r="V413" i="5"/>
  <c r="V567" i="5"/>
  <c r="V997" i="5"/>
  <c r="V50" i="5"/>
  <c r="V315" i="5"/>
  <c r="V639" i="5"/>
  <c r="V739" i="5"/>
  <c r="V385" i="5"/>
  <c r="V993" i="5"/>
  <c r="V313" i="5"/>
  <c r="V122" i="5"/>
  <c r="V114" i="5"/>
  <c r="V305" i="5"/>
  <c r="V456" i="5"/>
  <c r="V211" i="5"/>
  <c r="V437" i="5"/>
  <c r="V919" i="5"/>
  <c r="V137" i="5"/>
  <c r="V653" i="5"/>
  <c r="V725" i="5"/>
  <c r="V865" i="5"/>
  <c r="V365" i="5"/>
  <c r="V134" i="5"/>
  <c r="V898" i="5"/>
  <c r="V720" i="5"/>
  <c r="V779" i="5"/>
  <c r="V942" i="5"/>
  <c r="V923" i="5"/>
  <c r="V436" i="5"/>
  <c r="V89" i="5"/>
  <c r="V66" i="5"/>
  <c r="V30" i="5"/>
  <c r="V416" i="5"/>
  <c r="V991" i="5"/>
  <c r="V710" i="5"/>
  <c r="V874" i="5"/>
  <c r="V817" i="5"/>
  <c r="V129" i="5"/>
  <c r="V107" i="5"/>
  <c r="V559" i="5"/>
  <c r="V577" i="5"/>
  <c r="V109" i="5"/>
  <c r="V169" i="5"/>
  <c r="V375" i="5"/>
  <c r="V693" i="5"/>
  <c r="V999" i="5"/>
  <c r="V450" i="5"/>
  <c r="V983" i="5"/>
  <c r="V168" i="5"/>
  <c r="V336" i="5"/>
  <c r="V810" i="5"/>
  <c r="V414" i="5"/>
  <c r="V688" i="5"/>
  <c r="V279" i="5"/>
  <c r="V404" i="5"/>
  <c r="V617" i="5"/>
  <c r="V118" i="5"/>
  <c r="V623" i="5"/>
  <c r="V173" i="5"/>
  <c r="V431" i="5"/>
  <c r="V824" i="5"/>
  <c r="V645" i="5"/>
  <c r="V896" i="5"/>
  <c r="V156" i="5"/>
  <c r="V938" i="5"/>
  <c r="V258" i="5"/>
  <c r="V358" i="5"/>
  <c r="V599" i="5"/>
  <c r="V545" i="5"/>
  <c r="V111" i="5"/>
  <c r="V488" i="5"/>
  <c r="V575" i="5"/>
  <c r="V395" i="5"/>
  <c r="V482" i="5"/>
  <c r="V53" i="5"/>
  <c r="V499" i="5"/>
  <c r="V62" i="5"/>
  <c r="V822" i="5"/>
  <c r="V905" i="5"/>
  <c r="V939" i="5"/>
  <c r="V16" i="5"/>
  <c r="V424" i="5"/>
  <c r="V957" i="5"/>
  <c r="V534" i="5"/>
  <c r="V895" i="5"/>
  <c r="V475" i="5"/>
  <c r="V420" i="5"/>
  <c r="V339" i="5"/>
  <c r="V383" i="5"/>
  <c r="V748" i="5"/>
  <c r="V952" i="5"/>
  <c r="V208" i="5"/>
  <c r="V346" i="5"/>
  <c r="V125" i="5"/>
  <c r="V166" i="5"/>
  <c r="V271" i="5"/>
  <c r="V727" i="5"/>
  <c r="V661" i="5"/>
  <c r="V498" i="5"/>
  <c r="V738" i="5"/>
  <c r="V709" i="5"/>
  <c r="V213" i="5"/>
  <c r="V295" i="5"/>
  <c r="V762" i="5"/>
  <c r="V163" i="5"/>
  <c r="V842" i="5"/>
  <c r="V78" i="5"/>
  <c r="V223" i="5"/>
  <c r="V480" i="5"/>
  <c r="V605" i="5"/>
  <c r="V715" i="5"/>
  <c r="V1001" i="5"/>
  <c r="V551" i="5"/>
  <c r="V730" i="5"/>
  <c r="V856" i="5"/>
  <c r="V593" i="5"/>
  <c r="V571" i="5"/>
  <c r="V911" i="5"/>
  <c r="V928" i="5"/>
  <c r="V105" i="5"/>
  <c r="V530" i="5"/>
  <c r="V830" i="5"/>
  <c r="V411" i="5"/>
  <c r="V43" i="5"/>
  <c r="V563" i="5"/>
  <c r="V977" i="5"/>
  <c r="V854" i="5"/>
  <c r="V308" i="5"/>
  <c r="V205" i="5"/>
  <c r="V445" i="5"/>
  <c r="V696" i="5"/>
  <c r="V616" i="5"/>
  <c r="V55" i="5"/>
  <c r="V112" i="5"/>
  <c r="V267" i="5"/>
  <c r="V172" i="5"/>
  <c r="V245" i="5"/>
  <c r="V344" i="5"/>
  <c r="V153" i="5"/>
  <c r="V929" i="5"/>
  <c r="V387" i="5"/>
  <c r="V947" i="5"/>
  <c r="V18" i="5"/>
  <c r="V45" i="5"/>
  <c r="V157" i="5"/>
  <c r="V971" i="5"/>
  <c r="V740" i="5"/>
  <c r="V794" i="5"/>
  <c r="V869" i="5"/>
  <c r="V867" i="5"/>
  <c r="V503" i="5"/>
  <c r="V263" i="5"/>
  <c r="V509" i="5"/>
  <c r="V960" i="5"/>
  <c r="V966" i="5"/>
  <c r="V388" i="5"/>
  <c r="V442" i="5"/>
  <c r="V861" i="5"/>
  <c r="V222" i="5"/>
  <c r="V502" i="5"/>
  <c r="V3" i="5"/>
  <c r="V542" i="5"/>
  <c r="V28" i="5"/>
  <c r="V584" i="5"/>
  <c r="V135" i="5"/>
  <c r="V186" i="5"/>
  <c r="V936" i="5"/>
  <c r="V984" i="5"/>
  <c r="V463" i="5"/>
  <c r="V574" i="5"/>
  <c r="V636" i="5"/>
  <c r="V671" i="5"/>
  <c r="V177" i="5"/>
  <c r="V7" i="5"/>
  <c r="V526" i="5"/>
  <c r="V918" i="5"/>
  <c r="V807" i="5"/>
  <c r="V141" i="5"/>
  <c r="V471" i="5"/>
  <c r="V964" i="5"/>
  <c r="V298" i="5"/>
  <c r="V367" i="5"/>
  <c r="V859" i="5"/>
  <c r="V951" i="5"/>
  <c r="V678" i="5"/>
  <c r="V908" i="5"/>
  <c r="V611" i="5"/>
  <c r="V962" i="5"/>
  <c r="V675" i="5"/>
  <c r="V662" i="5"/>
  <c r="V552" i="5"/>
  <c r="V986" i="5"/>
  <c r="V944" i="5"/>
  <c r="V792" i="5"/>
  <c r="V293" i="5"/>
  <c r="V635" i="5"/>
  <c r="V770" i="5"/>
  <c r="V354" i="5"/>
  <c r="V694" i="5"/>
  <c r="V982" i="5"/>
  <c r="V286" i="5"/>
  <c r="V784" i="5"/>
  <c r="V777" i="5"/>
  <c r="V11" i="5"/>
  <c r="V741" i="5"/>
  <c r="V598" i="5"/>
  <c r="V819" i="5"/>
  <c r="V695" i="5"/>
  <c r="V813" i="5"/>
  <c r="V831" i="5"/>
  <c r="V630" i="5"/>
  <c r="V479" i="5"/>
  <c r="V875" i="5"/>
  <c r="V396" i="5"/>
  <c r="V718" i="5"/>
  <c r="V663" i="5"/>
  <c r="V641" i="5"/>
  <c r="V116" i="5"/>
  <c r="V933" i="5"/>
  <c r="V243" i="5"/>
  <c r="V943" i="5"/>
  <c r="V22" i="5"/>
  <c r="V4" i="5"/>
  <c r="V180" i="5"/>
  <c r="V8" i="5"/>
  <c r="V87" i="5"/>
  <c r="V788" i="5"/>
  <c r="V190" i="5"/>
  <c r="V51" i="5"/>
  <c r="V790" i="5"/>
  <c r="V504" i="5"/>
  <c r="V36" i="5"/>
  <c r="V235" i="5"/>
  <c r="V613" i="5"/>
  <c r="V38" i="5"/>
  <c r="V674" i="5"/>
  <c r="V477" i="5"/>
  <c r="V275" i="5"/>
  <c r="V203" i="5"/>
  <c r="V979" i="5"/>
  <c r="V2" i="5"/>
  <c r="V230" i="5"/>
  <c r="V309" i="5"/>
  <c r="V902" i="5"/>
  <c r="V224" i="5"/>
  <c r="V795" i="5"/>
  <c r="V910" i="5"/>
  <c r="V209" i="5"/>
  <c r="V440" i="5"/>
  <c r="V495" i="5"/>
  <c r="V434" i="5"/>
  <c r="V640" i="5"/>
  <c r="V946" i="5"/>
  <c r="V680" i="5"/>
  <c r="V178" i="5"/>
  <c r="V451" i="5"/>
  <c r="V510" i="5"/>
  <c r="V837" i="5"/>
  <c r="V330" i="5"/>
  <c r="V775" i="5"/>
  <c r="V246" i="5"/>
  <c r="V520" i="5"/>
  <c r="V786" i="5"/>
  <c r="V785" i="5"/>
  <c r="V67" i="5"/>
  <c r="V131" i="5"/>
  <c r="V496" i="5"/>
  <c r="V985" i="5"/>
  <c r="V580" i="5"/>
  <c r="V34" i="5"/>
  <c r="V338" i="5"/>
  <c r="V113" i="5"/>
  <c r="V972" i="5"/>
  <c r="V549" i="5"/>
  <c r="V561" i="5"/>
  <c r="V624" i="5"/>
  <c r="V858" i="5"/>
  <c r="V381" i="5"/>
  <c r="V879" i="5"/>
  <c r="V600" i="5"/>
  <c r="V398" i="5"/>
  <c r="V370" i="5"/>
  <c r="V651" i="5"/>
  <c r="V425" i="5"/>
  <c r="V236" i="5"/>
  <c r="V175" i="5"/>
  <c r="V446" i="5"/>
  <c r="V200" i="5"/>
  <c r="V497" i="5"/>
  <c r="V820" i="5"/>
  <c r="V85" i="5"/>
  <c r="V589" i="5"/>
  <c r="V805" i="5"/>
  <c r="V508" i="5"/>
  <c r="V310" i="5"/>
  <c r="V714" i="5"/>
  <c r="V438" i="5"/>
  <c r="V97" i="5"/>
  <c r="V215" i="5"/>
  <c r="V491" i="5"/>
  <c r="V776" i="5"/>
  <c r="V665" i="5"/>
  <c r="V176" i="5"/>
  <c r="V273" i="5"/>
  <c r="V978" i="5"/>
  <c r="V382" i="5"/>
  <c r="V926" i="5"/>
  <c r="V815" i="5"/>
  <c r="V226" i="5"/>
  <c r="V735" i="5"/>
  <c r="V814" i="5"/>
  <c r="V697" i="5"/>
  <c r="V25" i="5"/>
  <c r="V160" i="5"/>
  <c r="V217" i="5"/>
  <c r="V281" i="5"/>
  <c r="V564" i="5"/>
  <c r="V953" i="5"/>
  <c r="V899" i="5"/>
  <c r="V377" i="5"/>
  <c r="V871" i="5"/>
  <c r="V631" i="5"/>
  <c r="V179" i="5"/>
  <c r="V884" i="5"/>
  <c r="V974" i="5"/>
  <c r="V581" i="5"/>
  <c r="V647" i="5"/>
  <c r="V356" i="5"/>
  <c r="V816" i="5"/>
  <c r="V557" i="5"/>
  <c r="V143" i="5"/>
  <c r="V587" i="5"/>
  <c r="V410" i="5"/>
  <c r="V529" i="5"/>
  <c r="V91" i="5"/>
  <c r="V646" i="5"/>
  <c r="V558" i="5"/>
  <c r="V145" i="5"/>
  <c r="V128" i="5"/>
  <c r="V851" i="5"/>
  <c r="V565" i="5"/>
  <c r="V668" i="5"/>
  <c r="V659" i="5"/>
  <c r="V448" i="5"/>
  <c r="V522" i="5"/>
  <c r="V54" i="5"/>
  <c r="V319" i="5"/>
  <c r="V988" i="5"/>
  <c r="V954" i="5"/>
  <c r="V935" i="5"/>
  <c r="V894" i="5"/>
  <c r="V48" i="5"/>
  <c r="V371" i="5"/>
  <c r="V920" i="5"/>
  <c r="V454" i="5"/>
  <c r="V27" i="5"/>
  <c r="V282" i="5"/>
  <c r="V366" i="5"/>
  <c r="V672" i="5"/>
  <c r="V40" i="5"/>
  <c r="V304" i="5"/>
  <c r="V629" i="5"/>
  <c r="V855" i="5"/>
  <c r="V52" i="5"/>
  <c r="V9" i="5"/>
  <c r="V241" i="5"/>
  <c r="V214" i="5"/>
  <c r="V269" i="5"/>
  <c r="V428" i="5"/>
  <c r="V323" i="5"/>
  <c r="V547" i="5"/>
  <c r="V405" i="5"/>
  <c r="V975" i="5"/>
  <c r="V307" i="5"/>
  <c r="V955" i="5"/>
  <c r="V872" i="5"/>
  <c r="V77" i="5"/>
  <c r="V722" i="5"/>
  <c r="V399" i="5"/>
  <c r="V927" i="5"/>
  <c r="V324" i="5"/>
  <c r="V185" i="5"/>
  <c r="V355" i="5"/>
  <c r="V950" i="5"/>
  <c r="V421" i="5"/>
  <c r="V345" i="5"/>
  <c r="V359" i="5"/>
  <c r="V418" i="5"/>
  <c r="V327" i="5"/>
  <c r="V426" i="5"/>
  <c r="V832" i="5"/>
  <c r="V98" i="5"/>
  <c r="V924" i="5"/>
  <c r="V958" i="5"/>
  <c r="V686" i="5"/>
  <c r="V96" i="5"/>
  <c r="V913" i="5"/>
  <c r="V657" i="5"/>
  <c r="V369" i="5"/>
  <c r="V265" i="5"/>
  <c r="V627" i="5"/>
  <c r="V337" i="5"/>
  <c r="V487" i="5"/>
  <c r="V130" i="5"/>
  <c r="V804" i="5"/>
  <c r="V717" i="5"/>
  <c r="V827" i="5"/>
  <c r="V478" i="5"/>
  <c r="V712" i="5"/>
  <c r="V84" i="5"/>
  <c r="V164" i="5"/>
  <c r="V666" i="5"/>
  <c r="V253" i="5"/>
  <c r="V702" i="5"/>
  <c r="V759" i="5"/>
  <c r="V660" i="5"/>
  <c r="V184" i="5"/>
  <c r="V349" i="5"/>
  <c r="V389" i="5"/>
  <c r="V361" i="5"/>
  <c r="V188" i="5"/>
  <c r="V767" i="5"/>
  <c r="V73" i="5"/>
  <c r="V540" i="5"/>
  <c r="V644" i="5"/>
  <c r="V44" i="5"/>
  <c r="V174" i="5"/>
  <c r="V825" i="5"/>
  <c r="V29" i="5"/>
  <c r="V761" i="5"/>
  <c r="V840" i="5"/>
  <c r="V656" i="5"/>
  <c r="V643" i="5"/>
  <c r="V844" i="5"/>
  <c r="V834" i="5"/>
  <c r="V679" i="5"/>
  <c r="V546" i="5"/>
  <c r="V562" i="5"/>
  <c r="V248" i="5"/>
  <c r="V94" i="5"/>
  <c r="V782" i="5"/>
  <c r="V127" i="5"/>
  <c r="V80" i="5"/>
  <c r="V592" i="5"/>
  <c r="V864" i="5"/>
  <c r="V483" i="5"/>
  <c r="V731" i="5"/>
  <c r="V745" i="5"/>
  <c r="V728" i="5"/>
  <c r="V233" i="5"/>
  <c r="V945" i="5"/>
  <c r="V690" i="5"/>
  <c r="V683" i="5"/>
  <c r="V288" i="5"/>
  <c r="V990" i="5"/>
  <c r="V711" i="5"/>
  <c r="V331" i="5"/>
  <c r="V956" i="5"/>
  <c r="V146" i="5"/>
  <c r="V866" i="5"/>
  <c r="V254" i="5"/>
  <c r="V291" i="5"/>
  <c r="V610" i="5"/>
  <c r="V65" i="5"/>
  <c r="V171" i="5"/>
  <c r="V642" i="5"/>
  <c r="V5" i="5"/>
  <c r="V204" i="5"/>
  <c r="V441" i="5"/>
  <c r="V232" i="5"/>
  <c r="V464" i="5"/>
  <c r="V885" i="5"/>
  <c r="V838" i="5"/>
  <c r="V476" i="5"/>
  <c r="V197" i="5"/>
  <c r="V20" i="5"/>
  <c r="V648" i="5"/>
  <c r="V262" i="5"/>
  <c r="V147" i="5"/>
  <c r="V379" i="5"/>
  <c r="V888" i="5"/>
  <c r="V227" i="5"/>
  <c r="V47" i="5"/>
  <c r="V202" i="5"/>
  <c r="V466" i="5"/>
  <c r="V23" i="5"/>
  <c r="V708" i="5"/>
  <c r="V192" i="5"/>
  <c r="V544" i="5"/>
  <c r="V787" i="5"/>
  <c r="V932" i="5"/>
  <c r="V283" i="5"/>
  <c r="V201" i="5"/>
  <c r="V380" i="5"/>
  <c r="V965" i="5"/>
  <c r="V474" i="5"/>
  <c r="V406" i="5"/>
  <c r="V333" i="5"/>
  <c r="V155" i="5"/>
  <c r="V234" i="5"/>
  <c r="V677" i="5"/>
  <c r="V82" i="5"/>
  <c r="V63" i="5"/>
  <c r="V548" i="5"/>
  <c r="V140" i="5"/>
  <c r="V743" i="5"/>
  <c r="V6" i="5"/>
  <c r="V870" i="5"/>
  <c r="V901" i="5"/>
  <c r="V569" i="5"/>
  <c r="V900" i="5"/>
  <c r="V763" i="5"/>
  <c r="V796" i="5"/>
  <c r="V525" i="5"/>
  <c r="V447" i="5"/>
  <c r="V306" i="5"/>
  <c r="V878" i="5"/>
  <c r="V664" i="5"/>
  <c r="V733" i="5"/>
  <c r="V280" i="5"/>
  <c r="V266" i="5"/>
  <c r="V803" i="5"/>
  <c r="V415" i="5"/>
  <c r="V276" i="5"/>
  <c r="V726" i="5"/>
  <c r="V351" i="5"/>
  <c r="V347" i="5"/>
  <c r="V532" i="5"/>
  <c r="V655" i="5"/>
  <c r="V362" i="5"/>
  <c r="V543" i="5"/>
  <c r="V849" i="5"/>
  <c r="V868" i="5"/>
  <c r="V103" i="5"/>
  <c r="V507" i="5"/>
  <c r="V889" i="5"/>
  <c r="V182" i="5"/>
  <c r="V378" i="5"/>
  <c r="V68" i="5"/>
  <c r="V360" i="5"/>
  <c r="V161" i="5"/>
  <c r="V485" i="5"/>
  <c r="V967" i="5"/>
  <c r="V335" i="5"/>
  <c r="V154" i="5"/>
  <c r="V941" i="5"/>
  <c r="V628" i="5"/>
  <c r="V931" i="5"/>
  <c r="V904" i="5"/>
  <c r="V853" i="5"/>
  <c r="V800" i="5"/>
  <c r="V654" i="5"/>
  <c r="V897" i="5"/>
  <c r="V801" i="5"/>
  <c r="V277" i="5"/>
  <c r="V193" i="5"/>
  <c r="V340" i="5"/>
  <c r="V301" i="5"/>
  <c r="V81" i="5"/>
  <c r="V758" i="5"/>
  <c r="V573" i="5"/>
  <c r="V882" i="5"/>
  <c r="V212" i="5"/>
  <c r="V412" i="5"/>
  <c r="V556" i="5"/>
  <c r="V907" i="5"/>
  <c r="V670" i="5"/>
  <c r="E30" i="6"/>
  <c r="F30" i="6"/>
  <c r="V802" i="5"/>
  <c r="V917" i="5"/>
  <c r="V102" i="5"/>
  <c r="V342" i="5"/>
  <c r="V751" i="5"/>
  <c r="V46" i="5"/>
  <c r="V75" i="5"/>
  <c r="V691" i="5"/>
  <c r="V460" i="5"/>
  <c r="V394" i="5"/>
  <c r="V516" i="5"/>
  <c r="V760" i="5"/>
  <c r="V299" i="5"/>
  <c r="V791" i="5"/>
  <c r="L417" i="5"/>
  <c r="Z417" i="5" s="1"/>
  <c r="L667" i="5"/>
  <c r="Z667" i="5" s="1"/>
  <c r="L416" i="5"/>
  <c r="Z416" i="5" s="1"/>
  <c r="L551" i="5"/>
  <c r="Z551" i="5" s="1"/>
  <c r="L964" i="5"/>
  <c r="Z964" i="5" s="1"/>
  <c r="L910" i="5"/>
  <c r="Z910" i="5" s="1"/>
  <c r="L69" i="5"/>
  <c r="Z69" i="5" s="1"/>
  <c r="L218" i="5"/>
  <c r="Z218" i="5" s="1"/>
  <c r="L991" i="5"/>
  <c r="Z991" i="5" s="1"/>
  <c r="L730" i="5"/>
  <c r="Z730" i="5" s="1"/>
  <c r="L298" i="5"/>
  <c r="Z298" i="5" s="1"/>
  <c r="L209" i="5"/>
  <c r="Z209" i="5" s="1"/>
  <c r="L533" i="5"/>
  <c r="Z533" i="5" s="1"/>
  <c r="L470" i="5"/>
  <c r="Z470" i="5" s="1"/>
  <c r="L710" i="5"/>
  <c r="Z710" i="5" s="1"/>
  <c r="L856" i="5"/>
  <c r="Z856" i="5" s="1"/>
  <c r="J367" i="5"/>
  <c r="J440" i="5"/>
  <c r="X440" i="5" s="1"/>
  <c r="J608" i="5"/>
  <c r="J892" i="5"/>
  <c r="X892" i="5" s="1"/>
  <c r="J42" i="5"/>
  <c r="Q42" i="5" s="1"/>
  <c r="J469" i="5"/>
  <c r="J120" i="5"/>
  <c r="X120" i="5" s="1"/>
  <c r="J247" i="5"/>
  <c r="X247" i="5" s="1"/>
  <c r="J874" i="5"/>
  <c r="X874" i="5" s="1"/>
  <c r="L593" i="5"/>
  <c r="Z593" i="5" s="1"/>
  <c r="L859" i="5"/>
  <c r="Z859" i="5" s="1"/>
  <c r="J495" i="5"/>
  <c r="J303" i="5"/>
  <c r="J265" i="5"/>
  <c r="L817" i="5"/>
  <c r="Z817" i="5" s="1"/>
  <c r="L571" i="5"/>
  <c r="Z571" i="5" s="1"/>
  <c r="L951" i="5"/>
  <c r="Z951" i="5" s="1"/>
  <c r="L434" i="5"/>
  <c r="Z434" i="5" s="1"/>
  <c r="L401" i="5"/>
  <c r="Z401" i="5" s="1"/>
  <c r="L627" i="5"/>
  <c r="Z627" i="5" s="1"/>
  <c r="L129" i="5"/>
  <c r="Z129" i="5" s="1"/>
  <c r="L911" i="5"/>
  <c r="Z911" i="5" s="1"/>
  <c r="L678" i="5"/>
  <c r="Z678" i="5" s="1"/>
  <c r="J640" i="5"/>
  <c r="J687" i="5"/>
  <c r="J337" i="5"/>
  <c r="L107" i="5"/>
  <c r="Z107" i="5" s="1"/>
  <c r="L928" i="5"/>
  <c r="Z928" i="5" s="1"/>
  <c r="L908" i="5"/>
  <c r="Z908" i="5" s="1"/>
  <c r="L946" i="5"/>
  <c r="Z946" i="5" s="1"/>
  <c r="L19" i="5"/>
  <c r="Z19" i="5" s="1"/>
  <c r="L487" i="5"/>
  <c r="Z487" i="5" s="1"/>
  <c r="L559" i="5"/>
  <c r="Z559" i="5" s="1"/>
  <c r="L105" i="5"/>
  <c r="Z105" i="5" s="1"/>
  <c r="L611" i="5"/>
  <c r="Z611" i="5" s="1"/>
  <c r="J680" i="5"/>
  <c r="J187" i="5"/>
  <c r="X187" i="5" s="1"/>
  <c r="J130" i="5"/>
  <c r="L577" i="5"/>
  <c r="Z577" i="5" s="1"/>
  <c r="L530" i="5"/>
  <c r="Z530" i="5" s="1"/>
  <c r="L962" i="5"/>
  <c r="Z962" i="5" s="1"/>
  <c r="J178" i="5"/>
  <c r="J974" i="5"/>
  <c r="X974" i="5" s="1"/>
  <c r="J804" i="5"/>
  <c r="L109" i="5"/>
  <c r="Z109" i="5" s="1"/>
  <c r="L830" i="5"/>
  <c r="Z830" i="5" s="1"/>
  <c r="L675" i="5"/>
  <c r="Z675" i="5" s="1"/>
  <c r="L451" i="5"/>
  <c r="Z451" i="5" s="1"/>
  <c r="L581" i="5"/>
  <c r="Z581" i="5" s="1"/>
  <c r="L717" i="5"/>
  <c r="Z717" i="5" s="1"/>
  <c r="L169" i="5"/>
  <c r="Z169" i="5" s="1"/>
  <c r="L411" i="5"/>
  <c r="Z411" i="5" s="1"/>
  <c r="L662" i="5"/>
  <c r="Z662" i="5" s="1"/>
  <c r="J510" i="5"/>
  <c r="J647" i="5"/>
  <c r="X647" i="5" s="1"/>
  <c r="J827" i="5"/>
  <c r="L375" i="5"/>
  <c r="Z375" i="5" s="1"/>
  <c r="L43" i="5"/>
  <c r="Z43" i="5" s="1"/>
  <c r="L552" i="5"/>
  <c r="Z552" i="5" s="1"/>
  <c r="J837" i="5"/>
  <c r="J356" i="5"/>
  <c r="J478" i="5"/>
  <c r="L693" i="5"/>
  <c r="Z693" i="5" s="1"/>
  <c r="L563" i="5"/>
  <c r="Z563" i="5" s="1"/>
  <c r="L986" i="5"/>
  <c r="Z986" i="5" s="1"/>
  <c r="L330" i="5"/>
  <c r="Z330" i="5" s="1"/>
  <c r="L816" i="5"/>
  <c r="Z816" i="5" s="1"/>
  <c r="L712" i="5"/>
  <c r="Z712" i="5" s="1"/>
  <c r="L999" i="5"/>
  <c r="Z999" i="5" s="1"/>
  <c r="L977" i="5"/>
  <c r="Z977" i="5" s="1"/>
  <c r="L944" i="5"/>
  <c r="Z944" i="5" s="1"/>
  <c r="J775" i="5"/>
  <c r="X775" i="5" s="1"/>
  <c r="J557" i="5"/>
  <c r="L84" i="5"/>
  <c r="Z84" i="5" s="1"/>
  <c r="L450" i="5"/>
  <c r="Z450" i="5" s="1"/>
  <c r="L854" i="5"/>
  <c r="Z854" i="5" s="1"/>
  <c r="L792" i="5"/>
  <c r="Z792" i="5" s="1"/>
  <c r="J246" i="5"/>
  <c r="X246" i="5" s="1"/>
  <c r="J143" i="5"/>
  <c r="L164" i="5"/>
  <c r="Z164" i="5" s="1"/>
  <c r="L983" i="5"/>
  <c r="Z983" i="5" s="1"/>
  <c r="L308" i="5"/>
  <c r="Z308" i="5" s="1"/>
  <c r="L293" i="5"/>
  <c r="Z293" i="5" s="1"/>
  <c r="L520" i="5"/>
  <c r="Z520" i="5" s="1"/>
  <c r="L587" i="5"/>
  <c r="Z587" i="5" s="1"/>
  <c r="L666" i="5"/>
  <c r="Z666" i="5" s="1"/>
  <c r="L168" i="5"/>
  <c r="Z168" i="5" s="1"/>
  <c r="L205" i="5"/>
  <c r="Z205" i="5" s="1"/>
  <c r="L635" i="5"/>
  <c r="Z635" i="5" s="1"/>
  <c r="L786" i="5"/>
  <c r="Z786" i="5" s="1"/>
  <c r="L410" i="5"/>
  <c r="L253" i="5"/>
  <c r="Z253" i="5" s="1"/>
  <c r="J514" i="5"/>
  <c r="L336" i="5"/>
  <c r="Z336" i="5" s="1"/>
  <c r="L445" i="5"/>
  <c r="Z445" i="5" s="1"/>
  <c r="L770" i="5"/>
  <c r="Z770" i="5" s="1"/>
  <c r="L785" i="5"/>
  <c r="Z785" i="5" s="1"/>
  <c r="L529" i="5"/>
  <c r="Z529" i="5" s="1"/>
  <c r="L702" i="5"/>
  <c r="Z702" i="5" s="1"/>
  <c r="L810" i="5"/>
  <c r="Z810" i="5" s="1"/>
  <c r="L696" i="5"/>
  <c r="Z696" i="5" s="1"/>
  <c r="L354" i="5"/>
  <c r="Z354" i="5" s="1"/>
  <c r="J67" i="5"/>
  <c r="X67" i="5" s="1"/>
  <c r="L91" i="5"/>
  <c r="Z91" i="5" s="1"/>
  <c r="L759" i="5"/>
  <c r="Z759" i="5" s="1"/>
  <c r="L414" i="5"/>
  <c r="Z414" i="5" s="1"/>
  <c r="L616" i="5"/>
  <c r="Z616" i="5" s="1"/>
  <c r="L694" i="5"/>
  <c r="Z694" i="5" s="1"/>
  <c r="J131" i="5"/>
  <c r="L646" i="5"/>
  <c r="Z646" i="5" s="1"/>
  <c r="L660" i="5"/>
  <c r="Z660" i="5" s="1"/>
  <c r="L688" i="5"/>
  <c r="Z688" i="5" s="1"/>
  <c r="L55" i="5"/>
  <c r="Z55" i="5" s="1"/>
  <c r="L982" i="5"/>
  <c r="Z982" i="5" s="1"/>
  <c r="J496" i="5"/>
  <c r="L558" i="5"/>
  <c r="Z558" i="5" s="1"/>
  <c r="L184" i="5"/>
  <c r="Z184" i="5" s="1"/>
  <c r="L279" i="5"/>
  <c r="Z279" i="5" s="1"/>
  <c r="L112" i="5"/>
  <c r="Z112" i="5" s="1"/>
  <c r="L286" i="5"/>
  <c r="Z286" i="5" s="1"/>
  <c r="L985" i="5"/>
  <c r="Z985" i="5" s="1"/>
  <c r="L145" i="5"/>
  <c r="Z145" i="5" s="1"/>
  <c r="L349" i="5"/>
  <c r="Z349" i="5" s="1"/>
  <c r="L404" i="5"/>
  <c r="Z404" i="5" s="1"/>
  <c r="L267" i="5"/>
  <c r="Z267" i="5" s="1"/>
  <c r="L784" i="5"/>
  <c r="Z784" i="5" s="1"/>
  <c r="L580" i="5"/>
  <c r="Z580" i="5" s="1"/>
  <c r="L128" i="5"/>
  <c r="Z128" i="5" s="1"/>
  <c r="L389" i="5"/>
  <c r="Z389" i="5" s="1"/>
  <c r="J755" i="5"/>
  <c r="X755" i="5" s="1"/>
  <c r="L617" i="5"/>
  <c r="Z617" i="5" s="1"/>
  <c r="L172" i="5"/>
  <c r="Z172" i="5" s="1"/>
  <c r="L777" i="5"/>
  <c r="Z777" i="5" s="1"/>
  <c r="L34" i="5"/>
  <c r="Z34" i="5" s="1"/>
  <c r="L851" i="5"/>
  <c r="Z851" i="5" s="1"/>
  <c r="L361" i="5"/>
  <c r="Z361" i="5" s="1"/>
  <c r="L118" i="5"/>
  <c r="Z118" i="5" s="1"/>
  <c r="L245" i="5"/>
  <c r="Z245" i="5" s="1"/>
  <c r="L11" i="5"/>
  <c r="Z11" i="5" s="1"/>
  <c r="J338" i="5"/>
  <c r="L565" i="5"/>
  <c r="Z565" i="5" s="1"/>
  <c r="L188" i="5"/>
  <c r="Z188" i="5" s="1"/>
  <c r="L623" i="5"/>
  <c r="Z623" i="5" s="1"/>
  <c r="L344" i="5"/>
  <c r="Z344" i="5" s="1"/>
  <c r="L741" i="5"/>
  <c r="Z741" i="5" s="1"/>
  <c r="J113" i="5"/>
  <c r="X113" i="5" s="1"/>
  <c r="L668" i="5"/>
  <c r="Z668" i="5" s="1"/>
  <c r="L767" i="5"/>
  <c r="Z767" i="5" s="1"/>
  <c r="L173" i="5"/>
  <c r="Z173" i="5" s="1"/>
  <c r="L153" i="5"/>
  <c r="Z153" i="5" s="1"/>
  <c r="L598" i="5"/>
  <c r="Z598" i="5" s="1"/>
  <c r="J972" i="5"/>
  <c r="X972" i="5" s="1"/>
  <c r="L659" i="5"/>
  <c r="Z659" i="5" s="1"/>
  <c r="L73" i="5"/>
  <c r="Z73" i="5" s="1"/>
  <c r="L431" i="5"/>
  <c r="Z431" i="5" s="1"/>
  <c r="L929" i="5"/>
  <c r="Z929" i="5" s="1"/>
  <c r="L819" i="5"/>
  <c r="Z819" i="5" s="1"/>
  <c r="L549" i="5"/>
  <c r="Z549" i="5" s="1"/>
  <c r="L448" i="5"/>
  <c r="Z448" i="5" s="1"/>
  <c r="L540" i="5"/>
  <c r="Z540" i="5" s="1"/>
  <c r="L824" i="5"/>
  <c r="Z824" i="5" s="1"/>
  <c r="L387" i="5"/>
  <c r="Z387" i="5" s="1"/>
  <c r="L695" i="5"/>
  <c r="Z695" i="5" s="1"/>
  <c r="L561" i="5"/>
  <c r="Z561" i="5" s="1"/>
  <c r="L522" i="5"/>
  <c r="Z522" i="5" s="1"/>
  <c r="L644" i="5"/>
  <c r="Z644" i="5" s="1"/>
  <c r="J707" i="5"/>
  <c r="L645" i="5"/>
  <c r="Z645" i="5" s="1"/>
  <c r="L947" i="5"/>
  <c r="Z947" i="5" s="1"/>
  <c r="L813" i="5"/>
  <c r="Z813" i="5" s="1"/>
  <c r="L624" i="5"/>
  <c r="Z624" i="5" s="1"/>
  <c r="L54" i="5"/>
  <c r="Z54" i="5" s="1"/>
  <c r="L44" i="5"/>
  <c r="Z44" i="5" s="1"/>
  <c r="L896" i="5"/>
  <c r="Z896" i="5" s="1"/>
  <c r="L18" i="5"/>
  <c r="Z18" i="5" s="1"/>
  <c r="L831" i="5"/>
  <c r="Z831" i="5" s="1"/>
  <c r="J858" i="5"/>
  <c r="L319" i="5"/>
  <c r="Z319" i="5" s="1"/>
  <c r="L174" i="5"/>
  <c r="Z174" i="5" s="1"/>
  <c r="L156" i="5"/>
  <c r="Z156" i="5" s="1"/>
  <c r="L45" i="5"/>
  <c r="Z45" i="5" s="1"/>
  <c r="L630" i="5"/>
  <c r="Z630" i="5" s="1"/>
  <c r="J381" i="5"/>
  <c r="L988" i="5"/>
  <c r="Z988" i="5" s="1"/>
  <c r="L825" i="5"/>
  <c r="Z825" i="5" s="1"/>
  <c r="L938" i="5"/>
  <c r="Z938" i="5" s="1"/>
  <c r="L157" i="5"/>
  <c r="Z157" i="5" s="1"/>
  <c r="L479" i="5"/>
  <c r="Z479" i="5" s="1"/>
  <c r="J879" i="5"/>
  <c r="X879" i="5" s="1"/>
  <c r="L954" i="5"/>
  <c r="Z954" i="5" s="1"/>
  <c r="L29" i="5"/>
  <c r="Z29" i="5" s="1"/>
  <c r="L258" i="5"/>
  <c r="Z258" i="5" s="1"/>
  <c r="L971" i="5"/>
  <c r="Z971" i="5" s="1"/>
  <c r="L875" i="5"/>
  <c r="Z875" i="5" s="1"/>
  <c r="L600" i="5"/>
  <c r="Z600" i="5" s="1"/>
  <c r="L935" i="5"/>
  <c r="Z935" i="5" s="1"/>
  <c r="L761" i="5"/>
  <c r="Z761" i="5" s="1"/>
  <c r="L358" i="5"/>
  <c r="Z358" i="5" s="1"/>
  <c r="L740" i="5"/>
  <c r="Z740" i="5" s="1"/>
  <c r="L396" i="5"/>
  <c r="Z396" i="5" s="1"/>
  <c r="L398" i="5"/>
  <c r="Z398" i="5" s="1"/>
  <c r="L894" i="5"/>
  <c r="Z894" i="5" s="1"/>
  <c r="L840" i="5"/>
  <c r="Z840" i="5" s="1"/>
  <c r="L599" i="5"/>
  <c r="Z599" i="5" s="1"/>
  <c r="L794" i="5"/>
  <c r="Z794" i="5" s="1"/>
  <c r="L718" i="5"/>
  <c r="Z718" i="5" s="1"/>
  <c r="L370" i="5"/>
  <c r="Z370" i="5" s="1"/>
  <c r="L48" i="5"/>
  <c r="Z48" i="5" s="1"/>
  <c r="L656" i="5"/>
  <c r="Z656" i="5" s="1"/>
  <c r="L545" i="5"/>
  <c r="Z545" i="5" s="1"/>
  <c r="L869" i="5"/>
  <c r="Z869" i="5" s="1"/>
  <c r="L663" i="5"/>
  <c r="Z663" i="5" s="1"/>
  <c r="L651" i="5"/>
  <c r="Z651" i="5" s="1"/>
  <c r="L371" i="5"/>
  <c r="Z371" i="5" s="1"/>
  <c r="L643" i="5"/>
  <c r="Z643" i="5" s="1"/>
  <c r="L111" i="5"/>
  <c r="Z111" i="5" s="1"/>
  <c r="L867" i="5"/>
  <c r="Z867" i="5" s="1"/>
  <c r="L641" i="5"/>
  <c r="Z641" i="5" s="1"/>
  <c r="L425" i="5"/>
  <c r="Z425" i="5" s="1"/>
  <c r="L920" i="5"/>
  <c r="Z920" i="5" s="1"/>
  <c r="L844" i="5"/>
  <c r="Z844" i="5" s="1"/>
  <c r="L488" i="5"/>
  <c r="Z488" i="5" s="1"/>
  <c r="L503" i="5"/>
  <c r="Z503" i="5" s="1"/>
  <c r="L116" i="5"/>
  <c r="Z116" i="5" s="1"/>
  <c r="L236" i="5"/>
  <c r="Z236" i="5" s="1"/>
  <c r="L454" i="5"/>
  <c r="Z454" i="5" s="1"/>
  <c r="L834" i="5"/>
  <c r="Z834" i="5" s="1"/>
  <c r="L575" i="5"/>
  <c r="Z575" i="5" s="1"/>
  <c r="L263" i="5"/>
  <c r="Z263" i="5" s="1"/>
  <c r="L933" i="5"/>
  <c r="Z933" i="5" s="1"/>
  <c r="L175" i="5"/>
  <c r="Z175" i="5" s="1"/>
  <c r="L27" i="5"/>
  <c r="Z27" i="5" s="1"/>
  <c r="L679" i="5"/>
  <c r="Z679" i="5" s="1"/>
  <c r="L395" i="5"/>
  <c r="Z395" i="5" s="1"/>
  <c r="L509" i="5"/>
  <c r="Z509" i="5" s="1"/>
  <c r="L243" i="5"/>
  <c r="Z243" i="5" s="1"/>
  <c r="L828" i="5"/>
  <c r="Z828" i="5" s="1"/>
  <c r="L282" i="5"/>
  <c r="Z282" i="5" s="1"/>
  <c r="L546" i="5"/>
  <c r="Z546" i="5" s="1"/>
  <c r="L482" i="5"/>
  <c r="Z482" i="5" s="1"/>
  <c r="L960" i="5"/>
  <c r="Z960" i="5" s="1"/>
  <c r="L943" i="5"/>
  <c r="Z943" i="5" s="1"/>
  <c r="L446" i="5"/>
  <c r="Z446" i="5" s="1"/>
  <c r="L366" i="5"/>
  <c r="Z366" i="5" s="1"/>
  <c r="L562" i="5"/>
  <c r="Z562" i="5" s="1"/>
  <c r="L53" i="5"/>
  <c r="Z53" i="5" s="1"/>
  <c r="L966" i="5"/>
  <c r="Z966" i="5" s="1"/>
  <c r="L22" i="5"/>
  <c r="Z22" i="5" s="1"/>
  <c r="L200" i="5"/>
  <c r="Z200" i="5" s="1"/>
  <c r="L672" i="5"/>
  <c r="Z672" i="5" s="1"/>
  <c r="L248" i="5"/>
  <c r="Z248" i="5" s="1"/>
  <c r="L499" i="5"/>
  <c r="Z499" i="5" s="1"/>
  <c r="L388" i="5"/>
  <c r="Z388" i="5" s="1"/>
  <c r="L4" i="5"/>
  <c r="Z4" i="5" s="1"/>
  <c r="L12" i="5"/>
  <c r="Z12" i="5" s="1"/>
  <c r="L40" i="5"/>
  <c r="Z40" i="5" s="1"/>
  <c r="L94" i="5"/>
  <c r="Z94" i="5" s="1"/>
  <c r="L62" i="5"/>
  <c r="Z62" i="5" s="1"/>
  <c r="L442" i="5"/>
  <c r="Z442" i="5" s="1"/>
  <c r="L180" i="5"/>
  <c r="Z180" i="5" s="1"/>
  <c r="L497" i="5"/>
  <c r="Z497" i="5" s="1"/>
  <c r="L304" i="5"/>
  <c r="Z304" i="5" s="1"/>
  <c r="L782" i="5"/>
  <c r="Z782" i="5" s="1"/>
  <c r="L822" i="5"/>
  <c r="Z822" i="5" s="1"/>
  <c r="L861" i="5"/>
  <c r="Z861" i="5" s="1"/>
  <c r="L8" i="5"/>
  <c r="Z8" i="5" s="1"/>
  <c r="L820" i="5"/>
  <c r="Z820" i="5" s="1"/>
  <c r="L629" i="5"/>
  <c r="Z629" i="5" s="1"/>
  <c r="L127" i="5"/>
  <c r="Z127" i="5" s="1"/>
  <c r="L905" i="5"/>
  <c r="Z905" i="5" s="1"/>
  <c r="L222" i="5"/>
  <c r="Z222" i="5" s="1"/>
  <c r="L87" i="5"/>
  <c r="Z87" i="5" s="1"/>
  <c r="L85" i="5"/>
  <c r="Z85" i="5" s="1"/>
  <c r="L855" i="5"/>
  <c r="Z855" i="5" s="1"/>
  <c r="L537" i="5"/>
  <c r="Z537" i="5" s="1"/>
  <c r="L939" i="5"/>
  <c r="Z939" i="5" s="1"/>
  <c r="L502" i="5"/>
  <c r="Z502" i="5" s="1"/>
  <c r="L788" i="5"/>
  <c r="Z788" i="5" s="1"/>
  <c r="L589" i="5"/>
  <c r="Z589" i="5" s="1"/>
  <c r="L52" i="5"/>
  <c r="Z52" i="5" s="1"/>
  <c r="L80" i="5"/>
  <c r="Z80" i="5" s="1"/>
  <c r="L16" i="5"/>
  <c r="Z16" i="5" s="1"/>
  <c r="L850" i="5"/>
  <c r="Z850" i="5" s="1"/>
  <c r="L190" i="5"/>
  <c r="Z190" i="5" s="1"/>
  <c r="L805" i="5"/>
  <c r="Z805" i="5" s="1"/>
  <c r="L9" i="5"/>
  <c r="Z9" i="5" s="1"/>
  <c r="L592" i="5"/>
  <c r="Z592" i="5" s="1"/>
  <c r="L424" i="5"/>
  <c r="Z424" i="5" s="1"/>
  <c r="L3" i="5"/>
  <c r="Z3" i="5" s="1"/>
  <c r="L51" i="5"/>
  <c r="Z51" i="5" s="1"/>
  <c r="L508" i="5"/>
  <c r="Z508" i="5" s="1"/>
  <c r="L241" i="5"/>
  <c r="Z241" i="5" s="1"/>
  <c r="L864" i="5"/>
  <c r="Z864" i="5" s="1"/>
  <c r="L957" i="5"/>
  <c r="Z957" i="5" s="1"/>
  <c r="L542" i="5"/>
  <c r="Z542" i="5" s="1"/>
  <c r="L790" i="5"/>
  <c r="Z790" i="5" s="1"/>
  <c r="L310" i="5"/>
  <c r="Z310" i="5" s="1"/>
  <c r="L214" i="5"/>
  <c r="Z214" i="5" s="1"/>
  <c r="L483" i="5"/>
  <c r="Z483" i="5" s="1"/>
  <c r="L534" i="5"/>
  <c r="Z534" i="5" s="1"/>
  <c r="L28" i="5"/>
  <c r="Z28" i="5" s="1"/>
  <c r="L504" i="5"/>
  <c r="Z504" i="5" s="1"/>
  <c r="L714" i="5"/>
  <c r="Z714" i="5" s="1"/>
  <c r="L269" i="5"/>
  <c r="Z269" i="5" s="1"/>
  <c r="L731" i="5"/>
  <c r="Z731" i="5" s="1"/>
  <c r="L895" i="5"/>
  <c r="Z895" i="5" s="1"/>
  <c r="L584" i="5"/>
  <c r="Z584" i="5" s="1"/>
  <c r="L36" i="5"/>
  <c r="Z36" i="5" s="1"/>
  <c r="L438" i="5"/>
  <c r="Z438" i="5" s="1"/>
  <c r="L428" i="5"/>
  <c r="Z428" i="5" s="1"/>
  <c r="L745" i="5"/>
  <c r="Z745" i="5" s="1"/>
  <c r="L475" i="5"/>
  <c r="Z475" i="5" s="1"/>
  <c r="L135" i="5"/>
  <c r="Z135" i="5" s="1"/>
  <c r="L235" i="5"/>
  <c r="Z235" i="5" s="1"/>
  <c r="L789" i="5"/>
  <c r="Z789" i="5" s="1"/>
  <c r="L323" i="5"/>
  <c r="Z323" i="5" s="1"/>
  <c r="L728" i="5"/>
  <c r="Z728" i="5" s="1"/>
  <c r="L420" i="5"/>
  <c r="Z420" i="5" s="1"/>
  <c r="L186" i="5"/>
  <c r="Z186" i="5" s="1"/>
  <c r="L613" i="5"/>
  <c r="Z613" i="5" s="1"/>
  <c r="L97" i="5"/>
  <c r="Z97" i="5" s="1"/>
  <c r="L547" i="5"/>
  <c r="Z547" i="5" s="1"/>
  <c r="L233" i="5"/>
  <c r="Z233" i="5" s="1"/>
  <c r="L334" i="5"/>
  <c r="Z334" i="5" s="1"/>
  <c r="L936" i="5"/>
  <c r="Z936" i="5" s="1"/>
  <c r="L38" i="5"/>
  <c r="Z38" i="5" s="1"/>
  <c r="L405" i="5"/>
  <c r="Z405" i="5" s="1"/>
  <c r="L945" i="5"/>
  <c r="Z945" i="5" s="1"/>
  <c r="L339" i="5"/>
  <c r="Z339" i="5" s="1"/>
  <c r="L984" i="5"/>
  <c r="Z984" i="5" s="1"/>
  <c r="L975" i="5"/>
  <c r="Z975" i="5" s="1"/>
  <c r="L690" i="5"/>
  <c r="Z690" i="5" s="1"/>
  <c r="L383" i="5"/>
  <c r="Z383" i="5" s="1"/>
  <c r="L683" i="5"/>
  <c r="Z683" i="5" s="1"/>
  <c r="L748" i="5"/>
  <c r="Z748" i="5" s="1"/>
  <c r="L952" i="5"/>
  <c r="Z952" i="5" s="1"/>
  <c r="L208" i="5"/>
  <c r="Z208" i="5" s="1"/>
  <c r="L346" i="5"/>
  <c r="Z346" i="5" s="1"/>
  <c r="L125" i="5"/>
  <c r="Z125" i="5" s="1"/>
  <c r="L166" i="5"/>
  <c r="Z166" i="5" s="1"/>
  <c r="L271" i="5"/>
  <c r="Z271" i="5" s="1"/>
  <c r="L727" i="5"/>
  <c r="Z727" i="5" s="1"/>
  <c r="L661" i="5"/>
  <c r="Z661" i="5" s="1"/>
  <c r="L620" i="5"/>
  <c r="Z620" i="5" s="1"/>
  <c r="L498" i="5"/>
  <c r="Z498" i="5" s="1"/>
  <c r="L738" i="5"/>
  <c r="Z738" i="5" s="1"/>
  <c r="L709" i="5"/>
  <c r="Z709" i="5" s="1"/>
  <c r="L579" i="5"/>
  <c r="Z579" i="5" s="1"/>
  <c r="L213" i="5"/>
  <c r="Z213" i="5" s="1"/>
  <c r="L295" i="5"/>
  <c r="Z295" i="5" s="1"/>
  <c r="L762" i="5"/>
  <c r="Z762" i="5" s="1"/>
  <c r="L163" i="5"/>
  <c r="Z163" i="5" s="1"/>
  <c r="L842" i="5"/>
  <c r="Z842" i="5" s="1"/>
  <c r="L78" i="5"/>
  <c r="Z78" i="5" s="1"/>
  <c r="L223" i="5"/>
  <c r="Z223" i="5" s="1"/>
  <c r="L480" i="5"/>
  <c r="Z480" i="5" s="1"/>
  <c r="L605" i="5"/>
  <c r="Z605" i="5" s="1"/>
  <c r="L463" i="5"/>
  <c r="Z463" i="5" s="1"/>
  <c r="L574" i="5"/>
  <c r="Z574" i="5" s="1"/>
  <c r="L636" i="5"/>
  <c r="Z636" i="5" s="1"/>
  <c r="L812" i="5"/>
  <c r="Z812" i="5" s="1"/>
  <c r="L671" i="5"/>
  <c r="Z671" i="5" s="1"/>
  <c r="L177" i="5"/>
  <c r="Z177" i="5" s="1"/>
  <c r="L7" i="5"/>
  <c r="Z7" i="5" s="1"/>
  <c r="L526" i="5"/>
  <c r="Z526" i="5" s="1"/>
  <c r="L918" i="5"/>
  <c r="Z918" i="5" s="1"/>
  <c r="L807" i="5"/>
  <c r="Z807" i="5" s="1"/>
  <c r="L141" i="5"/>
  <c r="Z141" i="5" s="1"/>
  <c r="L471" i="5"/>
  <c r="Z471" i="5" s="1"/>
  <c r="L802" i="5"/>
  <c r="Z802" i="5" s="1"/>
  <c r="L917" i="5"/>
  <c r="Z917" i="5" s="1"/>
  <c r="L102" i="5"/>
  <c r="Z102" i="5" s="1"/>
  <c r="L342" i="5"/>
  <c r="Z342" i="5" s="1"/>
  <c r="L751" i="5"/>
  <c r="Z751" i="5" s="1"/>
  <c r="L46" i="5"/>
  <c r="Z46" i="5" s="1"/>
  <c r="L75" i="5"/>
  <c r="Z75" i="5" s="1"/>
  <c r="L691" i="5"/>
  <c r="Z691" i="5" s="1"/>
  <c r="L460" i="5"/>
  <c r="Z460" i="5" s="1"/>
  <c r="L394" i="5"/>
  <c r="Z394" i="5" s="1"/>
  <c r="L516" i="5"/>
  <c r="Z516" i="5" s="1"/>
  <c r="L760" i="5"/>
  <c r="Z760" i="5" s="1"/>
  <c r="L299" i="5"/>
  <c r="Z299" i="5" s="1"/>
  <c r="L674" i="5"/>
  <c r="Z674" i="5" s="1"/>
  <c r="L477" i="5"/>
  <c r="Z477" i="5" s="1"/>
  <c r="L275" i="5"/>
  <c r="Z275" i="5" s="1"/>
  <c r="L203" i="5"/>
  <c r="Z203" i="5" s="1"/>
  <c r="L979" i="5"/>
  <c r="Z979" i="5" s="1"/>
  <c r="L2" i="5"/>
  <c r="Z2" i="5" s="1"/>
  <c r="L230" i="5"/>
  <c r="Z230" i="5" s="1"/>
  <c r="L309" i="5"/>
  <c r="Z309" i="5" s="1"/>
  <c r="L902" i="5"/>
  <c r="Z902" i="5" s="1"/>
  <c r="L224" i="5"/>
  <c r="Z224" i="5" s="1"/>
  <c r="L664" i="5"/>
  <c r="Z664" i="5" s="1"/>
  <c r="L733" i="5"/>
  <c r="Z733" i="5" s="1"/>
  <c r="L280" i="5"/>
  <c r="Z280" i="5" s="1"/>
  <c r="L266" i="5"/>
  <c r="Z266" i="5" s="1"/>
  <c r="L803" i="5"/>
  <c r="Z803" i="5" s="1"/>
  <c r="L415" i="5"/>
  <c r="Z415" i="5" s="1"/>
  <c r="L276" i="5"/>
  <c r="Z276" i="5" s="1"/>
  <c r="L726" i="5"/>
  <c r="Z726" i="5" s="1"/>
  <c r="L351" i="5"/>
  <c r="Z351" i="5" s="1"/>
  <c r="L347" i="5"/>
  <c r="Z347" i="5" s="1"/>
  <c r="L532" i="5"/>
  <c r="Z532" i="5" s="1"/>
  <c r="L655" i="5"/>
  <c r="Z655" i="5" s="1"/>
  <c r="L362" i="5"/>
  <c r="Z362" i="5" s="1"/>
  <c r="L543" i="5"/>
  <c r="Z543" i="5" s="1"/>
  <c r="L849" i="5"/>
  <c r="Z849" i="5" s="1"/>
  <c r="L795" i="5"/>
  <c r="Z795" i="5" s="1"/>
  <c r="L215" i="5"/>
  <c r="Z215" i="5" s="1"/>
  <c r="L491" i="5"/>
  <c r="Z491" i="5" s="1"/>
  <c r="L776" i="5"/>
  <c r="Z776" i="5" s="1"/>
  <c r="L665" i="5"/>
  <c r="Z665" i="5" s="1"/>
  <c r="L176" i="5"/>
  <c r="Z176" i="5" s="1"/>
  <c r="L273" i="5"/>
  <c r="Z273" i="5" s="1"/>
  <c r="L978" i="5"/>
  <c r="Z978" i="5" s="1"/>
  <c r="L382" i="5"/>
  <c r="Z382" i="5" s="1"/>
  <c r="L926" i="5"/>
  <c r="Z926" i="5" s="1"/>
  <c r="L815" i="5"/>
  <c r="Z815" i="5" s="1"/>
  <c r="L821" i="5"/>
  <c r="Z821" i="5" s="1"/>
  <c r="L226" i="5"/>
  <c r="Z226" i="5" s="1"/>
  <c r="L735" i="5"/>
  <c r="Z735" i="5" s="1"/>
  <c r="L814" i="5"/>
  <c r="Z814" i="5" s="1"/>
  <c r="L697" i="5"/>
  <c r="Z697" i="5" s="1"/>
  <c r="L25" i="5"/>
  <c r="Z25" i="5" s="1"/>
  <c r="L160" i="5"/>
  <c r="Z160" i="5" s="1"/>
  <c r="L217" i="5"/>
  <c r="Z217" i="5" s="1"/>
  <c r="L281" i="5"/>
  <c r="Z281" i="5" s="1"/>
  <c r="L564" i="5"/>
  <c r="Z564" i="5" s="1"/>
  <c r="L953" i="5"/>
  <c r="Z953" i="5" s="1"/>
  <c r="L899" i="5"/>
  <c r="Z899" i="5" s="1"/>
  <c r="L377" i="5"/>
  <c r="Z377" i="5" s="1"/>
  <c r="L921" i="5"/>
  <c r="L871" i="5"/>
  <c r="Z871" i="5" s="1"/>
  <c r="L631" i="5"/>
  <c r="Z631" i="5" s="1"/>
  <c r="L179" i="5"/>
  <c r="Z179" i="5" s="1"/>
  <c r="L884" i="5"/>
  <c r="Z884" i="5" s="1"/>
  <c r="L307" i="5"/>
  <c r="Z307" i="5" s="1"/>
  <c r="L955" i="5"/>
  <c r="Z955" i="5" s="1"/>
  <c r="L872" i="5"/>
  <c r="Z872" i="5" s="1"/>
  <c r="L77" i="5"/>
  <c r="Z77" i="5" s="1"/>
  <c r="L722" i="5"/>
  <c r="Z722" i="5" s="1"/>
  <c r="L399" i="5"/>
  <c r="Z399" i="5" s="1"/>
  <c r="L927" i="5"/>
  <c r="Z927" i="5" s="1"/>
  <c r="L324" i="5"/>
  <c r="Z324" i="5" s="1"/>
  <c r="L185" i="5"/>
  <c r="Z185" i="5" s="1"/>
  <c r="L355" i="5"/>
  <c r="Z355" i="5" s="1"/>
  <c r="L950" i="5"/>
  <c r="Z950" i="5" s="1"/>
  <c r="L421" i="5"/>
  <c r="Z421" i="5" s="1"/>
  <c r="L345" i="5"/>
  <c r="Z345" i="5" s="1"/>
  <c r="L359" i="5"/>
  <c r="Z359" i="5" s="1"/>
  <c r="L418" i="5"/>
  <c r="Z418" i="5" s="1"/>
  <c r="L327" i="5"/>
  <c r="Z327" i="5" s="1"/>
  <c r="L426" i="5"/>
  <c r="Z426" i="5" s="1"/>
  <c r="L832" i="5"/>
  <c r="Z832" i="5" s="1"/>
  <c r="L98" i="5"/>
  <c r="Z98" i="5" s="1"/>
  <c r="L924" i="5"/>
  <c r="Z924" i="5" s="1"/>
  <c r="L958" i="5"/>
  <c r="Z958" i="5" s="1"/>
  <c r="L686" i="5"/>
  <c r="Z686" i="5" s="1"/>
  <c r="L96" i="5"/>
  <c r="Z96" i="5" s="1"/>
  <c r="L913" i="5"/>
  <c r="Z913" i="5" s="1"/>
  <c r="L35" i="5"/>
  <c r="Z35" i="5" s="1"/>
  <c r="L288" i="5"/>
  <c r="Z288" i="5" s="1"/>
  <c r="L990" i="5"/>
  <c r="Z990" i="5" s="1"/>
  <c r="L711" i="5"/>
  <c r="Z711" i="5" s="1"/>
  <c r="L331" i="5"/>
  <c r="Z331" i="5" s="1"/>
  <c r="L956" i="5"/>
  <c r="Z956" i="5" s="1"/>
  <c r="L146" i="5"/>
  <c r="Z146" i="5" s="1"/>
  <c r="L866" i="5"/>
  <c r="Z866" i="5" s="1"/>
  <c r="L254" i="5"/>
  <c r="Z254" i="5" s="1"/>
  <c r="L291" i="5"/>
  <c r="Z291" i="5" s="1"/>
  <c r="L610" i="5"/>
  <c r="Z610" i="5" s="1"/>
  <c r="L65" i="5"/>
  <c r="Z65" i="5" s="1"/>
  <c r="L171" i="5"/>
  <c r="Z171" i="5" s="1"/>
  <c r="L642" i="5"/>
  <c r="Z642" i="5" s="1"/>
  <c r="L5" i="5"/>
  <c r="Z5" i="5" s="1"/>
  <c r="L229" i="5"/>
  <c r="Z229" i="5" s="1"/>
  <c r="L204" i="5"/>
  <c r="Z204" i="5" s="1"/>
  <c r="L441" i="5"/>
  <c r="Z441" i="5" s="1"/>
  <c r="L232" i="5"/>
  <c r="Z232" i="5" s="1"/>
  <c r="L464" i="5"/>
  <c r="Z464" i="5" s="1"/>
  <c r="L885" i="5"/>
  <c r="Z885" i="5" s="1"/>
  <c r="L838" i="5"/>
  <c r="Z838" i="5" s="1"/>
  <c r="L476" i="5"/>
  <c r="Z476" i="5" s="1"/>
  <c r="L197" i="5"/>
  <c r="Z197" i="5" s="1"/>
  <c r="L20" i="5"/>
  <c r="Z20" i="5" s="1"/>
  <c r="C25" i="6"/>
  <c r="O328" i="5"/>
  <c r="M328" i="5"/>
  <c r="N328" i="5" s="1"/>
  <c r="O270" i="5"/>
  <c r="M270" i="5"/>
  <c r="N270" i="5" s="1"/>
  <c r="O883" i="5"/>
  <c r="M883" i="5"/>
  <c r="N883" i="5" s="1"/>
  <c r="O120" i="5"/>
  <c r="M120" i="5"/>
  <c r="N120" i="5" s="1"/>
  <c r="P120" i="5"/>
  <c r="O79" i="5"/>
  <c r="M79" i="5"/>
  <c r="N79" i="5" s="1"/>
  <c r="O704" i="5"/>
  <c r="M704" i="5"/>
  <c r="N704" i="5" s="1"/>
  <c r="O433" i="5"/>
  <c r="M433" i="5"/>
  <c r="N433" i="5" s="1"/>
  <c r="O940" i="5"/>
  <c r="M940" i="5"/>
  <c r="N940" i="5" s="1"/>
  <c r="O393" i="5"/>
  <c r="M393" i="5"/>
  <c r="N393" i="5" s="1"/>
  <c r="O915" i="5"/>
  <c r="M915" i="5"/>
  <c r="N915" i="5" s="1"/>
  <c r="O402" i="5"/>
  <c r="M402" i="5"/>
  <c r="N402" i="5" s="1"/>
  <c r="O21" i="5"/>
  <c r="M21" i="5"/>
  <c r="N21" i="5" s="1"/>
  <c r="O909" i="5"/>
  <c r="M909" i="5"/>
  <c r="N909" i="5" s="1"/>
  <c r="O747" i="5"/>
  <c r="P747" i="5"/>
  <c r="M747" i="5"/>
  <c r="N747" i="5" s="1"/>
  <c r="O753" i="5"/>
  <c r="M753" i="5"/>
  <c r="N753" i="5" s="1"/>
  <c r="O210" i="5"/>
  <c r="M210" i="5"/>
  <c r="N210" i="5" s="1"/>
  <c r="O312" i="5"/>
  <c r="M312" i="5"/>
  <c r="N312" i="5" s="1"/>
  <c r="O568" i="5"/>
  <c r="M568" i="5"/>
  <c r="N568" i="5" s="1"/>
  <c r="O846" i="5"/>
  <c r="M846" i="5"/>
  <c r="N846" i="5" s="1"/>
  <c r="O736" i="5"/>
  <c r="M736" i="5"/>
  <c r="N736" i="5" s="1"/>
  <c r="O216" i="5"/>
  <c r="M216" i="5"/>
  <c r="N216" i="5" s="1"/>
  <c r="O297" i="5"/>
  <c r="M297" i="5"/>
  <c r="N297" i="5" s="1"/>
  <c r="O332" i="5"/>
  <c r="M332" i="5"/>
  <c r="N332" i="5" s="1"/>
  <c r="O765" i="5"/>
  <c r="M765" i="5"/>
  <c r="N765" i="5" s="1"/>
  <c r="O541" i="5"/>
  <c r="M541" i="5"/>
  <c r="N541" i="5" s="1"/>
  <c r="O823" i="5"/>
  <c r="M823" i="5"/>
  <c r="N823" i="5" s="1"/>
  <c r="O139" i="5"/>
  <c r="M139" i="5"/>
  <c r="N139" i="5" s="1"/>
  <c r="O468" i="5"/>
  <c r="P468" i="5"/>
  <c r="M468" i="5"/>
  <c r="N468" i="5" s="1"/>
  <c r="O133" i="5"/>
  <c r="M133" i="5"/>
  <c r="N133" i="5" s="1"/>
  <c r="O100" i="5"/>
  <c r="M100" i="5"/>
  <c r="N100" i="5" s="1"/>
  <c r="O321" i="5"/>
  <c r="M321" i="5"/>
  <c r="N321" i="5" s="1"/>
  <c r="O158" i="5"/>
  <c r="M158" i="5"/>
  <c r="N158" i="5" s="1"/>
  <c r="O596" i="5"/>
  <c r="M596" i="5"/>
  <c r="N596" i="5" s="1"/>
  <c r="O86" i="5"/>
  <c r="M86" i="5"/>
  <c r="N86" i="5" s="1"/>
  <c r="O539" i="5"/>
  <c r="M539" i="5"/>
  <c r="N539" i="5" s="1"/>
  <c r="O76" i="5"/>
  <c r="M76" i="5"/>
  <c r="N76" i="5" s="1"/>
  <c r="O652" i="5"/>
  <c r="M652" i="5"/>
  <c r="N652" i="5" s="1"/>
  <c r="O49" i="5"/>
  <c r="P49" i="5"/>
  <c r="M49" i="5"/>
  <c r="N49" i="5" s="1"/>
  <c r="O341" i="5"/>
  <c r="M341" i="5"/>
  <c r="N341" i="5" s="1"/>
  <c r="O992" i="5"/>
  <c r="M992" i="5"/>
  <c r="N992" i="5" s="1"/>
  <c r="O555" i="5"/>
  <c r="M555" i="5"/>
  <c r="N555" i="5" s="1"/>
  <c r="O264" i="5"/>
  <c r="P264" i="5"/>
  <c r="M264" i="5"/>
  <c r="N264" i="5" s="1"/>
  <c r="O302" i="5"/>
  <c r="M302" i="5"/>
  <c r="N302" i="5" s="1"/>
  <c r="O994" i="5"/>
  <c r="M994" i="5"/>
  <c r="N994" i="5" s="1"/>
  <c r="O189" i="5"/>
  <c r="M189" i="5"/>
  <c r="N189" i="5" s="1"/>
  <c r="O698" i="5"/>
  <c r="M698" i="5"/>
  <c r="N698" i="5" s="1"/>
  <c r="O484" i="5"/>
  <c r="P484" i="5"/>
  <c r="M484" i="5"/>
  <c r="N484" i="5" s="1"/>
  <c r="O407" i="5"/>
  <c r="M407" i="5"/>
  <c r="N407" i="5" s="1"/>
  <c r="O238" i="5"/>
  <c r="P238" i="5"/>
  <c r="M238" i="5"/>
  <c r="N238" i="5" s="1"/>
  <c r="O886" i="5"/>
  <c r="M886" i="5"/>
  <c r="N886" i="5" s="1"/>
  <c r="O591" i="5"/>
  <c r="P591" i="5"/>
  <c r="M591" i="5"/>
  <c r="N591" i="5" s="1"/>
  <c r="O400" i="5"/>
  <c r="M400" i="5"/>
  <c r="N400" i="5" s="1"/>
  <c r="O373" i="5"/>
  <c r="M373" i="5"/>
  <c r="N373" i="5" s="1"/>
  <c r="O386" i="5"/>
  <c r="P386" i="5"/>
  <c r="M386" i="5"/>
  <c r="N386" i="5" s="1"/>
  <c r="O259" i="5"/>
  <c r="M259" i="5"/>
  <c r="N259" i="5" s="1"/>
  <c r="O749" i="5"/>
  <c r="M749" i="5"/>
  <c r="N749" i="5" s="1"/>
  <c r="O705" i="5"/>
  <c r="P705" i="5"/>
  <c r="M705" i="5"/>
  <c r="N705" i="5" s="1"/>
  <c r="O937" i="5"/>
  <c r="M937" i="5"/>
  <c r="N937" i="5" s="1"/>
  <c r="O453" i="5"/>
  <c r="M453" i="5"/>
  <c r="N453" i="5" s="1"/>
  <c r="O538" i="5"/>
  <c r="M538" i="5"/>
  <c r="N538" i="5" s="1"/>
  <c r="O930" i="5"/>
  <c r="M930" i="5"/>
  <c r="N930" i="5" s="1"/>
  <c r="O486" i="5"/>
  <c r="P486" i="5"/>
  <c r="M486" i="5"/>
  <c r="N486" i="5" s="1"/>
  <c r="O505" i="5"/>
  <c r="M505" i="5"/>
  <c r="N505" i="5" s="1"/>
  <c r="O390" i="5"/>
  <c r="M390" i="5"/>
  <c r="N390" i="5" s="1"/>
  <c r="O124" i="5"/>
  <c r="P124" i="5"/>
  <c r="M124" i="5"/>
  <c r="N124" i="5" s="1"/>
  <c r="O506" i="5"/>
  <c r="M506" i="5"/>
  <c r="N506" i="5" s="1"/>
  <c r="O681" i="5"/>
  <c r="M681" i="5"/>
  <c r="N681" i="5" s="1"/>
  <c r="O70" i="5"/>
  <c r="M70" i="5"/>
  <c r="N70" i="5" s="1"/>
  <c r="O93" i="5"/>
  <c r="P93" i="5"/>
  <c r="M93" i="5"/>
  <c r="N93" i="5" s="1"/>
  <c r="O343" i="5"/>
  <c r="M343" i="5"/>
  <c r="N343" i="5" s="1"/>
  <c r="O181" i="5"/>
  <c r="M181" i="5"/>
  <c r="N181" i="5" s="1"/>
  <c r="O363" i="5"/>
  <c r="M363" i="5"/>
  <c r="N363" i="5" s="1"/>
  <c r="O535" i="5"/>
  <c r="M535" i="5"/>
  <c r="N535" i="5" s="1"/>
  <c r="O949" i="5"/>
  <c r="M949" i="5"/>
  <c r="N949" i="5" s="1"/>
  <c r="O806" i="5"/>
  <c r="M806" i="5"/>
  <c r="N806" i="5" s="1"/>
  <c r="O582" i="5"/>
  <c r="P582" i="5"/>
  <c r="M582" i="5"/>
  <c r="N582" i="5" s="1"/>
  <c r="O706" i="5"/>
  <c r="M706" i="5"/>
  <c r="N706" i="5" s="1"/>
  <c r="O836" i="5"/>
  <c r="P836" i="5"/>
  <c r="M836" i="5"/>
  <c r="N836" i="5" s="1"/>
  <c r="O673" i="5"/>
  <c r="M673" i="5"/>
  <c r="N673" i="5" s="1"/>
  <c r="O742" i="5"/>
  <c r="M742" i="5"/>
  <c r="N742" i="5" s="1"/>
  <c r="O350" i="5"/>
  <c r="M350" i="5"/>
  <c r="N350" i="5" s="1"/>
  <c r="O847" i="5"/>
  <c r="P847" i="5"/>
  <c r="M847" i="5"/>
  <c r="N847" i="5" s="1"/>
  <c r="O429" i="5"/>
  <c r="M429" i="5"/>
  <c r="N429" i="5" s="1"/>
  <c r="K162" i="5"/>
  <c r="Y162" i="5" s="1"/>
  <c r="K682" i="5"/>
  <c r="K151" i="5"/>
  <c r="K473" i="5"/>
  <c r="K583" i="5"/>
  <c r="Y583" i="5" s="1"/>
  <c r="K152" i="5"/>
  <c r="K290" i="5"/>
  <c r="Y290" i="5" s="1"/>
  <c r="K240" i="5"/>
  <c r="K329" i="5"/>
  <c r="Y329" i="5" s="1"/>
  <c r="J329" i="5"/>
  <c r="X329" i="5" s="1"/>
  <c r="K278" i="5"/>
  <c r="Y278" i="5" s="1"/>
  <c r="J278" i="5"/>
  <c r="Q278" i="5" s="1"/>
  <c r="K64" i="5"/>
  <c r="Y64" i="5" s="1"/>
  <c r="J64" i="5"/>
  <c r="K848" i="5"/>
  <c r="Y848" i="5" s="1"/>
  <c r="J848" i="5"/>
  <c r="K615" i="5"/>
  <c r="J615" i="5"/>
  <c r="K427" i="5"/>
  <c r="J427" i="5"/>
  <c r="K968" i="5"/>
  <c r="Y968" i="5" s="1"/>
  <c r="J968" i="5"/>
  <c r="X968" i="5" s="1"/>
  <c r="K934" i="5"/>
  <c r="Y934" i="5" s="1"/>
  <c r="J934" i="5"/>
  <c r="Q934" i="5" s="1"/>
  <c r="K976" i="5"/>
  <c r="J976" i="5"/>
  <c r="K311" i="5"/>
  <c r="Y311" i="5" s="1"/>
  <c r="J311" i="5"/>
  <c r="X311" i="5" s="1"/>
  <c r="K781" i="5"/>
  <c r="Y781" i="5" s="1"/>
  <c r="J781" i="5"/>
  <c r="X781" i="5" s="1"/>
  <c r="K973" i="5"/>
  <c r="Y973" i="5" s="1"/>
  <c r="J973" i="5"/>
  <c r="K744" i="5"/>
  <c r="Y744" i="5" s="1"/>
  <c r="J744" i="5"/>
  <c r="K353" i="5"/>
  <c r="Y353" i="5" s="1"/>
  <c r="J353" i="5"/>
  <c r="P353" i="5" s="1"/>
  <c r="K206" i="5"/>
  <c r="Y206" i="5" s="1"/>
  <c r="J206" i="5"/>
  <c r="K250" i="5"/>
  <c r="J250" i="5"/>
  <c r="K793" i="5"/>
  <c r="Y793" i="5" s="1"/>
  <c r="J793" i="5"/>
  <c r="K260" i="5"/>
  <c r="Y260" i="5" s="1"/>
  <c r="J260" i="5"/>
  <c r="K408" i="5"/>
  <c r="Y408" i="5" s="1"/>
  <c r="J408" i="5"/>
  <c r="X408" i="5" s="1"/>
  <c r="K586" i="5"/>
  <c r="Y586" i="5" s="1"/>
  <c r="J586" i="5"/>
  <c r="Q586" i="5" s="1"/>
  <c r="K750" i="5"/>
  <c r="Y750" i="5" s="1"/>
  <c r="J750" i="5"/>
  <c r="K841" i="5"/>
  <c r="Y841" i="5" s="1"/>
  <c r="J841" i="5"/>
  <c r="K809" i="5"/>
  <c r="Y809" i="5" s="1"/>
  <c r="J809" i="5"/>
  <c r="K443" i="5"/>
  <c r="Y443" i="5" s="1"/>
  <c r="J443" i="5"/>
  <c r="K13" i="5"/>
  <c r="Y13" i="5" s="1"/>
  <c r="J13" i="5"/>
  <c r="K61" i="5"/>
  <c r="Y61" i="5" s="1"/>
  <c r="J61" i="5"/>
  <c r="X61" i="5" s="1"/>
  <c r="AA61" i="5" s="1"/>
  <c r="AB61" i="5" s="1"/>
  <c r="K524" i="5"/>
  <c r="J524" i="5"/>
  <c r="K289" i="5"/>
  <c r="Y289" i="5" s="1"/>
  <c r="J289" i="5"/>
  <c r="X289" i="5" s="1"/>
  <c r="K372" i="5"/>
  <c r="J372" i="5"/>
  <c r="K893" i="5"/>
  <c r="J893" i="5"/>
  <c r="K648" i="5"/>
  <c r="Y648" i="5" s="1"/>
  <c r="J648" i="5"/>
  <c r="X648" i="5" s="1"/>
  <c r="K262" i="5"/>
  <c r="J262" i="5"/>
  <c r="X262" i="5" s="1"/>
  <c r="K147" i="5"/>
  <c r="Y147" i="5" s="1"/>
  <c r="J147" i="5"/>
  <c r="X147" i="5" s="1"/>
  <c r="K379" i="5"/>
  <c r="Y379" i="5" s="1"/>
  <c r="J379" i="5"/>
  <c r="X379" i="5" s="1"/>
  <c r="K888" i="5"/>
  <c r="Y888" i="5" s="1"/>
  <c r="J888" i="5"/>
  <c r="K227" i="5"/>
  <c r="Y227" i="5" s="1"/>
  <c r="J227" i="5"/>
  <c r="K47" i="5"/>
  <c r="Y47" i="5" s="1"/>
  <c r="J47" i="5"/>
  <c r="X47" i="5" s="1"/>
  <c r="K202" i="5"/>
  <c r="Y202" i="5" s="1"/>
  <c r="J202" i="5"/>
  <c r="X202" i="5" s="1"/>
  <c r="K466" i="5"/>
  <c r="Y466" i="5" s="1"/>
  <c r="J466" i="5"/>
  <c r="K23" i="5"/>
  <c r="Y23" i="5" s="1"/>
  <c r="J23" i="5"/>
  <c r="X23" i="5" s="1"/>
  <c r="K708" i="5"/>
  <c r="Y708" i="5" s="1"/>
  <c r="J708" i="5"/>
  <c r="X708" i="5" s="1"/>
  <c r="K192" i="5"/>
  <c r="Y192" i="5" s="1"/>
  <c r="J192" i="5"/>
  <c r="K544" i="5"/>
  <c r="Y544" i="5" s="1"/>
  <c r="J544" i="5"/>
  <c r="X544" i="5" s="1"/>
  <c r="K787" i="5"/>
  <c r="Y787" i="5" s="1"/>
  <c r="J787" i="5"/>
  <c r="X787" i="5" s="1"/>
  <c r="K780" i="5"/>
  <c r="Y780" i="5" s="1"/>
  <c r="J780" i="5"/>
  <c r="X780" i="5" s="1"/>
  <c r="K932" i="5"/>
  <c r="Y932" i="5" s="1"/>
  <c r="J932" i="5"/>
  <c r="K283" i="5"/>
  <c r="Y283" i="5" s="1"/>
  <c r="J283" i="5"/>
  <c r="K201" i="5"/>
  <c r="J201" i="5"/>
  <c r="K380" i="5"/>
  <c r="Y380" i="5" s="1"/>
  <c r="J380" i="5"/>
  <c r="K965" i="5"/>
  <c r="Y965" i="5" s="1"/>
  <c r="J965" i="5"/>
  <c r="Q965" i="5" s="1"/>
  <c r="K474" i="5"/>
  <c r="Y474" i="5" s="1"/>
  <c r="J474" i="5"/>
  <c r="K406" i="5"/>
  <c r="Y406" i="5" s="1"/>
  <c r="J406" i="5"/>
  <c r="K333" i="5"/>
  <c r="Y333" i="5" s="1"/>
  <c r="J333" i="5"/>
  <c r="K155" i="5"/>
  <c r="Y155" i="5" s="1"/>
  <c r="J155" i="5"/>
  <c r="K234" i="5"/>
  <c r="Y234" i="5" s="1"/>
  <c r="J234" i="5"/>
  <c r="K677" i="5"/>
  <c r="Y677" i="5" s="1"/>
  <c r="J677" i="5"/>
  <c r="P677" i="5" s="1"/>
  <c r="K31" i="5"/>
  <c r="Y31" i="5" s="1"/>
  <c r="J31" i="5"/>
  <c r="X31" i="5" s="1"/>
  <c r="K82" i="5"/>
  <c r="J82" i="5"/>
  <c r="X82" i="5" s="1"/>
  <c r="K63" i="5"/>
  <c r="Y63" i="5" s="1"/>
  <c r="J63" i="5"/>
  <c r="X63" i="5" s="1"/>
  <c r="J548" i="5"/>
  <c r="K548" i="5"/>
  <c r="Y548" i="5" s="1"/>
  <c r="J140" i="5"/>
  <c r="K140" i="5"/>
  <c r="J743" i="5"/>
  <c r="K743" i="5"/>
  <c r="Y743" i="5" s="1"/>
  <c r="J6" i="5"/>
  <c r="K6" i="5"/>
  <c r="Y6" i="5" s="1"/>
  <c r="K870" i="5"/>
  <c r="J870" i="5"/>
  <c r="K901" i="5"/>
  <c r="Y901" i="5" s="1"/>
  <c r="J901" i="5"/>
  <c r="X901" i="5" s="1"/>
  <c r="K569" i="5"/>
  <c r="Y569" i="5" s="1"/>
  <c r="J569" i="5"/>
  <c r="K900" i="5"/>
  <c r="Y900" i="5" s="1"/>
  <c r="J900" i="5"/>
  <c r="Q900" i="5" s="1"/>
  <c r="K763" i="5"/>
  <c r="Y763" i="5" s="1"/>
  <c r="J763" i="5"/>
  <c r="X763" i="5" s="1"/>
  <c r="K796" i="5"/>
  <c r="J796" i="5"/>
  <c r="K525" i="5"/>
  <c r="Y525" i="5" s="1"/>
  <c r="J525" i="5"/>
  <c r="J447" i="5"/>
  <c r="K447" i="5"/>
  <c r="J306" i="5"/>
  <c r="K306" i="5"/>
  <c r="K878" i="5"/>
  <c r="Y878" i="5" s="1"/>
  <c r="J878" i="5"/>
  <c r="K716" i="5"/>
  <c r="Y716" i="5" s="1"/>
  <c r="J716" i="5"/>
  <c r="X716" i="5" s="1"/>
  <c r="J103" i="5"/>
  <c r="X103" i="5" s="1"/>
  <c r="K103" i="5"/>
  <c r="Y103" i="5" s="1"/>
  <c r="K507" i="5"/>
  <c r="Y507" i="5" s="1"/>
  <c r="J507" i="5"/>
  <c r="X507" i="5" s="1"/>
  <c r="L874" i="5"/>
  <c r="Z874" i="5" s="1"/>
  <c r="J910" i="5"/>
  <c r="J470" i="5"/>
  <c r="J401" i="5"/>
  <c r="X401" i="5" s="1"/>
  <c r="J19" i="5"/>
  <c r="X19" i="5" s="1"/>
  <c r="J451" i="5"/>
  <c r="J330" i="5"/>
  <c r="X330" i="5" s="1"/>
  <c r="J786" i="5"/>
  <c r="P786" i="5" s="1"/>
  <c r="J580" i="5"/>
  <c r="J561" i="5"/>
  <c r="J398" i="5"/>
  <c r="O228" i="5"/>
  <c r="P228" i="5"/>
  <c r="M228" i="5"/>
  <c r="N228" i="5" s="1"/>
  <c r="O357" i="5"/>
  <c r="M357" i="5"/>
  <c r="N357" i="5" s="1"/>
  <c r="O769" i="5"/>
  <c r="P769" i="5"/>
  <c r="M769" i="5"/>
  <c r="N769" i="5" s="1"/>
  <c r="O247" i="5"/>
  <c r="Q247" i="5"/>
  <c r="P247" i="5"/>
  <c r="M247" i="5"/>
  <c r="N247" i="5" s="1"/>
  <c r="O658" i="5"/>
  <c r="M658" i="5"/>
  <c r="N658" i="5" s="1"/>
  <c r="O981" i="5"/>
  <c r="M981" i="5"/>
  <c r="N981" i="5" s="1"/>
  <c r="O588" i="5"/>
  <c r="M588" i="5"/>
  <c r="N588" i="5" s="1"/>
  <c r="O33" i="5"/>
  <c r="M33" i="5"/>
  <c r="N33" i="5" s="1"/>
  <c r="O492" i="5"/>
  <c r="P492" i="5"/>
  <c r="M492" i="5"/>
  <c r="N492" i="5" s="1"/>
  <c r="O489" i="5"/>
  <c r="M489" i="5"/>
  <c r="N489" i="5" s="1"/>
  <c r="O536" i="5"/>
  <c r="M536" i="5"/>
  <c r="N536" i="5" s="1"/>
  <c r="O99" i="5"/>
  <c r="M99" i="5"/>
  <c r="N99" i="5" s="1"/>
  <c r="O17" i="5"/>
  <c r="M17" i="5"/>
  <c r="N17" i="5" s="1"/>
  <c r="O317" i="5"/>
  <c r="M317" i="5"/>
  <c r="N317" i="5" s="1"/>
  <c r="O594" i="5"/>
  <c r="M594" i="5"/>
  <c r="N594" i="5" s="1"/>
  <c r="O863" i="5"/>
  <c r="P863" i="5"/>
  <c r="M863" i="5"/>
  <c r="N863" i="5" s="1"/>
  <c r="O462" i="5"/>
  <c r="P462" i="5"/>
  <c r="M462" i="5"/>
  <c r="N462" i="5" s="1"/>
  <c r="O239" i="5"/>
  <c r="M239" i="5"/>
  <c r="N239" i="5" s="1"/>
  <c r="O700" i="5"/>
  <c r="M700" i="5"/>
  <c r="N700" i="5" s="1"/>
  <c r="O326" i="5"/>
  <c r="M326" i="5"/>
  <c r="N326" i="5" s="1"/>
  <c r="O873" i="5"/>
  <c r="M873" i="5"/>
  <c r="N873" i="5" s="1"/>
  <c r="O685" i="5"/>
  <c r="M685" i="5"/>
  <c r="N685" i="5" s="1"/>
  <c r="O987" i="5"/>
  <c r="M987" i="5"/>
  <c r="N987" i="5" s="1"/>
  <c r="O732" i="5"/>
  <c r="M732" i="5"/>
  <c r="N732" i="5" s="1"/>
  <c r="O320" i="5"/>
  <c r="M320" i="5"/>
  <c r="N320" i="5" s="1"/>
  <c r="O903" i="5"/>
  <c r="M903" i="5"/>
  <c r="N903" i="5" s="1"/>
  <c r="O467" i="5"/>
  <c r="M467" i="5"/>
  <c r="N467" i="5" s="1"/>
  <c r="O142" i="5"/>
  <c r="P142" i="5"/>
  <c r="M142" i="5"/>
  <c r="N142" i="5" s="1"/>
  <c r="O826" i="5"/>
  <c r="M826" i="5"/>
  <c r="N826" i="5" s="1"/>
  <c r="O26" i="5"/>
  <c r="M26" i="5"/>
  <c r="N26" i="5" s="1"/>
  <c r="O603" i="5"/>
  <c r="M603" i="5"/>
  <c r="N603" i="5" s="1"/>
  <c r="O493" i="5"/>
  <c r="M493" i="5"/>
  <c r="N493" i="5" s="1"/>
  <c r="O409" i="5"/>
  <c r="M409" i="5"/>
  <c r="N409" i="5" s="1"/>
  <c r="O108" i="5"/>
  <c r="M108" i="5"/>
  <c r="N108" i="5" s="1"/>
  <c r="O249" i="5"/>
  <c r="P249" i="5"/>
  <c r="M249" i="5"/>
  <c r="N249" i="5" s="1"/>
  <c r="O439" i="5"/>
  <c r="M439" i="5"/>
  <c r="N439" i="5" s="1"/>
  <c r="O117" i="5"/>
  <c r="M117" i="5"/>
  <c r="N117" i="5" s="1"/>
  <c r="O914" i="5"/>
  <c r="M914" i="5"/>
  <c r="N914" i="5" s="1"/>
  <c r="O465" i="5"/>
  <c r="P465" i="5"/>
  <c r="M465" i="5"/>
  <c r="N465" i="5" s="1"/>
  <c r="O527" i="5"/>
  <c r="M527" i="5"/>
  <c r="N527" i="5" s="1"/>
  <c r="O808" i="5"/>
  <c r="M808" i="5"/>
  <c r="N808" i="5" s="1"/>
  <c r="O513" i="5"/>
  <c r="M513" i="5"/>
  <c r="N513" i="5" s="1"/>
  <c r="O560" i="5"/>
  <c r="M560" i="5"/>
  <c r="N560" i="5" s="1"/>
  <c r="O59" i="5"/>
  <c r="M59" i="5"/>
  <c r="N59" i="5" s="1"/>
  <c r="O774" i="5"/>
  <c r="M774" i="5"/>
  <c r="N774" i="5" s="1"/>
  <c r="O457" i="5"/>
  <c r="M457" i="5"/>
  <c r="N457" i="5" s="1"/>
  <c r="O170" i="5"/>
  <c r="M170" i="5"/>
  <c r="N170" i="5" s="1"/>
  <c r="O833" i="5"/>
  <c r="M833" i="5"/>
  <c r="N833" i="5" s="1"/>
  <c r="O352" i="5"/>
  <c r="M352" i="5"/>
  <c r="N352" i="5" s="1"/>
  <c r="O60" i="5"/>
  <c r="M60" i="5"/>
  <c r="N60" i="5" s="1"/>
  <c r="O553" i="5"/>
  <c r="P553" i="5"/>
  <c r="M553" i="5"/>
  <c r="N553" i="5" s="1"/>
  <c r="O413" i="5"/>
  <c r="M413" i="5"/>
  <c r="N413" i="5" s="1"/>
  <c r="O567" i="5"/>
  <c r="P567" i="5"/>
  <c r="M567" i="5"/>
  <c r="N567" i="5" s="1"/>
  <c r="O997" i="5"/>
  <c r="P997" i="5"/>
  <c r="M997" i="5"/>
  <c r="N997" i="5" s="1"/>
  <c r="O50" i="5"/>
  <c r="M50" i="5"/>
  <c r="N50" i="5" s="1"/>
  <c r="O315" i="5"/>
  <c r="M315" i="5"/>
  <c r="N315" i="5" s="1"/>
  <c r="O639" i="5"/>
  <c r="M639" i="5"/>
  <c r="N639" i="5" s="1"/>
  <c r="O739" i="5"/>
  <c r="M739" i="5"/>
  <c r="N739" i="5" s="1"/>
  <c r="O385" i="5"/>
  <c r="M385" i="5"/>
  <c r="N385" i="5" s="1"/>
  <c r="O993" i="5"/>
  <c r="M993" i="5"/>
  <c r="N993" i="5" s="1"/>
  <c r="O313" i="5"/>
  <c r="M313" i="5"/>
  <c r="N313" i="5" s="1"/>
  <c r="O122" i="5"/>
  <c r="M122" i="5"/>
  <c r="N122" i="5" s="1"/>
  <c r="O114" i="5"/>
  <c r="M114" i="5"/>
  <c r="N114" i="5" s="1"/>
  <c r="O305" i="5"/>
  <c r="M305" i="5"/>
  <c r="N305" i="5" s="1"/>
  <c r="O456" i="5"/>
  <c r="M456" i="5"/>
  <c r="N456" i="5" s="1"/>
  <c r="O211" i="5"/>
  <c r="M211" i="5"/>
  <c r="N211" i="5" s="1"/>
  <c r="O437" i="5"/>
  <c r="P437" i="5"/>
  <c r="M437" i="5"/>
  <c r="N437" i="5" s="1"/>
  <c r="O919" i="5"/>
  <c r="M919" i="5"/>
  <c r="N919" i="5" s="1"/>
  <c r="O137" i="5"/>
  <c r="M137" i="5"/>
  <c r="N137" i="5" s="1"/>
  <c r="O653" i="5"/>
  <c r="M653" i="5"/>
  <c r="N653" i="5" s="1"/>
  <c r="O725" i="5"/>
  <c r="M725" i="5"/>
  <c r="N725" i="5" s="1"/>
  <c r="O865" i="5"/>
  <c r="M865" i="5"/>
  <c r="N865" i="5" s="1"/>
  <c r="O365" i="5"/>
  <c r="M365" i="5"/>
  <c r="N365" i="5" s="1"/>
  <c r="O134" i="5"/>
  <c r="M134" i="5"/>
  <c r="N134" i="5" s="1"/>
  <c r="O898" i="5"/>
  <c r="P898" i="5"/>
  <c r="M898" i="5"/>
  <c r="N898" i="5" s="1"/>
  <c r="O720" i="5"/>
  <c r="M720" i="5"/>
  <c r="N720" i="5" s="1"/>
  <c r="O779" i="5"/>
  <c r="P779" i="5"/>
  <c r="M779" i="5"/>
  <c r="N779" i="5" s="1"/>
  <c r="O942" i="5"/>
  <c r="P942" i="5"/>
  <c r="M942" i="5"/>
  <c r="N942" i="5" s="1"/>
  <c r="O923" i="5"/>
  <c r="M923" i="5"/>
  <c r="N923" i="5" s="1"/>
  <c r="O436" i="5"/>
  <c r="M436" i="5"/>
  <c r="N436" i="5" s="1"/>
  <c r="O89" i="5"/>
  <c r="P89" i="5"/>
  <c r="M89" i="5"/>
  <c r="N89" i="5" s="1"/>
  <c r="O66" i="5"/>
  <c r="M66" i="5"/>
  <c r="N66" i="5" s="1"/>
  <c r="O30" i="5"/>
  <c r="P30" i="5"/>
  <c r="M30" i="5"/>
  <c r="N30" i="5" s="1"/>
  <c r="K41" i="5"/>
  <c r="Y41" i="5" s="1"/>
  <c r="J41" i="5"/>
  <c r="K798" i="5"/>
  <c r="Y798" i="5" s="1"/>
  <c r="J798" i="5"/>
  <c r="K251" i="5"/>
  <c r="Y251" i="5" s="1"/>
  <c r="J251" i="5"/>
  <c r="K572" i="5"/>
  <c r="Y572" i="5" s="1"/>
  <c r="J572" i="5"/>
  <c r="K83" i="5"/>
  <c r="Y83" i="5" s="1"/>
  <c r="J83" i="5"/>
  <c r="X83" i="5" s="1"/>
  <c r="K554" i="5"/>
  <c r="Y554" i="5" s="1"/>
  <c r="J554" i="5"/>
  <c r="K585" i="5"/>
  <c r="Y585" i="5" s="1"/>
  <c r="J585" i="5"/>
  <c r="K92" i="5"/>
  <c r="Y92" i="5" s="1"/>
  <c r="J92" i="5"/>
  <c r="K515" i="5"/>
  <c r="R515" i="5" s="1"/>
  <c r="J515" i="5"/>
  <c r="K618" i="5"/>
  <c r="Y618" i="5" s="1"/>
  <c r="J618" i="5"/>
  <c r="X618" i="5" s="1"/>
  <c r="K590" i="5"/>
  <c r="J590" i="5"/>
  <c r="K252" i="5"/>
  <c r="Y252" i="5" s="1"/>
  <c r="J252" i="5"/>
  <c r="X252" i="5" s="1"/>
  <c r="K512" i="5"/>
  <c r="Y512" i="5" s="1"/>
  <c r="J512" i="5"/>
  <c r="K231" i="5"/>
  <c r="Y231" i="5" s="1"/>
  <c r="J231" i="5"/>
  <c r="K225" i="5"/>
  <c r="Y225" i="5" s="1"/>
  <c r="J225" i="5"/>
  <c r="K625" i="5"/>
  <c r="J625" i="5"/>
  <c r="K149" i="5"/>
  <c r="Y149" i="5" s="1"/>
  <c r="J149" i="5"/>
  <c r="X149" i="5" s="1"/>
  <c r="K397" i="5"/>
  <c r="J397" i="5"/>
  <c r="K494" i="5"/>
  <c r="J494" i="5"/>
  <c r="K845" i="5"/>
  <c r="Y845" i="5" s="1"/>
  <c r="J845" i="5"/>
  <c r="X845" i="5" s="1"/>
  <c r="K783" i="5"/>
  <c r="Y783" i="5" s="1"/>
  <c r="J783" i="5"/>
  <c r="K195" i="5"/>
  <c r="J195" i="5"/>
  <c r="K959" i="5"/>
  <c r="Y959" i="5" s="1"/>
  <c r="J959" i="5"/>
  <c r="K566" i="5"/>
  <c r="Y566" i="5" s="1"/>
  <c r="J566" i="5"/>
  <c r="K597" i="5"/>
  <c r="Y597" i="5" s="1"/>
  <c r="J597" i="5"/>
  <c r="K191" i="5"/>
  <c r="Y191" i="5" s="1"/>
  <c r="J191" i="5"/>
  <c r="K110" i="5"/>
  <c r="Y110" i="5" s="1"/>
  <c r="J110" i="5"/>
  <c r="X110" i="5" s="1"/>
  <c r="K689" i="5"/>
  <c r="J689" i="5"/>
  <c r="K799" i="5"/>
  <c r="J799" i="5"/>
  <c r="K391" i="5"/>
  <c r="Y391" i="5" s="1"/>
  <c r="J391" i="5"/>
  <c r="K461" i="5"/>
  <c r="J461" i="5"/>
  <c r="K419" i="5"/>
  <c r="Y419" i="5" s="1"/>
  <c r="J419" i="5"/>
  <c r="K811" i="5"/>
  <c r="Y811" i="5" s="1"/>
  <c r="J811" i="5"/>
  <c r="K432" i="5"/>
  <c r="Y432" i="5" s="1"/>
  <c r="J432" i="5"/>
  <c r="X432" i="5" s="1"/>
  <c r="K459" i="5"/>
  <c r="Y459" i="5" s="1"/>
  <c r="J459" i="5"/>
  <c r="K126" i="5"/>
  <c r="Y126" i="5" s="1"/>
  <c r="J126" i="5"/>
  <c r="X126" i="5" s="1"/>
  <c r="K318" i="5"/>
  <c r="Y318" i="5" s="1"/>
  <c r="J318" i="5"/>
  <c r="K723" i="5"/>
  <c r="Y723" i="5" s="1"/>
  <c r="J723" i="5"/>
  <c r="K701" i="5"/>
  <c r="Y701" i="5" s="1"/>
  <c r="J701" i="5"/>
  <c r="K1000" i="5"/>
  <c r="J1000" i="5"/>
  <c r="K39" i="5"/>
  <c r="Y39" i="5" s="1"/>
  <c r="J39" i="5"/>
  <c r="X39" i="5" s="1"/>
  <c r="K455" i="5"/>
  <c r="Y455" i="5" s="1"/>
  <c r="J455" i="5"/>
  <c r="K58" i="5"/>
  <c r="J58" i="5"/>
  <c r="K601" i="5"/>
  <c r="Q601" i="5" s="1"/>
  <c r="J601" i="5"/>
  <c r="K316" i="5"/>
  <c r="Y316" i="5" s="1"/>
  <c r="J316" i="5"/>
  <c r="K74" i="5"/>
  <c r="J74" i="5"/>
  <c r="K606" i="5"/>
  <c r="J606" i="5"/>
  <c r="K384" i="5"/>
  <c r="Y384" i="5" s="1"/>
  <c r="J384" i="5"/>
  <c r="K32" i="5"/>
  <c r="J32" i="5"/>
  <c r="K839" i="5"/>
  <c r="J839" i="5"/>
  <c r="X839" i="5" s="1"/>
  <c r="K857" i="5"/>
  <c r="Y857" i="5" s="1"/>
  <c r="J857" i="5"/>
  <c r="K256" i="5"/>
  <c r="J256" i="5"/>
  <c r="K754" i="5"/>
  <c r="Y754" i="5" s="1"/>
  <c r="J754" i="5"/>
  <c r="X754" i="5" s="1"/>
  <c r="K626" i="5"/>
  <c r="Y626" i="5" s="1"/>
  <c r="J626" i="5"/>
  <c r="X626" i="5" s="1"/>
  <c r="K521" i="5"/>
  <c r="Y521" i="5" s="1"/>
  <c r="J521" i="5"/>
  <c r="X521" i="5" s="1"/>
  <c r="K257" i="5"/>
  <c r="R257" i="5" s="1"/>
  <c r="J257" i="5"/>
  <c r="X257" i="5" s="1"/>
  <c r="K348" i="5"/>
  <c r="Y348" i="5" s="1"/>
  <c r="J348" i="5"/>
  <c r="K948" i="5"/>
  <c r="Y948" i="5" s="1"/>
  <c r="J948" i="5"/>
  <c r="X948" i="5" s="1"/>
  <c r="K570" i="5"/>
  <c r="Y570" i="5" s="1"/>
  <c r="J570" i="5"/>
  <c r="K961" i="5"/>
  <c r="J961" i="5"/>
  <c r="X961" i="5" s="1"/>
  <c r="K101" i="5"/>
  <c r="Y101" i="5" s="1"/>
  <c r="J101" i="5"/>
  <c r="X101" i="5" s="1"/>
  <c r="K106" i="5"/>
  <c r="Y106" i="5" s="1"/>
  <c r="J106" i="5"/>
  <c r="K703" i="5"/>
  <c r="Y703" i="5" s="1"/>
  <c r="J703" i="5"/>
  <c r="K314" i="5"/>
  <c r="Y314" i="5" s="1"/>
  <c r="J314" i="5"/>
  <c r="X314" i="5" s="1"/>
  <c r="K887" i="5"/>
  <c r="Y887" i="5" s="1"/>
  <c r="J887" i="5"/>
  <c r="X887" i="5" s="1"/>
  <c r="K14" i="5"/>
  <c r="Y14" i="5" s="1"/>
  <c r="J14" i="5"/>
  <c r="K891" i="5"/>
  <c r="J891" i="5"/>
  <c r="J752" i="5"/>
  <c r="Q752" i="5" s="1"/>
  <c r="K752" i="5"/>
  <c r="Y752" i="5" s="1"/>
  <c r="J771" i="5"/>
  <c r="Q771" i="5" s="1"/>
  <c r="K771" i="5"/>
  <c r="Y771" i="5" s="1"/>
  <c r="J138" i="5"/>
  <c r="X138" i="5" s="1"/>
  <c r="K138" i="5"/>
  <c r="Y138" i="5" s="1"/>
  <c r="J889" i="5"/>
  <c r="K889" i="5"/>
  <c r="Y889" i="5" s="1"/>
  <c r="J182" i="5"/>
  <c r="X182" i="5" s="1"/>
  <c r="K182" i="5"/>
  <c r="Y182" i="5" s="1"/>
  <c r="K378" i="5"/>
  <c r="Y378" i="5" s="1"/>
  <c r="J378" i="5"/>
  <c r="K68" i="5"/>
  <c r="Y68" i="5" s="1"/>
  <c r="J68" i="5"/>
  <c r="K360" i="5"/>
  <c r="Y360" i="5" s="1"/>
  <c r="J360" i="5"/>
  <c r="K161" i="5"/>
  <c r="J161" i="5"/>
  <c r="X161" i="5" s="1"/>
  <c r="K485" i="5"/>
  <c r="Y485" i="5" s="1"/>
  <c r="J485" i="5"/>
  <c r="X485" i="5" s="1"/>
  <c r="K967" i="5"/>
  <c r="J967" i="5"/>
  <c r="J335" i="5"/>
  <c r="K335" i="5"/>
  <c r="J154" i="5"/>
  <c r="K154" i="5"/>
  <c r="Y154" i="5" s="1"/>
  <c r="J941" i="5"/>
  <c r="Q941" i="5" s="1"/>
  <c r="K941" i="5"/>
  <c r="Y941" i="5" s="1"/>
  <c r="K628" i="5"/>
  <c r="Y628" i="5" s="1"/>
  <c r="J628" i="5"/>
  <c r="X628" i="5" s="1"/>
  <c r="J322" i="5"/>
  <c r="K322" i="5"/>
  <c r="K931" i="5"/>
  <c r="Y931" i="5" s="1"/>
  <c r="J931" i="5"/>
  <c r="X931" i="5" s="1"/>
  <c r="J69" i="5"/>
  <c r="J151" i="5"/>
  <c r="J627" i="5"/>
  <c r="J487" i="5"/>
  <c r="J581" i="5"/>
  <c r="X581" i="5" s="1"/>
  <c r="J816" i="5"/>
  <c r="X816" i="5" s="1"/>
  <c r="O416" i="5"/>
  <c r="S416" i="5"/>
  <c r="P416" i="5"/>
  <c r="M416" i="5"/>
  <c r="N416" i="5" s="1"/>
  <c r="O991" i="5"/>
  <c r="M991" i="5"/>
  <c r="N991" i="5" s="1"/>
  <c r="O710" i="5"/>
  <c r="S710" i="5"/>
  <c r="M710" i="5"/>
  <c r="N710" i="5" s="1"/>
  <c r="O874" i="5"/>
  <c r="Q874" i="5"/>
  <c r="P874" i="5"/>
  <c r="M874" i="5"/>
  <c r="N874" i="5" s="1"/>
  <c r="O817" i="5"/>
  <c r="S817" i="5"/>
  <c r="M817" i="5"/>
  <c r="N817" i="5" s="1"/>
  <c r="O129" i="5"/>
  <c r="S129" i="5"/>
  <c r="P129" i="5"/>
  <c r="M129" i="5"/>
  <c r="N129" i="5" s="1"/>
  <c r="O107" i="5"/>
  <c r="S107" i="5"/>
  <c r="P107" i="5"/>
  <c r="M107" i="5"/>
  <c r="N107" i="5" s="1"/>
  <c r="O559" i="5"/>
  <c r="S559" i="5"/>
  <c r="P559" i="5"/>
  <c r="M559" i="5"/>
  <c r="N559" i="5" s="1"/>
  <c r="O577" i="5"/>
  <c r="S577" i="5"/>
  <c r="M577" i="5"/>
  <c r="N577" i="5" s="1"/>
  <c r="O109" i="5"/>
  <c r="S109" i="5"/>
  <c r="P109" i="5"/>
  <c r="M109" i="5"/>
  <c r="N109" i="5" s="1"/>
  <c r="O169" i="5"/>
  <c r="S169" i="5"/>
  <c r="M169" i="5"/>
  <c r="N169" i="5" s="1"/>
  <c r="O375" i="5"/>
  <c r="S375" i="5"/>
  <c r="M375" i="5"/>
  <c r="N375" i="5" s="1"/>
  <c r="O693" i="5"/>
  <c r="S693" i="5"/>
  <c r="M693" i="5"/>
  <c r="N693" i="5" s="1"/>
  <c r="O999" i="5"/>
  <c r="S999" i="5"/>
  <c r="M999" i="5"/>
  <c r="N999" i="5" s="1"/>
  <c r="O450" i="5"/>
  <c r="S450" i="5"/>
  <c r="M450" i="5"/>
  <c r="N450" i="5" s="1"/>
  <c r="O983" i="5"/>
  <c r="S983" i="5"/>
  <c r="M983" i="5"/>
  <c r="N983" i="5" s="1"/>
  <c r="O168" i="5"/>
  <c r="S168" i="5"/>
  <c r="M168" i="5"/>
  <c r="N168" i="5" s="1"/>
  <c r="O336" i="5"/>
  <c r="S336" i="5"/>
  <c r="M336" i="5"/>
  <c r="N336" i="5" s="1"/>
  <c r="O810" i="5"/>
  <c r="M810" i="5"/>
  <c r="N810" i="5" s="1"/>
  <c r="O414" i="5"/>
  <c r="S414" i="5"/>
  <c r="M414" i="5"/>
  <c r="N414" i="5" s="1"/>
  <c r="O688" i="5"/>
  <c r="S688" i="5"/>
  <c r="P688" i="5"/>
  <c r="M688" i="5"/>
  <c r="N688" i="5" s="1"/>
  <c r="O279" i="5"/>
  <c r="S279" i="5"/>
  <c r="M279" i="5"/>
  <c r="N279" i="5" s="1"/>
  <c r="O404" i="5"/>
  <c r="P404" i="5"/>
  <c r="M404" i="5"/>
  <c r="N404" i="5" s="1"/>
  <c r="O617" i="5"/>
  <c r="S617" i="5"/>
  <c r="M617" i="5"/>
  <c r="N617" i="5" s="1"/>
  <c r="O118" i="5"/>
  <c r="S118" i="5"/>
  <c r="M118" i="5"/>
  <c r="N118" i="5" s="1"/>
  <c r="O623" i="5"/>
  <c r="S623" i="5"/>
  <c r="M623" i="5"/>
  <c r="N623" i="5" s="1"/>
  <c r="O173" i="5"/>
  <c r="M173" i="5"/>
  <c r="N173" i="5" s="1"/>
  <c r="O431" i="5"/>
  <c r="S431" i="5"/>
  <c r="M431" i="5"/>
  <c r="N431" i="5" s="1"/>
  <c r="O824" i="5"/>
  <c r="M824" i="5"/>
  <c r="N824" i="5" s="1"/>
  <c r="O645" i="5"/>
  <c r="S645" i="5"/>
  <c r="M645" i="5"/>
  <c r="N645" i="5" s="1"/>
  <c r="O896" i="5"/>
  <c r="S896" i="5"/>
  <c r="M896" i="5"/>
  <c r="N896" i="5" s="1"/>
  <c r="O156" i="5"/>
  <c r="S156" i="5"/>
  <c r="M156" i="5"/>
  <c r="N156" i="5" s="1"/>
  <c r="O938" i="5"/>
  <c r="S938" i="5"/>
  <c r="P938" i="5"/>
  <c r="M938" i="5"/>
  <c r="N938" i="5" s="1"/>
  <c r="O258" i="5"/>
  <c r="S258" i="5"/>
  <c r="M258" i="5"/>
  <c r="N258" i="5" s="1"/>
  <c r="O358" i="5"/>
  <c r="S358" i="5"/>
  <c r="M358" i="5"/>
  <c r="N358" i="5" s="1"/>
  <c r="O599" i="5"/>
  <c r="S599" i="5"/>
  <c r="P599" i="5"/>
  <c r="M599" i="5"/>
  <c r="N599" i="5" s="1"/>
  <c r="O545" i="5"/>
  <c r="S545" i="5"/>
  <c r="M545" i="5"/>
  <c r="N545" i="5" s="1"/>
  <c r="O111" i="5"/>
  <c r="S111" i="5"/>
  <c r="M111" i="5"/>
  <c r="N111" i="5" s="1"/>
  <c r="O488" i="5"/>
  <c r="S488" i="5"/>
  <c r="P488" i="5"/>
  <c r="M488" i="5"/>
  <c r="N488" i="5" s="1"/>
  <c r="O575" i="5"/>
  <c r="S575" i="5"/>
  <c r="M575" i="5"/>
  <c r="N575" i="5" s="1"/>
  <c r="O395" i="5"/>
  <c r="S395" i="5"/>
  <c r="M395" i="5"/>
  <c r="N395" i="5" s="1"/>
  <c r="O482" i="5"/>
  <c r="S482" i="5"/>
  <c r="M482" i="5"/>
  <c r="N482" i="5" s="1"/>
  <c r="O53" i="5"/>
  <c r="S53" i="5"/>
  <c r="P53" i="5"/>
  <c r="M53" i="5"/>
  <c r="N53" i="5" s="1"/>
  <c r="O499" i="5"/>
  <c r="S499" i="5"/>
  <c r="M499" i="5"/>
  <c r="N499" i="5" s="1"/>
  <c r="O62" i="5"/>
  <c r="S62" i="5"/>
  <c r="M62" i="5"/>
  <c r="N62" i="5" s="1"/>
  <c r="O822" i="5"/>
  <c r="S822" i="5"/>
  <c r="P822" i="5"/>
  <c r="M822" i="5"/>
  <c r="N822" i="5" s="1"/>
  <c r="O905" i="5"/>
  <c r="S905" i="5"/>
  <c r="M905" i="5"/>
  <c r="N905" i="5" s="1"/>
  <c r="O939" i="5"/>
  <c r="S939" i="5"/>
  <c r="M939" i="5"/>
  <c r="N939" i="5" s="1"/>
  <c r="O16" i="5"/>
  <c r="S16" i="5"/>
  <c r="P16" i="5"/>
  <c r="M16" i="5"/>
  <c r="N16" i="5" s="1"/>
  <c r="O424" i="5"/>
  <c r="S424" i="5"/>
  <c r="P424" i="5"/>
  <c r="M424" i="5"/>
  <c r="N424" i="5" s="1"/>
  <c r="O957" i="5"/>
  <c r="S957" i="5"/>
  <c r="M957" i="5"/>
  <c r="N957" i="5" s="1"/>
  <c r="O534" i="5"/>
  <c r="S534" i="5"/>
  <c r="P534" i="5"/>
  <c r="M534" i="5"/>
  <c r="N534" i="5" s="1"/>
  <c r="O895" i="5"/>
  <c r="S895" i="5"/>
  <c r="M895" i="5"/>
  <c r="N895" i="5" s="1"/>
  <c r="O475" i="5"/>
  <c r="S475" i="5"/>
  <c r="M475" i="5"/>
  <c r="N475" i="5" s="1"/>
  <c r="O420" i="5"/>
  <c r="S420" i="5"/>
  <c r="M420" i="5"/>
  <c r="N420" i="5" s="1"/>
  <c r="O334" i="5"/>
  <c r="S334" i="5"/>
  <c r="P334" i="5"/>
  <c r="M334" i="5"/>
  <c r="N334" i="5" s="1"/>
  <c r="O339" i="5"/>
  <c r="S339" i="5"/>
  <c r="M339" i="5"/>
  <c r="N339" i="5" s="1"/>
  <c r="O383" i="5"/>
  <c r="S383" i="5"/>
  <c r="M383" i="5"/>
  <c r="N383" i="5" s="1"/>
  <c r="O748" i="5"/>
  <c r="S748" i="5"/>
  <c r="M748" i="5"/>
  <c r="N748" i="5" s="1"/>
  <c r="O952" i="5"/>
  <c r="S952" i="5"/>
  <c r="M952" i="5"/>
  <c r="N952" i="5" s="1"/>
  <c r="O208" i="5"/>
  <c r="M208" i="5"/>
  <c r="N208" i="5" s="1"/>
  <c r="O346" i="5"/>
  <c r="S346" i="5"/>
  <c r="P346" i="5"/>
  <c r="M346" i="5"/>
  <c r="N346" i="5" s="1"/>
  <c r="O125" i="5"/>
  <c r="S125" i="5"/>
  <c r="M125" i="5"/>
  <c r="N125" i="5" s="1"/>
  <c r="O166" i="5"/>
  <c r="S166" i="5"/>
  <c r="M166" i="5"/>
  <c r="N166" i="5" s="1"/>
  <c r="O271" i="5"/>
  <c r="M271" i="5"/>
  <c r="N271" i="5" s="1"/>
  <c r="O727" i="5"/>
  <c r="S727" i="5"/>
  <c r="P727" i="5"/>
  <c r="M727" i="5"/>
  <c r="N727" i="5" s="1"/>
  <c r="O661" i="5"/>
  <c r="M661" i="5"/>
  <c r="N661" i="5" s="1"/>
  <c r="O620" i="5"/>
  <c r="S620" i="5"/>
  <c r="P620" i="5"/>
  <c r="M620" i="5"/>
  <c r="N620" i="5" s="1"/>
  <c r="O498" i="5"/>
  <c r="S498" i="5"/>
  <c r="M498" i="5"/>
  <c r="N498" i="5" s="1"/>
  <c r="O738" i="5"/>
  <c r="S738" i="5"/>
  <c r="M738" i="5"/>
  <c r="N738" i="5" s="1"/>
  <c r="O709" i="5"/>
  <c r="S709" i="5"/>
  <c r="M709" i="5"/>
  <c r="N709" i="5" s="1"/>
  <c r="O579" i="5"/>
  <c r="S579" i="5"/>
  <c r="M579" i="5"/>
  <c r="N579" i="5" s="1"/>
  <c r="O213" i="5"/>
  <c r="P213" i="5"/>
  <c r="M213" i="5"/>
  <c r="N213" i="5" s="1"/>
  <c r="O295" i="5"/>
  <c r="S295" i="5"/>
  <c r="P295" i="5"/>
  <c r="M295" i="5"/>
  <c r="N295" i="5" s="1"/>
  <c r="O762" i="5"/>
  <c r="S762" i="5"/>
  <c r="P762" i="5"/>
  <c r="M762" i="5"/>
  <c r="N762" i="5" s="1"/>
  <c r="O163" i="5"/>
  <c r="P163" i="5"/>
  <c r="M163" i="5"/>
  <c r="N163" i="5" s="1"/>
  <c r="O842" i="5"/>
  <c r="P842" i="5"/>
  <c r="M842" i="5"/>
  <c r="N842" i="5" s="1"/>
  <c r="O78" i="5"/>
  <c r="S78" i="5"/>
  <c r="M78" i="5"/>
  <c r="N78" i="5" s="1"/>
  <c r="O223" i="5"/>
  <c r="M223" i="5"/>
  <c r="N223" i="5" s="1"/>
  <c r="O480" i="5"/>
  <c r="S480" i="5"/>
  <c r="M480" i="5"/>
  <c r="N480" i="5" s="1"/>
  <c r="O605" i="5"/>
  <c r="S605" i="5"/>
  <c r="M605" i="5"/>
  <c r="N605" i="5" s="1"/>
  <c r="O715" i="5"/>
  <c r="P715" i="5"/>
  <c r="M715" i="5"/>
  <c r="N715" i="5" s="1"/>
  <c r="O1001" i="5"/>
  <c r="P1001" i="5"/>
  <c r="M1001" i="5"/>
  <c r="N1001" i="5" s="1"/>
  <c r="K136" i="5"/>
  <c r="Y136" i="5" s="1"/>
  <c r="K95" i="5"/>
  <c r="K90" i="5"/>
  <c r="Y90" i="5" s="1"/>
  <c r="K42" i="5"/>
  <c r="Y42" i="5" s="1"/>
  <c r="K768" i="5"/>
  <c r="Y768" i="5" s="1"/>
  <c r="J768" i="5"/>
  <c r="P768" i="5" s="1"/>
  <c r="K621" i="5"/>
  <c r="J621" i="5"/>
  <c r="P621" i="5" s="1"/>
  <c r="K818" i="5"/>
  <c r="Y818" i="5" s="1"/>
  <c r="J818" i="5"/>
  <c r="K880" i="5"/>
  <c r="Y880" i="5" s="1"/>
  <c r="J880" i="5"/>
  <c r="X880" i="5" s="1"/>
  <c r="K364" i="5"/>
  <c r="Y364" i="5" s="1"/>
  <c r="J364" i="5"/>
  <c r="K518" i="5"/>
  <c r="Y518" i="5" s="1"/>
  <c r="J518" i="5"/>
  <c r="K57" i="5"/>
  <c r="Y57" i="5" s="1"/>
  <c r="J57" i="5"/>
  <c r="X57" i="5" s="1"/>
  <c r="K430" i="5"/>
  <c r="J430" i="5"/>
  <c r="Q430" i="5" s="1"/>
  <c r="K444" i="5"/>
  <c r="Y444" i="5" s="1"/>
  <c r="J444" i="5"/>
  <c r="K194" i="5"/>
  <c r="Y194" i="5" s="1"/>
  <c r="J194" i="5"/>
  <c r="K912" i="5"/>
  <c r="Y912" i="5" s="1"/>
  <c r="J912" i="5"/>
  <c r="K996" i="5"/>
  <c r="Y996" i="5" s="1"/>
  <c r="J996" i="5"/>
  <c r="K121" i="5"/>
  <c r="Y121" i="5" s="1"/>
  <c r="J121" i="5"/>
  <c r="P121" i="5" s="1"/>
  <c r="K423" i="5"/>
  <c r="Y423" i="5" s="1"/>
  <c r="J423" i="5"/>
  <c r="P423" i="5" s="1"/>
  <c r="K860" i="5"/>
  <c r="Y860" i="5" s="1"/>
  <c r="J860" i="5"/>
  <c r="K604" i="5"/>
  <c r="J604" i="5"/>
  <c r="X604" i="5" s="1"/>
  <c r="K634" i="5"/>
  <c r="Y634" i="5" s="1"/>
  <c r="J634" i="5"/>
  <c r="X634" i="5" s="1"/>
  <c r="K963" i="5"/>
  <c r="Y963" i="5" s="1"/>
  <c r="J963" i="5"/>
  <c r="K724" i="5"/>
  <c r="J724" i="5"/>
  <c r="P724" i="5" s="1"/>
  <c r="K104" i="5"/>
  <c r="Y104" i="5" s="1"/>
  <c r="J104" i="5"/>
  <c r="P104" i="5" s="1"/>
  <c r="K766" i="5"/>
  <c r="Y766" i="5" s="1"/>
  <c r="J766" i="5"/>
  <c r="K296" i="5"/>
  <c r="Y296" i="5" s="1"/>
  <c r="J296" i="5"/>
  <c r="K481" i="5"/>
  <c r="Y481" i="5" s="1"/>
  <c r="J481" i="5"/>
  <c r="K294" i="5"/>
  <c r="J294" i="5"/>
  <c r="K852" i="5"/>
  <c r="Y852" i="5" s="1"/>
  <c r="J852" i="5"/>
  <c r="P852" i="5" s="1"/>
  <c r="K614" i="5"/>
  <c r="Y614" i="5" s="1"/>
  <c r="J614" i="5"/>
  <c r="P614" i="5" s="1"/>
  <c r="K287" i="5"/>
  <c r="Y287" i="5" s="1"/>
  <c r="J287" i="5"/>
  <c r="X287" i="5" s="1"/>
  <c r="K835" i="5"/>
  <c r="J835" i="5"/>
  <c r="K729" i="5"/>
  <c r="Y729" i="5" s="1"/>
  <c r="J729" i="5"/>
  <c r="K734" i="5"/>
  <c r="J734" i="5"/>
  <c r="K877" i="5"/>
  <c r="Y877" i="5" s="1"/>
  <c r="J877" i="5"/>
  <c r="Q877" i="5" s="1"/>
  <c r="K916" i="5"/>
  <c r="Y916" i="5" s="1"/>
  <c r="J916" i="5"/>
  <c r="Q916" i="5" s="1"/>
  <c r="K517" i="5"/>
  <c r="Y517" i="5" s="1"/>
  <c r="J517" i="5"/>
  <c r="K637" i="5"/>
  <c r="Y637" i="5" s="1"/>
  <c r="J637" i="5"/>
  <c r="K207" i="5"/>
  <c r="Y207" i="5" s="1"/>
  <c r="J207" i="5"/>
  <c r="K255" i="5"/>
  <c r="Y255" i="5" s="1"/>
  <c r="J255" i="5"/>
  <c r="K528" i="5"/>
  <c r="R528" i="5" s="1"/>
  <c r="J528" i="5"/>
  <c r="P528" i="5" s="1"/>
  <c r="K300" i="5"/>
  <c r="Y300" i="5" s="1"/>
  <c r="J300" i="5"/>
  <c r="Q300" i="5" s="1"/>
  <c r="K676" i="5"/>
  <c r="Y676" i="5" s="1"/>
  <c r="J676" i="5"/>
  <c r="X676" i="5" s="1"/>
  <c r="K183" i="5"/>
  <c r="Y183" i="5" s="1"/>
  <c r="J183" i="5"/>
  <c r="K713" i="5"/>
  <c r="J713" i="5"/>
  <c r="X713" i="5" s="1"/>
  <c r="K374" i="5"/>
  <c r="Y374" i="5" s="1"/>
  <c r="J374" i="5"/>
  <c r="K37" i="5"/>
  <c r="J37" i="5"/>
  <c r="P37" i="5" s="1"/>
  <c r="K757" i="5"/>
  <c r="J757" i="5"/>
  <c r="P757" i="5" s="1"/>
  <c r="K922" i="5"/>
  <c r="J922" i="5"/>
  <c r="K881" i="5"/>
  <c r="Y881" i="5" s="1"/>
  <c r="J881" i="5"/>
  <c r="X881" i="5" s="1"/>
  <c r="K519" i="5"/>
  <c r="J519" i="5"/>
  <c r="X519" i="5" s="1"/>
  <c r="K969" i="5"/>
  <c r="Y969" i="5" s="1"/>
  <c r="J969" i="5"/>
  <c r="X969" i="5" s="1"/>
  <c r="K237" i="5"/>
  <c r="Y237" i="5" s="1"/>
  <c r="J237" i="5"/>
  <c r="Q237" i="5" s="1"/>
  <c r="K88" i="5"/>
  <c r="Y88" i="5" s="1"/>
  <c r="J88" i="5"/>
  <c r="X88" i="5" s="1"/>
  <c r="K167" i="5"/>
  <c r="Y167" i="5" s="1"/>
  <c r="J167" i="5"/>
  <c r="X167" i="5" s="1"/>
  <c r="K472" i="5"/>
  <c r="J472" i="5"/>
  <c r="X472" i="5" s="1"/>
  <c r="K980" i="5"/>
  <c r="J980" i="5"/>
  <c r="K501" i="5"/>
  <c r="Y501" i="5" s="1"/>
  <c r="J501" i="5"/>
  <c r="K721" i="5"/>
  <c r="J721" i="5"/>
  <c r="P721" i="5" s="1"/>
  <c r="K756" i="5"/>
  <c r="Y756" i="5" s="1"/>
  <c r="J756" i="5"/>
  <c r="P756" i="5" s="1"/>
  <c r="K602" i="5"/>
  <c r="J602" i="5"/>
  <c r="K797" i="5"/>
  <c r="Y797" i="5" s="1"/>
  <c r="J797" i="5"/>
  <c r="X797" i="5" s="1"/>
  <c r="K376" i="5"/>
  <c r="Y376" i="5" s="1"/>
  <c r="J376" i="5"/>
  <c r="K906" i="5"/>
  <c r="J906" i="5"/>
  <c r="K523" i="5"/>
  <c r="Y523" i="5" s="1"/>
  <c r="J523" i="5"/>
  <c r="Q523" i="5" s="1"/>
  <c r="K890" i="5"/>
  <c r="Y890" i="5" s="1"/>
  <c r="J890" i="5"/>
  <c r="P890" i="5" s="1"/>
  <c r="K904" i="5"/>
  <c r="Y904" i="5" s="1"/>
  <c r="J904" i="5"/>
  <c r="J853" i="5"/>
  <c r="K853" i="5"/>
  <c r="J800" i="5"/>
  <c r="X800" i="5" s="1"/>
  <c r="K800" i="5"/>
  <c r="Y800" i="5" s="1"/>
  <c r="J654" i="5"/>
  <c r="W654" i="5" s="1"/>
  <c r="K654" i="5"/>
  <c r="Y654" i="5" s="1"/>
  <c r="J897" i="5"/>
  <c r="P897" i="5" s="1"/>
  <c r="K897" i="5"/>
  <c r="Y897" i="5" s="1"/>
  <c r="J801" i="5"/>
  <c r="K801" i="5"/>
  <c r="Y801" i="5" s="1"/>
  <c r="J277" i="5"/>
  <c r="K277" i="5"/>
  <c r="Y277" i="5" s="1"/>
  <c r="K193" i="5"/>
  <c r="Y193" i="5" s="1"/>
  <c r="J193" i="5"/>
  <c r="K340" i="5"/>
  <c r="J340" i="5"/>
  <c r="K301" i="5"/>
  <c r="J301" i="5"/>
  <c r="K81" i="5"/>
  <c r="R81" i="5" s="1"/>
  <c r="J81" i="5"/>
  <c r="P81" i="5" s="1"/>
  <c r="K758" i="5"/>
  <c r="J758" i="5"/>
  <c r="X758" i="5" s="1"/>
  <c r="K573" i="5"/>
  <c r="Y573" i="5" s="1"/>
  <c r="J573" i="5"/>
  <c r="K882" i="5"/>
  <c r="Y882" i="5" s="1"/>
  <c r="J882" i="5"/>
  <c r="K212" i="5"/>
  <c r="Y212" i="5" s="1"/>
  <c r="J212" i="5"/>
  <c r="X212" i="5" s="1"/>
  <c r="K412" i="5"/>
  <c r="Y412" i="5" s="1"/>
  <c r="J412" i="5"/>
  <c r="K556" i="5"/>
  <c r="Y556" i="5" s="1"/>
  <c r="J556" i="5"/>
  <c r="X556" i="5" s="1"/>
  <c r="AA556" i="5" s="1"/>
  <c r="AB556" i="5" s="1"/>
  <c r="J417" i="5"/>
  <c r="L367" i="5"/>
  <c r="Z367" i="5" s="1"/>
  <c r="L507" i="5"/>
  <c r="Z507" i="5" s="1"/>
  <c r="J218" i="5"/>
  <c r="J90" i="5"/>
  <c r="X90" i="5" s="1"/>
  <c r="J152" i="5"/>
  <c r="J240" i="5"/>
  <c r="J717" i="5"/>
  <c r="X717" i="5" s="1"/>
  <c r="J712" i="5"/>
  <c r="J785" i="5"/>
  <c r="X785" i="5" s="1"/>
  <c r="J34" i="5"/>
  <c r="J624" i="5"/>
  <c r="P624" i="5" s="1"/>
  <c r="O551" i="5"/>
  <c r="S551" i="5"/>
  <c r="M551" i="5"/>
  <c r="N551" i="5" s="1"/>
  <c r="O730" i="5"/>
  <c r="S730" i="5"/>
  <c r="P730" i="5"/>
  <c r="M730" i="5"/>
  <c r="N730" i="5" s="1"/>
  <c r="O856" i="5"/>
  <c r="S856" i="5"/>
  <c r="M856" i="5"/>
  <c r="N856" i="5" s="1"/>
  <c r="O593" i="5"/>
  <c r="S593" i="5"/>
  <c r="M593" i="5"/>
  <c r="N593" i="5" s="1"/>
  <c r="O571" i="5"/>
  <c r="M571" i="5"/>
  <c r="N571" i="5" s="1"/>
  <c r="O911" i="5"/>
  <c r="S911" i="5"/>
  <c r="M911" i="5"/>
  <c r="N911" i="5" s="1"/>
  <c r="O928" i="5"/>
  <c r="M928" i="5"/>
  <c r="N928" i="5" s="1"/>
  <c r="O105" i="5"/>
  <c r="S105" i="5"/>
  <c r="P105" i="5"/>
  <c r="M105" i="5"/>
  <c r="N105" i="5" s="1"/>
  <c r="O530" i="5"/>
  <c r="M530" i="5"/>
  <c r="N530" i="5" s="1"/>
  <c r="O830" i="5"/>
  <c r="S830" i="5"/>
  <c r="M830" i="5"/>
  <c r="N830" i="5" s="1"/>
  <c r="O411" i="5"/>
  <c r="S411" i="5"/>
  <c r="M411" i="5"/>
  <c r="N411" i="5" s="1"/>
  <c r="O43" i="5"/>
  <c r="S43" i="5"/>
  <c r="M43" i="5"/>
  <c r="N43" i="5" s="1"/>
  <c r="O563" i="5"/>
  <c r="M563" i="5"/>
  <c r="N563" i="5" s="1"/>
  <c r="O977" i="5"/>
  <c r="S977" i="5"/>
  <c r="M977" i="5"/>
  <c r="N977" i="5" s="1"/>
  <c r="O854" i="5"/>
  <c r="S854" i="5"/>
  <c r="M854" i="5"/>
  <c r="N854" i="5" s="1"/>
  <c r="O308" i="5"/>
  <c r="S308" i="5"/>
  <c r="M308" i="5"/>
  <c r="N308" i="5" s="1"/>
  <c r="O205" i="5"/>
  <c r="M205" i="5"/>
  <c r="N205" i="5" s="1"/>
  <c r="O445" i="5"/>
  <c r="S445" i="5"/>
  <c r="M445" i="5"/>
  <c r="N445" i="5" s="1"/>
  <c r="O696" i="5"/>
  <c r="M696" i="5"/>
  <c r="N696" i="5" s="1"/>
  <c r="O616" i="5"/>
  <c r="S616" i="5"/>
  <c r="M616" i="5"/>
  <c r="N616" i="5" s="1"/>
  <c r="O55" i="5"/>
  <c r="M55" i="5"/>
  <c r="N55" i="5" s="1"/>
  <c r="O112" i="5"/>
  <c r="S112" i="5"/>
  <c r="M112" i="5"/>
  <c r="N112" i="5" s="1"/>
  <c r="O267" i="5"/>
  <c r="S267" i="5"/>
  <c r="M267" i="5"/>
  <c r="N267" i="5" s="1"/>
  <c r="O172" i="5"/>
  <c r="S172" i="5"/>
  <c r="P172" i="5"/>
  <c r="M172" i="5"/>
  <c r="N172" i="5" s="1"/>
  <c r="O245" i="5"/>
  <c r="S245" i="5"/>
  <c r="M245" i="5"/>
  <c r="N245" i="5" s="1"/>
  <c r="O344" i="5"/>
  <c r="S344" i="5"/>
  <c r="M344" i="5"/>
  <c r="N344" i="5" s="1"/>
  <c r="O153" i="5"/>
  <c r="S153" i="5"/>
  <c r="P153" i="5"/>
  <c r="M153" i="5"/>
  <c r="N153" i="5" s="1"/>
  <c r="O929" i="5"/>
  <c r="S929" i="5"/>
  <c r="M929" i="5"/>
  <c r="N929" i="5" s="1"/>
  <c r="O387" i="5"/>
  <c r="S387" i="5"/>
  <c r="M387" i="5"/>
  <c r="N387" i="5" s="1"/>
  <c r="O947" i="5"/>
  <c r="M947" i="5"/>
  <c r="N947" i="5" s="1"/>
  <c r="O18" i="5"/>
  <c r="M18" i="5"/>
  <c r="N18" i="5" s="1"/>
  <c r="O45" i="5"/>
  <c r="M45" i="5"/>
  <c r="N45" i="5" s="1"/>
  <c r="O157" i="5"/>
  <c r="P157" i="5"/>
  <c r="M157" i="5"/>
  <c r="N157" i="5" s="1"/>
  <c r="O971" i="5"/>
  <c r="M971" i="5"/>
  <c r="N971" i="5" s="1"/>
  <c r="O740" i="5"/>
  <c r="M740" i="5"/>
  <c r="N740" i="5" s="1"/>
  <c r="O794" i="5"/>
  <c r="M794" i="5"/>
  <c r="N794" i="5" s="1"/>
  <c r="O869" i="5"/>
  <c r="M869" i="5"/>
  <c r="N869" i="5" s="1"/>
  <c r="O867" i="5"/>
  <c r="P867" i="5"/>
  <c r="M867" i="5"/>
  <c r="N867" i="5" s="1"/>
  <c r="O503" i="5"/>
  <c r="P503" i="5"/>
  <c r="M503" i="5"/>
  <c r="N503" i="5" s="1"/>
  <c r="O263" i="5"/>
  <c r="P263" i="5"/>
  <c r="M263" i="5"/>
  <c r="N263" i="5" s="1"/>
  <c r="O509" i="5"/>
  <c r="M509" i="5"/>
  <c r="N509" i="5" s="1"/>
  <c r="O960" i="5"/>
  <c r="S960" i="5"/>
  <c r="M960" i="5"/>
  <c r="N960" i="5" s="1"/>
  <c r="O966" i="5"/>
  <c r="P966" i="5"/>
  <c r="M966" i="5"/>
  <c r="N966" i="5" s="1"/>
  <c r="O388" i="5"/>
  <c r="M388" i="5"/>
  <c r="N388" i="5" s="1"/>
  <c r="O442" i="5"/>
  <c r="M442" i="5"/>
  <c r="N442" i="5" s="1"/>
  <c r="O861" i="5"/>
  <c r="M861" i="5"/>
  <c r="N861" i="5" s="1"/>
  <c r="O222" i="5"/>
  <c r="M222" i="5"/>
  <c r="N222" i="5" s="1"/>
  <c r="O502" i="5"/>
  <c r="M502" i="5"/>
  <c r="N502" i="5" s="1"/>
  <c r="O850" i="5"/>
  <c r="M850" i="5"/>
  <c r="N850" i="5" s="1"/>
  <c r="O3" i="5"/>
  <c r="M3" i="5"/>
  <c r="N3" i="5" s="1"/>
  <c r="O542" i="5"/>
  <c r="M542" i="5"/>
  <c r="N542" i="5" s="1"/>
  <c r="O28" i="5"/>
  <c r="M28" i="5"/>
  <c r="N28" i="5" s="1"/>
  <c r="O584" i="5"/>
  <c r="P584" i="5"/>
  <c r="M584" i="5"/>
  <c r="N584" i="5" s="1"/>
  <c r="O135" i="5"/>
  <c r="M135" i="5"/>
  <c r="N135" i="5" s="1"/>
  <c r="O186" i="5"/>
  <c r="M186" i="5"/>
  <c r="N186" i="5" s="1"/>
  <c r="O936" i="5"/>
  <c r="M936" i="5"/>
  <c r="N936" i="5" s="1"/>
  <c r="O984" i="5"/>
  <c r="S984" i="5"/>
  <c r="M984" i="5"/>
  <c r="N984" i="5" s="1"/>
  <c r="O463" i="5"/>
  <c r="S463" i="5"/>
  <c r="M463" i="5"/>
  <c r="N463" i="5" s="1"/>
  <c r="O574" i="5"/>
  <c r="S574" i="5"/>
  <c r="M574" i="5"/>
  <c r="N574" i="5" s="1"/>
  <c r="O636" i="5"/>
  <c r="S636" i="5"/>
  <c r="P636" i="5"/>
  <c r="M636" i="5"/>
  <c r="N636" i="5" s="1"/>
  <c r="O812" i="5"/>
  <c r="M812" i="5"/>
  <c r="N812" i="5" s="1"/>
  <c r="O671" i="5"/>
  <c r="S671" i="5"/>
  <c r="P671" i="5"/>
  <c r="M671" i="5"/>
  <c r="N671" i="5" s="1"/>
  <c r="O177" i="5"/>
  <c r="S177" i="5"/>
  <c r="M177" i="5"/>
  <c r="N177" i="5" s="1"/>
  <c r="O7" i="5"/>
  <c r="M7" i="5"/>
  <c r="N7" i="5" s="1"/>
  <c r="O526" i="5"/>
  <c r="P526" i="5"/>
  <c r="M526" i="5"/>
  <c r="N526" i="5" s="1"/>
  <c r="O918" i="5"/>
  <c r="S918" i="5"/>
  <c r="P918" i="5"/>
  <c r="M918" i="5"/>
  <c r="N918" i="5" s="1"/>
  <c r="O807" i="5"/>
  <c r="M807" i="5"/>
  <c r="N807" i="5" s="1"/>
  <c r="O141" i="5"/>
  <c r="S141" i="5"/>
  <c r="M141" i="5"/>
  <c r="N141" i="5" s="1"/>
  <c r="O471" i="5"/>
  <c r="S471" i="5"/>
  <c r="M471" i="5"/>
  <c r="N471" i="5" s="1"/>
  <c r="O802" i="5"/>
  <c r="S802" i="5"/>
  <c r="M802" i="5"/>
  <c r="N802" i="5" s="1"/>
  <c r="O917" i="5"/>
  <c r="S917" i="5"/>
  <c r="P917" i="5"/>
  <c r="M917" i="5"/>
  <c r="N917" i="5" s="1"/>
  <c r="O102" i="5"/>
  <c r="S102" i="5"/>
  <c r="M102" i="5"/>
  <c r="N102" i="5" s="1"/>
  <c r="O342" i="5"/>
  <c r="M342" i="5"/>
  <c r="N342" i="5" s="1"/>
  <c r="O751" i="5"/>
  <c r="S751" i="5"/>
  <c r="M751" i="5"/>
  <c r="N751" i="5" s="1"/>
  <c r="O46" i="5"/>
  <c r="S46" i="5"/>
  <c r="M46" i="5"/>
  <c r="N46" i="5" s="1"/>
  <c r="O75" i="5"/>
  <c r="M75" i="5"/>
  <c r="N75" i="5" s="1"/>
  <c r="O691" i="5"/>
  <c r="P691" i="5"/>
  <c r="M691" i="5"/>
  <c r="N691" i="5" s="1"/>
  <c r="O460" i="5"/>
  <c r="S460" i="5"/>
  <c r="M460" i="5"/>
  <c r="N460" i="5" s="1"/>
  <c r="O394" i="5"/>
  <c r="M394" i="5"/>
  <c r="N394" i="5" s="1"/>
  <c r="O516" i="5"/>
  <c r="S516" i="5"/>
  <c r="M516" i="5"/>
  <c r="N516" i="5" s="1"/>
  <c r="O760" i="5"/>
  <c r="S760" i="5"/>
  <c r="M760" i="5"/>
  <c r="N760" i="5" s="1"/>
  <c r="O299" i="5"/>
  <c r="S299" i="5"/>
  <c r="M299" i="5"/>
  <c r="N299" i="5" s="1"/>
  <c r="O791" i="5"/>
  <c r="M791" i="5"/>
  <c r="N791" i="5" s="1"/>
  <c r="K392" i="5"/>
  <c r="Y392" i="5" s="1"/>
  <c r="K452" i="5"/>
  <c r="K622" i="5"/>
  <c r="Y622" i="5" s="1"/>
  <c r="K469" i="5"/>
  <c r="K10" i="5"/>
  <c r="Y10" i="5" s="1"/>
  <c r="K649" i="5"/>
  <c r="K219" i="5"/>
  <c r="Y219" i="5" s="1"/>
  <c r="K119" i="5"/>
  <c r="K746" i="5"/>
  <c r="Y746" i="5" s="1"/>
  <c r="K244" i="5"/>
  <c r="Y244" i="5" s="1"/>
  <c r="K274" i="5"/>
  <c r="Y274" i="5" s="1"/>
  <c r="K607" i="5"/>
  <c r="Y607" i="5" s="1"/>
  <c r="K772" i="5"/>
  <c r="Y772" i="5" s="1"/>
  <c r="K148" i="5"/>
  <c r="K862" i="5"/>
  <c r="Y862" i="5" s="1"/>
  <c r="K550" i="5"/>
  <c r="K261" i="5"/>
  <c r="Y261" i="5" s="1"/>
  <c r="K514" i="5"/>
  <c r="K829" i="5"/>
  <c r="R829" i="5" s="1"/>
  <c r="K692" i="5"/>
  <c r="Y692" i="5" s="1"/>
  <c r="K650" i="5"/>
  <c r="K619" i="5"/>
  <c r="Y619" i="5" s="1"/>
  <c r="K56" i="5"/>
  <c r="Y56" i="5" s="1"/>
  <c r="K755" i="5"/>
  <c r="Y755" i="5" s="1"/>
  <c r="K115" i="5"/>
  <c r="Y115" i="5" s="1"/>
  <c r="K511" i="5"/>
  <c r="Y511" i="5" s="1"/>
  <c r="K773" i="5"/>
  <c r="K15" i="5"/>
  <c r="Y15" i="5" s="1"/>
  <c r="K199" i="5"/>
  <c r="Y199" i="5" s="1"/>
  <c r="K707" i="5"/>
  <c r="K843" i="5"/>
  <c r="R843" i="5" s="1"/>
  <c r="K737" i="5"/>
  <c r="Y737" i="5" s="1"/>
  <c r="K633" i="5"/>
  <c r="Y633" i="5" s="1"/>
  <c r="K159" i="5"/>
  <c r="Y159" i="5" s="1"/>
  <c r="K638" i="5"/>
  <c r="K970" i="5"/>
  <c r="J970" i="5"/>
  <c r="K292" i="5"/>
  <c r="J292" i="5"/>
  <c r="K490" i="5"/>
  <c r="Y490" i="5" s="1"/>
  <c r="J490" i="5"/>
  <c r="X490" i="5" s="1"/>
  <c r="K24" i="5"/>
  <c r="Y24" i="5" s="1"/>
  <c r="J24" i="5"/>
  <c r="X24" i="5" s="1"/>
  <c r="K196" i="5"/>
  <c r="Y196" i="5" s="1"/>
  <c r="J196" i="5"/>
  <c r="X196" i="5" s="1"/>
  <c r="K699" i="5"/>
  <c r="Y699" i="5" s="1"/>
  <c r="J699" i="5"/>
  <c r="K242" i="5"/>
  <c r="Y242" i="5" s="1"/>
  <c r="J242" i="5"/>
  <c r="X242" i="5" s="1"/>
  <c r="K764" i="5"/>
  <c r="J764" i="5"/>
  <c r="K368" i="5"/>
  <c r="Y368" i="5" s="1"/>
  <c r="J368" i="5"/>
  <c r="Q368" i="5" s="1"/>
  <c r="K435" i="5"/>
  <c r="J435" i="5"/>
  <c r="Q435" i="5" s="1"/>
  <c r="K609" i="5"/>
  <c r="Y609" i="5" s="1"/>
  <c r="J609" i="5"/>
  <c r="K325" i="5"/>
  <c r="Y325" i="5" s="1"/>
  <c r="J325" i="5"/>
  <c r="K284" i="5"/>
  <c r="Y284" i="5" s="1"/>
  <c r="J284" i="5"/>
  <c r="K422" i="5"/>
  <c r="J422" i="5"/>
  <c r="K449" i="5"/>
  <c r="Y449" i="5" s="1"/>
  <c r="J449" i="5"/>
  <c r="X449" i="5" s="1"/>
  <c r="K778" i="5"/>
  <c r="J778" i="5"/>
  <c r="Q778" i="5" s="1"/>
  <c r="K500" i="5"/>
  <c r="Y500" i="5" s="1"/>
  <c r="J500" i="5"/>
  <c r="X500" i="5" s="1"/>
  <c r="K285" i="5"/>
  <c r="J285" i="5"/>
  <c r="K458" i="5"/>
  <c r="J458" i="5"/>
  <c r="K578" i="5"/>
  <c r="Y578" i="5" s="1"/>
  <c r="J578" i="5"/>
  <c r="X578" i="5" s="1"/>
  <c r="K876" i="5"/>
  <c r="J876" i="5"/>
  <c r="P876" i="5" s="1"/>
  <c r="K144" i="5"/>
  <c r="Y144" i="5" s="1"/>
  <c r="J144" i="5"/>
  <c r="X144" i="5" s="1"/>
  <c r="K198" i="5"/>
  <c r="J198" i="5"/>
  <c r="K268" i="5"/>
  <c r="Y268" i="5" s="1"/>
  <c r="J268" i="5"/>
  <c r="K72" i="5"/>
  <c r="Y72" i="5" s="1"/>
  <c r="J72" i="5"/>
  <c r="X72" i="5" s="1"/>
  <c r="K719" i="5"/>
  <c r="J719" i="5"/>
  <c r="X719" i="5" s="1"/>
  <c r="K595" i="5"/>
  <c r="Y595" i="5" s="1"/>
  <c r="J595" i="5"/>
  <c r="Q595" i="5" s="1"/>
  <c r="K632" i="5"/>
  <c r="Y632" i="5" s="1"/>
  <c r="J632" i="5"/>
  <c r="X632" i="5" s="1"/>
  <c r="K71" i="5"/>
  <c r="Y71" i="5" s="1"/>
  <c r="J71" i="5"/>
  <c r="X71" i="5" s="1"/>
  <c r="K123" i="5"/>
  <c r="J123" i="5"/>
  <c r="K150" i="5"/>
  <c r="Y150" i="5" s="1"/>
  <c r="J150" i="5"/>
  <c r="X150" i="5" s="1"/>
  <c r="K272" i="5"/>
  <c r="J272" i="5"/>
  <c r="J576" i="5"/>
  <c r="Q576" i="5" s="1"/>
  <c r="K576" i="5"/>
  <c r="R576" i="5" s="1"/>
  <c r="J220" i="5"/>
  <c r="K220" i="5"/>
  <c r="R220" i="5" s="1"/>
  <c r="J531" i="5"/>
  <c r="K531" i="5"/>
  <c r="Y531" i="5" s="1"/>
  <c r="J221" i="5"/>
  <c r="K221" i="5"/>
  <c r="J684" i="5"/>
  <c r="X684" i="5" s="1"/>
  <c r="K684" i="5"/>
  <c r="Y684" i="5" s="1"/>
  <c r="J612" i="5"/>
  <c r="K612" i="5"/>
  <c r="Y612" i="5" s="1"/>
  <c r="J925" i="5"/>
  <c r="Q925" i="5" s="1"/>
  <c r="K925" i="5"/>
  <c r="Y925" i="5" s="1"/>
  <c r="K995" i="5"/>
  <c r="Y995" i="5" s="1"/>
  <c r="J995" i="5"/>
  <c r="Q995" i="5" s="1"/>
  <c r="K989" i="5"/>
  <c r="J989" i="5"/>
  <c r="K132" i="5"/>
  <c r="J132" i="5"/>
  <c r="K403" i="5"/>
  <c r="J403" i="5"/>
  <c r="J165" i="5"/>
  <c r="K165" i="5"/>
  <c r="Y165" i="5" s="1"/>
  <c r="J669" i="5"/>
  <c r="Q669" i="5" s="1"/>
  <c r="K669" i="5"/>
  <c r="Y669" i="5" s="1"/>
  <c r="J998" i="5"/>
  <c r="X998" i="5" s="1"/>
  <c r="K998" i="5"/>
  <c r="Y998" i="5" s="1"/>
  <c r="K907" i="5"/>
  <c r="Y907" i="5" s="1"/>
  <c r="J907" i="5"/>
  <c r="J670" i="5"/>
  <c r="K670" i="5"/>
  <c r="Y670" i="5" s="1"/>
  <c r="K417" i="5"/>
  <c r="Y417" i="5" s="1"/>
  <c r="L440" i="5"/>
  <c r="Z440" i="5" s="1"/>
  <c r="L495" i="5"/>
  <c r="Z495" i="5" s="1"/>
  <c r="L640" i="5"/>
  <c r="Z640" i="5" s="1"/>
  <c r="L680" i="5"/>
  <c r="Z680" i="5" s="1"/>
  <c r="L178" i="5"/>
  <c r="Z178" i="5" s="1"/>
  <c r="L510" i="5"/>
  <c r="Z510" i="5" s="1"/>
  <c r="L837" i="5"/>
  <c r="Z837" i="5" s="1"/>
  <c r="L775" i="5"/>
  <c r="Z775" i="5" s="1"/>
  <c r="L246" i="5"/>
  <c r="Z246" i="5" s="1"/>
  <c r="L67" i="5"/>
  <c r="Z67" i="5" s="1"/>
  <c r="L131" i="5"/>
  <c r="Z131" i="5" s="1"/>
  <c r="L496" i="5"/>
  <c r="Z496" i="5" s="1"/>
  <c r="L338" i="5"/>
  <c r="Z338" i="5" s="1"/>
  <c r="L113" i="5"/>
  <c r="Z113" i="5" s="1"/>
  <c r="L972" i="5"/>
  <c r="Z972" i="5" s="1"/>
  <c r="L858" i="5"/>
  <c r="Z858" i="5" s="1"/>
  <c r="L381" i="5"/>
  <c r="Z381" i="5" s="1"/>
  <c r="L879" i="5"/>
  <c r="Z879" i="5" s="1"/>
  <c r="L931" i="5"/>
  <c r="Z931" i="5" s="1"/>
  <c r="J682" i="5"/>
  <c r="J622" i="5"/>
  <c r="X622" i="5" s="1"/>
  <c r="J649" i="5"/>
  <c r="J119" i="5"/>
  <c r="J274" i="5"/>
  <c r="X274" i="5" s="1"/>
  <c r="J148" i="5"/>
  <c r="J829" i="5"/>
  <c r="J115" i="5"/>
  <c r="X115" i="5" s="1"/>
  <c r="J843" i="5"/>
  <c r="P843" i="5" s="1"/>
  <c r="O964" i="5"/>
  <c r="M964" i="5"/>
  <c r="N964" i="5" s="1"/>
  <c r="O298" i="5"/>
  <c r="M298" i="5"/>
  <c r="N298" i="5" s="1"/>
  <c r="O367" i="5"/>
  <c r="M367" i="5"/>
  <c r="N367" i="5" s="1"/>
  <c r="O859" i="5"/>
  <c r="S859" i="5"/>
  <c r="M859" i="5"/>
  <c r="N859" i="5" s="1"/>
  <c r="O951" i="5"/>
  <c r="S951" i="5"/>
  <c r="P951" i="5"/>
  <c r="M951" i="5"/>
  <c r="N951" i="5" s="1"/>
  <c r="O678" i="5"/>
  <c r="S678" i="5"/>
  <c r="M678" i="5"/>
  <c r="N678" i="5" s="1"/>
  <c r="O908" i="5"/>
  <c r="M908" i="5"/>
  <c r="N908" i="5" s="1"/>
  <c r="O611" i="5"/>
  <c r="S611" i="5"/>
  <c r="M611" i="5"/>
  <c r="N611" i="5" s="1"/>
  <c r="O962" i="5"/>
  <c r="M962" i="5"/>
  <c r="N962" i="5" s="1"/>
  <c r="O675" i="5"/>
  <c r="S675" i="5"/>
  <c r="M675" i="5"/>
  <c r="N675" i="5" s="1"/>
  <c r="O662" i="5"/>
  <c r="M662" i="5"/>
  <c r="N662" i="5" s="1"/>
  <c r="O552" i="5"/>
  <c r="S552" i="5"/>
  <c r="M552" i="5"/>
  <c r="N552" i="5" s="1"/>
  <c r="O986" i="5"/>
  <c r="M986" i="5"/>
  <c r="N986" i="5" s="1"/>
  <c r="O944" i="5"/>
  <c r="S944" i="5"/>
  <c r="M944" i="5"/>
  <c r="N944" i="5" s="1"/>
  <c r="O792" i="5"/>
  <c r="M792" i="5"/>
  <c r="N792" i="5" s="1"/>
  <c r="O293" i="5"/>
  <c r="S293" i="5"/>
  <c r="M293" i="5"/>
  <c r="N293" i="5" s="1"/>
  <c r="O635" i="5"/>
  <c r="M635" i="5"/>
  <c r="N635" i="5" s="1"/>
  <c r="O770" i="5"/>
  <c r="S770" i="5"/>
  <c r="M770" i="5"/>
  <c r="N770" i="5" s="1"/>
  <c r="O354" i="5"/>
  <c r="S354" i="5"/>
  <c r="M354" i="5"/>
  <c r="N354" i="5" s="1"/>
  <c r="O694" i="5"/>
  <c r="S694" i="5"/>
  <c r="M694" i="5"/>
  <c r="N694" i="5" s="1"/>
  <c r="O982" i="5"/>
  <c r="S982" i="5"/>
  <c r="M982" i="5"/>
  <c r="N982" i="5" s="1"/>
  <c r="O286" i="5"/>
  <c r="S286" i="5"/>
  <c r="M286" i="5"/>
  <c r="N286" i="5" s="1"/>
  <c r="O784" i="5"/>
  <c r="S784" i="5"/>
  <c r="M784" i="5"/>
  <c r="N784" i="5" s="1"/>
  <c r="O777" i="5"/>
  <c r="S777" i="5"/>
  <c r="M777" i="5"/>
  <c r="N777" i="5" s="1"/>
  <c r="O11" i="5"/>
  <c r="M11" i="5"/>
  <c r="N11" i="5" s="1"/>
  <c r="O741" i="5"/>
  <c r="M741" i="5"/>
  <c r="N741" i="5" s="1"/>
  <c r="O598" i="5"/>
  <c r="M598" i="5"/>
  <c r="N598" i="5" s="1"/>
  <c r="O819" i="5"/>
  <c r="S819" i="5"/>
  <c r="M819" i="5"/>
  <c r="N819" i="5" s="1"/>
  <c r="O695" i="5"/>
  <c r="M695" i="5"/>
  <c r="N695" i="5" s="1"/>
  <c r="O813" i="5"/>
  <c r="S813" i="5"/>
  <c r="M813" i="5"/>
  <c r="N813" i="5" s="1"/>
  <c r="O831" i="5"/>
  <c r="S831" i="5"/>
  <c r="M831" i="5"/>
  <c r="N831" i="5" s="1"/>
  <c r="O630" i="5"/>
  <c r="S630" i="5"/>
  <c r="M630" i="5"/>
  <c r="N630" i="5" s="1"/>
  <c r="O479" i="5"/>
  <c r="S479" i="5"/>
  <c r="P479" i="5"/>
  <c r="M479" i="5"/>
  <c r="N479" i="5" s="1"/>
  <c r="O875" i="5"/>
  <c r="S875" i="5"/>
  <c r="M875" i="5"/>
  <c r="N875" i="5" s="1"/>
  <c r="O396" i="5"/>
  <c r="S396" i="5"/>
  <c r="P396" i="5"/>
  <c r="M396" i="5"/>
  <c r="N396" i="5" s="1"/>
  <c r="O718" i="5"/>
  <c r="S718" i="5"/>
  <c r="M718" i="5"/>
  <c r="N718" i="5" s="1"/>
  <c r="O663" i="5"/>
  <c r="S663" i="5"/>
  <c r="M663" i="5"/>
  <c r="N663" i="5" s="1"/>
  <c r="O641" i="5"/>
  <c r="S641" i="5"/>
  <c r="M641" i="5"/>
  <c r="N641" i="5" s="1"/>
  <c r="O116" i="5"/>
  <c r="S116" i="5"/>
  <c r="P116" i="5"/>
  <c r="M116" i="5"/>
  <c r="N116" i="5" s="1"/>
  <c r="O933" i="5"/>
  <c r="S933" i="5"/>
  <c r="M933" i="5"/>
  <c r="N933" i="5" s="1"/>
  <c r="O243" i="5"/>
  <c r="S243" i="5"/>
  <c r="M243" i="5"/>
  <c r="N243" i="5" s="1"/>
  <c r="O943" i="5"/>
  <c r="S943" i="5"/>
  <c r="M943" i="5"/>
  <c r="N943" i="5" s="1"/>
  <c r="O22" i="5"/>
  <c r="S22" i="5"/>
  <c r="P22" i="5"/>
  <c r="M22" i="5"/>
  <c r="N22" i="5" s="1"/>
  <c r="O4" i="5"/>
  <c r="S4" i="5"/>
  <c r="M4" i="5"/>
  <c r="N4" i="5" s="1"/>
  <c r="O180" i="5"/>
  <c r="S180" i="5"/>
  <c r="M180" i="5"/>
  <c r="N180" i="5" s="1"/>
  <c r="O8" i="5"/>
  <c r="S8" i="5"/>
  <c r="M8" i="5"/>
  <c r="N8" i="5" s="1"/>
  <c r="O87" i="5"/>
  <c r="S87" i="5"/>
  <c r="M87" i="5"/>
  <c r="N87" i="5" s="1"/>
  <c r="O788" i="5"/>
  <c r="S788" i="5"/>
  <c r="M788" i="5"/>
  <c r="N788" i="5" s="1"/>
  <c r="O190" i="5"/>
  <c r="S190" i="5"/>
  <c r="P190" i="5"/>
  <c r="M190" i="5"/>
  <c r="N190" i="5" s="1"/>
  <c r="O51" i="5"/>
  <c r="S51" i="5"/>
  <c r="M51" i="5"/>
  <c r="N51" i="5" s="1"/>
  <c r="O790" i="5"/>
  <c r="S790" i="5"/>
  <c r="M790" i="5"/>
  <c r="N790" i="5" s="1"/>
  <c r="O504" i="5"/>
  <c r="S504" i="5"/>
  <c r="M504" i="5"/>
  <c r="N504" i="5" s="1"/>
  <c r="O36" i="5"/>
  <c r="S36" i="5"/>
  <c r="M36" i="5"/>
  <c r="N36" i="5" s="1"/>
  <c r="O235" i="5"/>
  <c r="S235" i="5"/>
  <c r="M235" i="5"/>
  <c r="N235" i="5" s="1"/>
  <c r="O613" i="5"/>
  <c r="S613" i="5"/>
  <c r="M613" i="5"/>
  <c r="N613" i="5" s="1"/>
  <c r="O38" i="5"/>
  <c r="S38" i="5"/>
  <c r="M38" i="5"/>
  <c r="N38" i="5" s="1"/>
  <c r="O674" i="5"/>
  <c r="S674" i="5"/>
  <c r="M674" i="5"/>
  <c r="N674" i="5" s="1"/>
  <c r="O477" i="5"/>
  <c r="M477" i="5"/>
  <c r="N477" i="5" s="1"/>
  <c r="O275" i="5"/>
  <c r="S275" i="5"/>
  <c r="M275" i="5"/>
  <c r="N275" i="5" s="1"/>
  <c r="O203" i="5"/>
  <c r="S203" i="5"/>
  <c r="M203" i="5"/>
  <c r="N203" i="5" s="1"/>
  <c r="O979" i="5"/>
  <c r="S979" i="5"/>
  <c r="M979" i="5"/>
  <c r="N979" i="5" s="1"/>
  <c r="O2" i="5"/>
  <c r="S2" i="5"/>
  <c r="M2" i="5"/>
  <c r="N2" i="5" s="1"/>
  <c r="O230" i="5"/>
  <c r="M230" i="5"/>
  <c r="N230" i="5" s="1"/>
  <c r="O309" i="5"/>
  <c r="M309" i="5"/>
  <c r="N309" i="5" s="1"/>
  <c r="O902" i="5"/>
  <c r="S902" i="5"/>
  <c r="M902" i="5"/>
  <c r="N902" i="5" s="1"/>
  <c r="O224" i="5"/>
  <c r="S224" i="5"/>
  <c r="M224" i="5"/>
  <c r="N224" i="5" s="1"/>
  <c r="O664" i="5"/>
  <c r="S664" i="5"/>
  <c r="M664" i="5"/>
  <c r="N664" i="5" s="1"/>
  <c r="O733" i="5"/>
  <c r="S733" i="5"/>
  <c r="M733" i="5"/>
  <c r="N733" i="5" s="1"/>
  <c r="O280" i="5"/>
  <c r="S280" i="5"/>
  <c r="M280" i="5"/>
  <c r="N280" i="5" s="1"/>
  <c r="O266" i="5"/>
  <c r="M266" i="5"/>
  <c r="N266" i="5" s="1"/>
  <c r="O803" i="5"/>
  <c r="S803" i="5"/>
  <c r="M803" i="5"/>
  <c r="N803" i="5" s="1"/>
  <c r="O415" i="5"/>
  <c r="S415" i="5"/>
  <c r="P415" i="5"/>
  <c r="M415" i="5"/>
  <c r="N415" i="5" s="1"/>
  <c r="O276" i="5"/>
  <c r="S276" i="5"/>
  <c r="M276" i="5"/>
  <c r="N276" i="5" s="1"/>
  <c r="O726" i="5"/>
  <c r="M726" i="5"/>
  <c r="N726" i="5" s="1"/>
  <c r="O351" i="5"/>
  <c r="M351" i="5"/>
  <c r="N351" i="5" s="1"/>
  <c r="O347" i="5"/>
  <c r="M347" i="5"/>
  <c r="N347" i="5" s="1"/>
  <c r="O532" i="5"/>
  <c r="M532" i="5"/>
  <c r="N532" i="5" s="1"/>
  <c r="O655" i="5"/>
  <c r="S655" i="5"/>
  <c r="M655" i="5"/>
  <c r="N655" i="5" s="1"/>
  <c r="O362" i="5"/>
  <c r="S362" i="5"/>
  <c r="M362" i="5"/>
  <c r="N362" i="5" s="1"/>
  <c r="O543" i="5"/>
  <c r="S543" i="5"/>
  <c r="P543" i="5"/>
  <c r="M543" i="5"/>
  <c r="N543" i="5" s="1"/>
  <c r="O849" i="5"/>
  <c r="S849" i="5"/>
  <c r="M849" i="5"/>
  <c r="N849" i="5" s="1"/>
  <c r="O795" i="5"/>
  <c r="M795" i="5"/>
  <c r="N795" i="5" s="1"/>
  <c r="O868" i="5"/>
  <c r="M868" i="5"/>
  <c r="N868" i="5" s="1"/>
  <c r="K328" i="5"/>
  <c r="K270" i="5"/>
  <c r="Y270" i="5" s="1"/>
  <c r="K883" i="5"/>
  <c r="Y883" i="5" s="1"/>
  <c r="K120" i="5"/>
  <c r="Y120" i="5" s="1"/>
  <c r="K79" i="5"/>
  <c r="Y79" i="5" s="1"/>
  <c r="K704" i="5"/>
  <c r="Y704" i="5" s="1"/>
  <c r="K433" i="5"/>
  <c r="K940" i="5"/>
  <c r="Y940" i="5" s="1"/>
  <c r="J940" i="5"/>
  <c r="X940" i="5" s="1"/>
  <c r="K393" i="5"/>
  <c r="J393" i="5"/>
  <c r="X393" i="5" s="1"/>
  <c r="K915" i="5"/>
  <c r="J915" i="5"/>
  <c r="K402" i="5"/>
  <c r="J402" i="5"/>
  <c r="K21" i="5"/>
  <c r="Y21" i="5" s="1"/>
  <c r="J21" i="5"/>
  <c r="X21" i="5" s="1"/>
  <c r="K909" i="5"/>
  <c r="J909" i="5"/>
  <c r="K747" i="5"/>
  <c r="Y747" i="5" s="1"/>
  <c r="J747" i="5"/>
  <c r="X747" i="5" s="1"/>
  <c r="K753" i="5"/>
  <c r="J753" i="5"/>
  <c r="K210" i="5"/>
  <c r="J210" i="5"/>
  <c r="K312" i="5"/>
  <c r="Y312" i="5" s="1"/>
  <c r="J312" i="5"/>
  <c r="X312" i="5" s="1"/>
  <c r="K568" i="5"/>
  <c r="J568" i="5"/>
  <c r="K846" i="5"/>
  <c r="Y846" i="5" s="1"/>
  <c r="J846" i="5"/>
  <c r="K736" i="5"/>
  <c r="Y736" i="5" s="1"/>
  <c r="J736" i="5"/>
  <c r="K216" i="5"/>
  <c r="Y216" i="5" s="1"/>
  <c r="J216" i="5"/>
  <c r="X216" i="5" s="1"/>
  <c r="K297" i="5"/>
  <c r="Y297" i="5" s="1"/>
  <c r="J297" i="5"/>
  <c r="K332" i="5"/>
  <c r="J332" i="5"/>
  <c r="K765" i="5"/>
  <c r="Y765" i="5" s="1"/>
  <c r="J765" i="5"/>
  <c r="K541" i="5"/>
  <c r="Y541" i="5" s="1"/>
  <c r="J541" i="5"/>
  <c r="K823" i="5"/>
  <c r="Y823" i="5" s="1"/>
  <c r="J823" i="5"/>
  <c r="K139" i="5"/>
  <c r="Y139" i="5" s="1"/>
  <c r="J139" i="5"/>
  <c r="K468" i="5"/>
  <c r="Y468" i="5" s="1"/>
  <c r="J468" i="5"/>
  <c r="X468" i="5" s="1"/>
  <c r="K133" i="5"/>
  <c r="Y133" i="5" s="1"/>
  <c r="J133" i="5"/>
  <c r="X133" i="5" s="1"/>
  <c r="K100" i="5"/>
  <c r="Y100" i="5" s="1"/>
  <c r="J100" i="5"/>
  <c r="K321" i="5"/>
  <c r="J321" i="5"/>
  <c r="K158" i="5"/>
  <c r="Y158" i="5" s="1"/>
  <c r="J158" i="5"/>
  <c r="K596" i="5"/>
  <c r="Y596" i="5" s="1"/>
  <c r="J596" i="5"/>
  <c r="X596" i="5" s="1"/>
  <c r="K86" i="5"/>
  <c r="Y86" i="5" s="1"/>
  <c r="J86" i="5"/>
  <c r="K539" i="5"/>
  <c r="Y539" i="5" s="1"/>
  <c r="J539" i="5"/>
  <c r="X539" i="5" s="1"/>
  <c r="K76" i="5"/>
  <c r="Y76" i="5" s="1"/>
  <c r="J76" i="5"/>
  <c r="K652" i="5"/>
  <c r="J652" i="5"/>
  <c r="K49" i="5"/>
  <c r="Y49" i="5" s="1"/>
  <c r="J49" i="5"/>
  <c r="X49" i="5" s="1"/>
  <c r="K341" i="5"/>
  <c r="Y341" i="5" s="1"/>
  <c r="J341" i="5"/>
  <c r="K992" i="5"/>
  <c r="Y992" i="5" s="1"/>
  <c r="J992" i="5"/>
  <c r="K555" i="5"/>
  <c r="J555" i="5"/>
  <c r="K264" i="5"/>
  <c r="Y264" i="5" s="1"/>
  <c r="J264" i="5"/>
  <c r="X264" i="5" s="1"/>
  <c r="K302" i="5"/>
  <c r="Y302" i="5" s="1"/>
  <c r="J302" i="5"/>
  <c r="K994" i="5"/>
  <c r="Y994" i="5" s="1"/>
  <c r="J994" i="5"/>
  <c r="X994" i="5" s="1"/>
  <c r="K189" i="5"/>
  <c r="Y189" i="5" s="1"/>
  <c r="J189" i="5"/>
  <c r="K698" i="5"/>
  <c r="J698" i="5"/>
  <c r="K484" i="5"/>
  <c r="Y484" i="5" s="1"/>
  <c r="J484" i="5"/>
  <c r="X484" i="5" s="1"/>
  <c r="K407" i="5"/>
  <c r="Y407" i="5" s="1"/>
  <c r="J407" i="5"/>
  <c r="K238" i="5"/>
  <c r="Y238" i="5" s="1"/>
  <c r="J238" i="5"/>
  <c r="X238" i="5" s="1"/>
  <c r="K886" i="5"/>
  <c r="Y886" i="5" s="1"/>
  <c r="J886" i="5"/>
  <c r="K591" i="5"/>
  <c r="Y591" i="5" s="1"/>
  <c r="J591" i="5"/>
  <c r="X591" i="5" s="1"/>
  <c r="K400" i="5"/>
  <c r="Y400" i="5" s="1"/>
  <c r="J400" i="5"/>
  <c r="K373" i="5"/>
  <c r="Y373" i="5" s="1"/>
  <c r="J373" i="5"/>
  <c r="K386" i="5"/>
  <c r="Y386" i="5" s="1"/>
  <c r="J386" i="5"/>
  <c r="X386" i="5" s="1"/>
  <c r="K259" i="5"/>
  <c r="J259" i="5"/>
  <c r="K749" i="5"/>
  <c r="Y749" i="5" s="1"/>
  <c r="J749" i="5"/>
  <c r="K705" i="5"/>
  <c r="Y705" i="5" s="1"/>
  <c r="J705" i="5"/>
  <c r="X705" i="5" s="1"/>
  <c r="K937" i="5"/>
  <c r="Y937" i="5" s="1"/>
  <c r="J937" i="5"/>
  <c r="K453" i="5"/>
  <c r="Y453" i="5" s="1"/>
  <c r="J453" i="5"/>
  <c r="K538" i="5"/>
  <c r="Y538" i="5" s="1"/>
  <c r="J538" i="5"/>
  <c r="K930" i="5"/>
  <c r="Y930" i="5" s="1"/>
  <c r="J930" i="5"/>
  <c r="X930" i="5" s="1"/>
  <c r="K486" i="5"/>
  <c r="Y486" i="5" s="1"/>
  <c r="J486" i="5"/>
  <c r="X486" i="5" s="1"/>
  <c r="K505" i="5"/>
  <c r="Y505" i="5" s="1"/>
  <c r="J505" i="5"/>
  <c r="K390" i="5"/>
  <c r="J390" i="5"/>
  <c r="K124" i="5"/>
  <c r="Y124" i="5" s="1"/>
  <c r="J124" i="5"/>
  <c r="X124" i="5" s="1"/>
  <c r="K506" i="5"/>
  <c r="Y506" i="5" s="1"/>
  <c r="J506" i="5"/>
  <c r="K681" i="5"/>
  <c r="Y681" i="5" s="1"/>
  <c r="J681" i="5"/>
  <c r="J70" i="5"/>
  <c r="K70" i="5"/>
  <c r="Y70" i="5" s="1"/>
  <c r="J93" i="5"/>
  <c r="X93" i="5" s="1"/>
  <c r="K93" i="5"/>
  <c r="Y93" i="5" s="1"/>
  <c r="J343" i="5"/>
  <c r="K343" i="5"/>
  <c r="J181" i="5"/>
  <c r="X181" i="5" s="1"/>
  <c r="K181" i="5"/>
  <c r="Y181" i="5" s="1"/>
  <c r="J363" i="5"/>
  <c r="K363" i="5"/>
  <c r="Y363" i="5" s="1"/>
  <c r="J535" i="5"/>
  <c r="K535" i="5"/>
  <c r="Y535" i="5" s="1"/>
  <c r="J949" i="5"/>
  <c r="K949" i="5"/>
  <c r="Y949" i="5" s="1"/>
  <c r="J806" i="5"/>
  <c r="K806" i="5"/>
  <c r="Y806" i="5" s="1"/>
  <c r="K582" i="5"/>
  <c r="Y582" i="5" s="1"/>
  <c r="J582" i="5"/>
  <c r="X582" i="5" s="1"/>
  <c r="K706" i="5"/>
  <c r="J706" i="5"/>
  <c r="K836" i="5"/>
  <c r="Y836" i="5" s="1"/>
  <c r="J836" i="5"/>
  <c r="X836" i="5" s="1"/>
  <c r="J673" i="5"/>
  <c r="K673" i="5"/>
  <c r="Y673" i="5" s="1"/>
  <c r="J742" i="5"/>
  <c r="K742" i="5"/>
  <c r="K350" i="5"/>
  <c r="Y350" i="5" s="1"/>
  <c r="J350" i="5"/>
  <c r="K847" i="5"/>
  <c r="Y847" i="5" s="1"/>
  <c r="J847" i="5"/>
  <c r="X847" i="5" s="1"/>
  <c r="L847" i="5"/>
  <c r="Z847" i="5" s="1"/>
  <c r="K429" i="5"/>
  <c r="Y429" i="5" s="1"/>
  <c r="J429" i="5"/>
  <c r="X429" i="5" s="1"/>
  <c r="L429" i="5"/>
  <c r="Z429" i="5" s="1"/>
  <c r="L608" i="5"/>
  <c r="Z608" i="5" s="1"/>
  <c r="L303" i="5"/>
  <c r="Z303" i="5" s="1"/>
  <c r="L687" i="5"/>
  <c r="Z687" i="5" s="1"/>
  <c r="L187" i="5"/>
  <c r="Z187" i="5" s="1"/>
  <c r="L974" i="5"/>
  <c r="Z974" i="5" s="1"/>
  <c r="L647" i="5"/>
  <c r="Z647" i="5" s="1"/>
  <c r="L356" i="5"/>
  <c r="Z356" i="5" s="1"/>
  <c r="L557" i="5"/>
  <c r="Z557" i="5" s="1"/>
  <c r="L143" i="5"/>
  <c r="Z143" i="5" s="1"/>
  <c r="L103" i="5"/>
  <c r="J667" i="5"/>
  <c r="P667" i="5" s="1"/>
  <c r="J95" i="5"/>
  <c r="X95" i="5" s="1"/>
  <c r="J883" i="5"/>
  <c r="J704" i="5"/>
  <c r="O910" i="5"/>
  <c r="S910" i="5"/>
  <c r="P910" i="5"/>
  <c r="M910" i="5"/>
  <c r="N910" i="5" s="1"/>
  <c r="O209" i="5"/>
  <c r="S209" i="5"/>
  <c r="P209" i="5"/>
  <c r="M209" i="5"/>
  <c r="N209" i="5" s="1"/>
  <c r="O440" i="5"/>
  <c r="S440" i="5"/>
  <c r="Q440" i="5"/>
  <c r="P440" i="5"/>
  <c r="M440" i="5"/>
  <c r="N440" i="5" s="1"/>
  <c r="O495" i="5"/>
  <c r="Q495" i="5"/>
  <c r="P495" i="5"/>
  <c r="M495" i="5"/>
  <c r="N495" i="5" s="1"/>
  <c r="O434" i="5"/>
  <c r="S434" i="5"/>
  <c r="M434" i="5"/>
  <c r="N434" i="5" s="1"/>
  <c r="O640" i="5"/>
  <c r="S640" i="5"/>
  <c r="P640" i="5"/>
  <c r="M640" i="5"/>
  <c r="N640" i="5" s="1"/>
  <c r="O946" i="5"/>
  <c r="S946" i="5"/>
  <c r="M946" i="5"/>
  <c r="N946" i="5" s="1"/>
  <c r="O680" i="5"/>
  <c r="P680" i="5"/>
  <c r="M680" i="5"/>
  <c r="N680" i="5" s="1"/>
  <c r="O178" i="5"/>
  <c r="P178" i="5"/>
  <c r="M178" i="5"/>
  <c r="N178" i="5" s="1"/>
  <c r="O451" i="5"/>
  <c r="S451" i="5"/>
  <c r="M451" i="5"/>
  <c r="N451" i="5" s="1"/>
  <c r="O510" i="5"/>
  <c r="S510" i="5"/>
  <c r="Q510" i="5"/>
  <c r="P510" i="5"/>
  <c r="M510" i="5"/>
  <c r="N510" i="5" s="1"/>
  <c r="O837" i="5"/>
  <c r="P837" i="5"/>
  <c r="M837" i="5"/>
  <c r="N837" i="5" s="1"/>
  <c r="O330" i="5"/>
  <c r="S330" i="5"/>
  <c r="Q330" i="5"/>
  <c r="P330" i="5"/>
  <c r="M330" i="5"/>
  <c r="N330" i="5" s="1"/>
  <c r="O775" i="5"/>
  <c r="Q775" i="5"/>
  <c r="P775" i="5"/>
  <c r="M775" i="5"/>
  <c r="N775" i="5" s="1"/>
  <c r="O246" i="5"/>
  <c r="Q246" i="5"/>
  <c r="P246" i="5"/>
  <c r="M246" i="5"/>
  <c r="N246" i="5" s="1"/>
  <c r="O520" i="5"/>
  <c r="S520" i="5"/>
  <c r="M520" i="5"/>
  <c r="N520" i="5" s="1"/>
  <c r="O786" i="5"/>
  <c r="S786" i="5"/>
  <c r="M786" i="5"/>
  <c r="N786" i="5" s="1"/>
  <c r="O785" i="5"/>
  <c r="P785" i="5"/>
  <c r="M785" i="5"/>
  <c r="N785" i="5" s="1"/>
  <c r="O67" i="5"/>
  <c r="P67" i="5"/>
  <c r="M67" i="5"/>
  <c r="N67" i="5" s="1"/>
  <c r="O131" i="5"/>
  <c r="S131" i="5"/>
  <c r="M131" i="5"/>
  <c r="N131" i="5" s="1"/>
  <c r="O496" i="5"/>
  <c r="M496" i="5"/>
  <c r="N496" i="5" s="1"/>
  <c r="O985" i="5"/>
  <c r="M985" i="5"/>
  <c r="N985" i="5" s="1"/>
  <c r="O580" i="5"/>
  <c r="P580" i="5"/>
  <c r="M580" i="5"/>
  <c r="N580" i="5" s="1"/>
  <c r="O34" i="5"/>
  <c r="S34" i="5"/>
  <c r="P34" i="5"/>
  <c r="M34" i="5"/>
  <c r="N34" i="5" s="1"/>
  <c r="O338" i="5"/>
  <c r="S338" i="5"/>
  <c r="P338" i="5"/>
  <c r="M338" i="5"/>
  <c r="N338" i="5" s="1"/>
  <c r="O113" i="5"/>
  <c r="S113" i="5"/>
  <c r="Q113" i="5"/>
  <c r="P113" i="5"/>
  <c r="M113" i="5"/>
  <c r="N113" i="5" s="1"/>
  <c r="O972" i="5"/>
  <c r="S972" i="5"/>
  <c r="Q972" i="5"/>
  <c r="P972" i="5"/>
  <c r="M972" i="5"/>
  <c r="N972" i="5" s="1"/>
  <c r="O549" i="5"/>
  <c r="S549" i="5"/>
  <c r="M549" i="5"/>
  <c r="N549" i="5" s="1"/>
  <c r="O561" i="5"/>
  <c r="S561" i="5"/>
  <c r="P561" i="5"/>
  <c r="M561" i="5"/>
  <c r="N561" i="5" s="1"/>
  <c r="O624" i="5"/>
  <c r="S624" i="5"/>
  <c r="M624" i="5"/>
  <c r="N624" i="5" s="1"/>
  <c r="O858" i="5"/>
  <c r="P858" i="5"/>
  <c r="M858" i="5"/>
  <c r="N858" i="5" s="1"/>
  <c r="O381" i="5"/>
  <c r="P381" i="5"/>
  <c r="M381" i="5"/>
  <c r="N381" i="5" s="1"/>
  <c r="O879" i="5"/>
  <c r="Q879" i="5"/>
  <c r="P879" i="5"/>
  <c r="M879" i="5"/>
  <c r="N879" i="5" s="1"/>
  <c r="O600" i="5"/>
  <c r="S600" i="5"/>
  <c r="M600" i="5"/>
  <c r="N600" i="5" s="1"/>
  <c r="O398" i="5"/>
  <c r="S398" i="5"/>
  <c r="P398" i="5"/>
  <c r="M398" i="5"/>
  <c r="N398" i="5" s="1"/>
  <c r="O370" i="5"/>
  <c r="S370" i="5"/>
  <c r="M370" i="5"/>
  <c r="N370" i="5" s="1"/>
  <c r="O651" i="5"/>
  <c r="S651" i="5"/>
  <c r="M651" i="5"/>
  <c r="N651" i="5" s="1"/>
  <c r="O425" i="5"/>
  <c r="S425" i="5"/>
  <c r="P425" i="5"/>
  <c r="M425" i="5"/>
  <c r="N425" i="5" s="1"/>
  <c r="O236" i="5"/>
  <c r="S236" i="5"/>
  <c r="M236" i="5"/>
  <c r="N236" i="5" s="1"/>
  <c r="O175" i="5"/>
  <c r="S175" i="5"/>
  <c r="M175" i="5"/>
  <c r="N175" i="5" s="1"/>
  <c r="O828" i="5"/>
  <c r="S828" i="5"/>
  <c r="M828" i="5"/>
  <c r="N828" i="5" s="1"/>
  <c r="O446" i="5"/>
  <c r="S446" i="5"/>
  <c r="M446" i="5"/>
  <c r="N446" i="5" s="1"/>
  <c r="O200" i="5"/>
  <c r="S200" i="5"/>
  <c r="M200" i="5"/>
  <c r="N200" i="5" s="1"/>
  <c r="O12" i="5"/>
  <c r="S12" i="5"/>
  <c r="M12" i="5"/>
  <c r="N12" i="5" s="1"/>
  <c r="O497" i="5"/>
  <c r="S497" i="5"/>
  <c r="M497" i="5"/>
  <c r="N497" i="5" s="1"/>
  <c r="O820" i="5"/>
  <c r="S820" i="5"/>
  <c r="P820" i="5"/>
  <c r="M820" i="5"/>
  <c r="N820" i="5" s="1"/>
  <c r="O85" i="5"/>
  <c r="S85" i="5"/>
  <c r="M85" i="5"/>
  <c r="N85" i="5" s="1"/>
  <c r="O589" i="5"/>
  <c r="S589" i="5"/>
  <c r="M589" i="5"/>
  <c r="N589" i="5" s="1"/>
  <c r="O805" i="5"/>
  <c r="S805" i="5"/>
  <c r="P805" i="5"/>
  <c r="M805" i="5"/>
  <c r="N805" i="5" s="1"/>
  <c r="O508" i="5"/>
  <c r="S508" i="5"/>
  <c r="M508" i="5"/>
  <c r="N508" i="5" s="1"/>
  <c r="O310" i="5"/>
  <c r="S310" i="5"/>
  <c r="M310" i="5"/>
  <c r="N310" i="5" s="1"/>
  <c r="O714" i="5"/>
  <c r="S714" i="5"/>
  <c r="M714" i="5"/>
  <c r="N714" i="5" s="1"/>
  <c r="O438" i="5"/>
  <c r="S438" i="5"/>
  <c r="M438" i="5"/>
  <c r="N438" i="5" s="1"/>
  <c r="O789" i="5"/>
  <c r="S789" i="5"/>
  <c r="M789" i="5"/>
  <c r="N789" i="5" s="1"/>
  <c r="O97" i="5"/>
  <c r="S97" i="5"/>
  <c r="M97" i="5"/>
  <c r="N97" i="5" s="1"/>
  <c r="O215" i="5"/>
  <c r="S215" i="5"/>
  <c r="P215" i="5"/>
  <c r="M215" i="5"/>
  <c r="N215" i="5" s="1"/>
  <c r="O491" i="5"/>
  <c r="S491" i="5"/>
  <c r="P491" i="5"/>
  <c r="M491" i="5"/>
  <c r="N491" i="5" s="1"/>
  <c r="O776" i="5"/>
  <c r="S776" i="5"/>
  <c r="M776" i="5"/>
  <c r="N776" i="5" s="1"/>
  <c r="O665" i="5"/>
  <c r="M665" i="5"/>
  <c r="N665" i="5" s="1"/>
  <c r="O176" i="5"/>
  <c r="M176" i="5"/>
  <c r="N176" i="5" s="1"/>
  <c r="O273" i="5"/>
  <c r="M273" i="5"/>
  <c r="N273" i="5" s="1"/>
  <c r="O978" i="5"/>
  <c r="P978" i="5"/>
  <c r="M978" i="5"/>
  <c r="N978" i="5" s="1"/>
  <c r="O382" i="5"/>
  <c r="S382" i="5"/>
  <c r="M382" i="5"/>
  <c r="N382" i="5" s="1"/>
  <c r="O926" i="5"/>
  <c r="S926" i="5"/>
  <c r="P926" i="5"/>
  <c r="M926" i="5"/>
  <c r="N926" i="5" s="1"/>
  <c r="O815" i="5"/>
  <c r="S815" i="5"/>
  <c r="P815" i="5"/>
  <c r="M815" i="5"/>
  <c r="N815" i="5" s="1"/>
  <c r="O821" i="5"/>
  <c r="S821" i="5"/>
  <c r="M821" i="5"/>
  <c r="N821" i="5" s="1"/>
  <c r="O226" i="5"/>
  <c r="M226" i="5"/>
  <c r="N226" i="5" s="1"/>
  <c r="O735" i="5"/>
  <c r="S735" i="5"/>
  <c r="M735" i="5"/>
  <c r="N735" i="5" s="1"/>
  <c r="O814" i="5"/>
  <c r="S814" i="5"/>
  <c r="M814" i="5"/>
  <c r="N814" i="5" s="1"/>
  <c r="O697" i="5"/>
  <c r="S697" i="5"/>
  <c r="M697" i="5"/>
  <c r="N697" i="5" s="1"/>
  <c r="O25" i="5"/>
  <c r="M25" i="5"/>
  <c r="N25" i="5" s="1"/>
  <c r="O160" i="5"/>
  <c r="P160" i="5"/>
  <c r="M160" i="5"/>
  <c r="N160" i="5" s="1"/>
  <c r="O217" i="5"/>
  <c r="M217" i="5"/>
  <c r="N217" i="5" s="1"/>
  <c r="O281" i="5"/>
  <c r="M281" i="5"/>
  <c r="N281" i="5" s="1"/>
  <c r="O564" i="5"/>
  <c r="S564" i="5"/>
  <c r="M564" i="5"/>
  <c r="N564" i="5" s="1"/>
  <c r="O953" i="5"/>
  <c r="S953" i="5"/>
  <c r="P953" i="5"/>
  <c r="M953" i="5"/>
  <c r="N953" i="5" s="1"/>
  <c r="O899" i="5"/>
  <c r="S899" i="5"/>
  <c r="M899" i="5"/>
  <c r="N899" i="5" s="1"/>
  <c r="O377" i="5"/>
  <c r="S377" i="5"/>
  <c r="P377" i="5"/>
  <c r="M377" i="5"/>
  <c r="N377" i="5" s="1"/>
  <c r="O921" i="5"/>
  <c r="M921" i="5"/>
  <c r="N921" i="5" s="1"/>
  <c r="O871" i="5"/>
  <c r="S871" i="5"/>
  <c r="M871" i="5"/>
  <c r="N871" i="5" s="1"/>
  <c r="O631" i="5"/>
  <c r="S631" i="5"/>
  <c r="M631" i="5"/>
  <c r="N631" i="5" s="1"/>
  <c r="O179" i="5"/>
  <c r="S179" i="5"/>
  <c r="M179" i="5"/>
  <c r="N179" i="5" s="1"/>
  <c r="O884" i="5"/>
  <c r="P884" i="5"/>
  <c r="M884" i="5"/>
  <c r="N884" i="5" s="1"/>
  <c r="K228" i="5"/>
  <c r="Y228" i="5" s="1"/>
  <c r="K357" i="5"/>
  <c r="K769" i="5"/>
  <c r="Y769" i="5" s="1"/>
  <c r="K247" i="5"/>
  <c r="Y247" i="5" s="1"/>
  <c r="J658" i="5"/>
  <c r="K658" i="5"/>
  <c r="J981" i="5"/>
  <c r="K981" i="5"/>
  <c r="Y981" i="5" s="1"/>
  <c r="J588" i="5"/>
  <c r="K588" i="5"/>
  <c r="Y588" i="5" s="1"/>
  <c r="J33" i="5"/>
  <c r="K33" i="5"/>
  <c r="Y33" i="5" s="1"/>
  <c r="J492" i="5"/>
  <c r="X492" i="5" s="1"/>
  <c r="K492" i="5"/>
  <c r="Y492" i="5" s="1"/>
  <c r="J489" i="5"/>
  <c r="K489" i="5"/>
  <c r="Y489" i="5" s="1"/>
  <c r="J536" i="5"/>
  <c r="K536" i="5"/>
  <c r="Y536" i="5" s="1"/>
  <c r="J99" i="5"/>
  <c r="K99" i="5"/>
  <c r="Y99" i="5" s="1"/>
  <c r="J17" i="5"/>
  <c r="K17" i="5"/>
  <c r="Y17" i="5" s="1"/>
  <c r="J317" i="5"/>
  <c r="K317" i="5"/>
  <c r="Y317" i="5" s="1"/>
  <c r="J594" i="5"/>
  <c r="X594" i="5" s="1"/>
  <c r="K594" i="5"/>
  <c r="Y594" i="5" s="1"/>
  <c r="J863" i="5"/>
  <c r="X863" i="5" s="1"/>
  <c r="K863" i="5"/>
  <c r="Y863" i="5" s="1"/>
  <c r="J462" i="5"/>
  <c r="X462" i="5" s="1"/>
  <c r="K462" i="5"/>
  <c r="Y462" i="5" s="1"/>
  <c r="J239" i="5"/>
  <c r="K239" i="5"/>
  <c r="J700" i="5"/>
  <c r="K700" i="5"/>
  <c r="Y700" i="5" s="1"/>
  <c r="J326" i="5"/>
  <c r="X326" i="5" s="1"/>
  <c r="K326" i="5"/>
  <c r="Y326" i="5" s="1"/>
  <c r="J873" i="5"/>
  <c r="K873" i="5"/>
  <c r="J685" i="5"/>
  <c r="K685" i="5"/>
  <c r="J987" i="5"/>
  <c r="K987" i="5"/>
  <c r="Y987" i="5" s="1"/>
  <c r="J732" i="5"/>
  <c r="K732" i="5"/>
  <c r="Y732" i="5" s="1"/>
  <c r="J320" i="5"/>
  <c r="K320" i="5"/>
  <c r="Y320" i="5" s="1"/>
  <c r="J903" i="5"/>
  <c r="K903" i="5"/>
  <c r="Y903" i="5" s="1"/>
  <c r="J467" i="5"/>
  <c r="X467" i="5" s="1"/>
  <c r="K467" i="5"/>
  <c r="Y467" i="5" s="1"/>
  <c r="J142" i="5"/>
  <c r="X142" i="5" s="1"/>
  <c r="K142" i="5"/>
  <c r="Y142" i="5" s="1"/>
  <c r="J826" i="5"/>
  <c r="K826" i="5"/>
  <c r="J26" i="5"/>
  <c r="K26" i="5"/>
  <c r="Y26" i="5" s="1"/>
  <c r="J603" i="5"/>
  <c r="K603" i="5"/>
  <c r="J493" i="5"/>
  <c r="K493" i="5"/>
  <c r="Y493" i="5" s="1"/>
  <c r="J409" i="5"/>
  <c r="K409" i="5"/>
  <c r="Y409" i="5" s="1"/>
  <c r="J108" i="5"/>
  <c r="K108" i="5"/>
  <c r="Y108" i="5" s="1"/>
  <c r="J249" i="5"/>
  <c r="X249" i="5" s="1"/>
  <c r="K249" i="5"/>
  <c r="Y249" i="5" s="1"/>
  <c r="J439" i="5"/>
  <c r="K439" i="5"/>
  <c r="Y439" i="5" s="1"/>
  <c r="J117" i="5"/>
  <c r="K117" i="5"/>
  <c r="Y117" i="5" s="1"/>
  <c r="J914" i="5"/>
  <c r="K914" i="5"/>
  <c r="J465" i="5"/>
  <c r="X465" i="5" s="1"/>
  <c r="K465" i="5"/>
  <c r="Y465" i="5" s="1"/>
  <c r="J527" i="5"/>
  <c r="K527" i="5"/>
  <c r="J808" i="5"/>
  <c r="X808" i="5" s="1"/>
  <c r="K808" i="5"/>
  <c r="Y808" i="5" s="1"/>
  <c r="J513" i="5"/>
  <c r="K513" i="5"/>
  <c r="Y513" i="5" s="1"/>
  <c r="J560" i="5"/>
  <c r="K560" i="5"/>
  <c r="Y560" i="5" s="1"/>
  <c r="J59" i="5"/>
  <c r="K59" i="5"/>
  <c r="J774" i="5"/>
  <c r="K774" i="5"/>
  <c r="J457" i="5"/>
  <c r="K457" i="5"/>
  <c r="Y457" i="5" s="1"/>
  <c r="J170" i="5"/>
  <c r="K170" i="5"/>
  <c r="Y170" i="5" s="1"/>
  <c r="J833" i="5"/>
  <c r="K833" i="5"/>
  <c r="Y833" i="5" s="1"/>
  <c r="J352" i="5"/>
  <c r="K352" i="5"/>
  <c r="Y352" i="5" s="1"/>
  <c r="J60" i="5"/>
  <c r="X60" i="5" s="1"/>
  <c r="K60" i="5"/>
  <c r="J553" i="5"/>
  <c r="X553" i="5" s="1"/>
  <c r="K553" i="5"/>
  <c r="J413" i="5"/>
  <c r="X413" i="5" s="1"/>
  <c r="K413" i="5"/>
  <c r="Y413" i="5" s="1"/>
  <c r="J567" i="5"/>
  <c r="X567" i="5" s="1"/>
  <c r="K567" i="5"/>
  <c r="Y567" i="5" s="1"/>
  <c r="J997" i="5"/>
  <c r="X997" i="5" s="1"/>
  <c r="K997" i="5"/>
  <c r="Y997" i="5" s="1"/>
  <c r="J50" i="5"/>
  <c r="X50" i="5" s="1"/>
  <c r="K50" i="5"/>
  <c r="J315" i="5"/>
  <c r="K315" i="5"/>
  <c r="Y315" i="5" s="1"/>
  <c r="J639" i="5"/>
  <c r="K639" i="5"/>
  <c r="J739" i="5"/>
  <c r="K739" i="5"/>
  <c r="J385" i="5"/>
  <c r="K385" i="5"/>
  <c r="J993" i="5"/>
  <c r="X993" i="5" s="1"/>
  <c r="K993" i="5"/>
  <c r="Y993" i="5" s="1"/>
  <c r="J313" i="5"/>
  <c r="K313" i="5"/>
  <c r="J122" i="5"/>
  <c r="K122" i="5"/>
  <c r="Y122" i="5" s="1"/>
  <c r="J114" i="5"/>
  <c r="K114" i="5"/>
  <c r="Y114" i="5" s="1"/>
  <c r="J305" i="5"/>
  <c r="X305" i="5" s="1"/>
  <c r="K305" i="5"/>
  <c r="Y305" i="5" s="1"/>
  <c r="K456" i="5"/>
  <c r="J456" i="5"/>
  <c r="K211" i="5"/>
  <c r="J211" i="5"/>
  <c r="K437" i="5"/>
  <c r="Y437" i="5" s="1"/>
  <c r="J437" i="5"/>
  <c r="X437" i="5" s="1"/>
  <c r="J919" i="5"/>
  <c r="X919" i="5" s="1"/>
  <c r="K919" i="5"/>
  <c r="Y919" i="5" s="1"/>
  <c r="J137" i="5"/>
  <c r="K137" i="5"/>
  <c r="Y137" i="5" s="1"/>
  <c r="J653" i="5"/>
  <c r="K653" i="5"/>
  <c r="Y653" i="5" s="1"/>
  <c r="J725" i="5"/>
  <c r="X725" i="5" s="1"/>
  <c r="K725" i="5"/>
  <c r="J865" i="5"/>
  <c r="K865" i="5"/>
  <c r="Y865" i="5" s="1"/>
  <c r="J365" i="5"/>
  <c r="K365" i="5"/>
  <c r="J134" i="5"/>
  <c r="K134" i="5"/>
  <c r="J898" i="5"/>
  <c r="X898" i="5" s="1"/>
  <c r="K898" i="5"/>
  <c r="Y898" i="5" s="1"/>
  <c r="J720" i="5"/>
  <c r="K720" i="5"/>
  <c r="K779" i="5"/>
  <c r="J779" i="5"/>
  <c r="X779" i="5" s="1"/>
  <c r="K942" i="5"/>
  <c r="Y942" i="5" s="1"/>
  <c r="J942" i="5"/>
  <c r="X942" i="5" s="1"/>
  <c r="J923" i="5"/>
  <c r="K923" i="5"/>
  <c r="J436" i="5"/>
  <c r="K436" i="5"/>
  <c r="J89" i="5"/>
  <c r="X89" i="5" s="1"/>
  <c r="K89" i="5"/>
  <c r="Y89" i="5" s="1"/>
  <c r="K66" i="5"/>
  <c r="Y66" i="5" s="1"/>
  <c r="J66" i="5"/>
  <c r="K30" i="5"/>
  <c r="R30" i="5" s="1"/>
  <c r="J30" i="5"/>
  <c r="X30" i="5" s="1"/>
  <c r="L892" i="5"/>
  <c r="Z892" i="5" s="1"/>
  <c r="L265" i="5"/>
  <c r="Z265" i="5" s="1"/>
  <c r="L337" i="5"/>
  <c r="Z337" i="5" s="1"/>
  <c r="L130" i="5"/>
  <c r="Z130" i="5" s="1"/>
  <c r="L804" i="5"/>
  <c r="Z804" i="5" s="1"/>
  <c r="L827" i="5"/>
  <c r="Z827" i="5" s="1"/>
  <c r="L478" i="5"/>
  <c r="Z478" i="5" s="1"/>
  <c r="L322" i="5"/>
  <c r="Z322" i="5" s="1"/>
  <c r="J162" i="5"/>
  <c r="X162" i="5" s="1"/>
  <c r="J452" i="5"/>
  <c r="J769" i="5"/>
  <c r="X769" i="5" s="1"/>
  <c r="J692" i="5"/>
  <c r="X692" i="5" s="1"/>
  <c r="J511" i="5"/>
  <c r="J737" i="5"/>
  <c r="P737" i="5" s="1"/>
  <c r="C24" i="6"/>
  <c r="C29" i="6" s="1"/>
  <c r="O417" i="5"/>
  <c r="P417" i="5"/>
  <c r="R417" i="5"/>
  <c r="S417" i="5"/>
  <c r="B24" i="6"/>
  <c r="M417" i="5"/>
  <c r="N417" i="5" s="1"/>
  <c r="O69" i="5"/>
  <c r="S69" i="5"/>
  <c r="M69" i="5"/>
  <c r="N69" i="5" s="1"/>
  <c r="P69" i="5"/>
  <c r="O533" i="5"/>
  <c r="S533" i="5"/>
  <c r="M533" i="5"/>
  <c r="N533" i="5" s="1"/>
  <c r="P533" i="5"/>
  <c r="O608" i="5"/>
  <c r="P608" i="5"/>
  <c r="M608" i="5"/>
  <c r="N608" i="5" s="1"/>
  <c r="O303" i="5"/>
  <c r="M303" i="5"/>
  <c r="N303" i="5" s="1"/>
  <c r="O401" i="5"/>
  <c r="Q401" i="5"/>
  <c r="P401" i="5"/>
  <c r="M401" i="5"/>
  <c r="N401" i="5" s="1"/>
  <c r="O687" i="5"/>
  <c r="S687" i="5"/>
  <c r="P687" i="5"/>
  <c r="M687" i="5"/>
  <c r="N687" i="5" s="1"/>
  <c r="O19" i="5"/>
  <c r="P19" i="5"/>
  <c r="M19" i="5"/>
  <c r="N19" i="5" s="1"/>
  <c r="O187" i="5"/>
  <c r="S187" i="5"/>
  <c r="P187" i="5"/>
  <c r="M187" i="5"/>
  <c r="N187" i="5" s="1"/>
  <c r="O974" i="5"/>
  <c r="P974" i="5"/>
  <c r="M974" i="5"/>
  <c r="N974" i="5" s="1"/>
  <c r="O581" i="5"/>
  <c r="M581" i="5"/>
  <c r="N581" i="5" s="1"/>
  <c r="O647" i="5"/>
  <c r="S647" i="5"/>
  <c r="M647" i="5"/>
  <c r="N647" i="5" s="1"/>
  <c r="O356" i="5"/>
  <c r="S356" i="5"/>
  <c r="M356" i="5"/>
  <c r="N356" i="5" s="1"/>
  <c r="O816" i="5"/>
  <c r="Q816" i="5"/>
  <c r="P816" i="5"/>
  <c r="M816" i="5"/>
  <c r="N816" i="5" s="1"/>
  <c r="O557" i="5"/>
  <c r="S557" i="5"/>
  <c r="P557" i="5"/>
  <c r="M557" i="5"/>
  <c r="N557" i="5" s="1"/>
  <c r="O143" i="5"/>
  <c r="M143" i="5"/>
  <c r="N143" i="5" s="1"/>
  <c r="O587" i="5"/>
  <c r="M587" i="5"/>
  <c r="N587" i="5" s="1"/>
  <c r="O410" i="5"/>
  <c r="M410" i="5"/>
  <c r="N410" i="5" s="1"/>
  <c r="O529" i="5"/>
  <c r="S529" i="5"/>
  <c r="M529" i="5"/>
  <c r="N529" i="5" s="1"/>
  <c r="O91" i="5"/>
  <c r="S91" i="5"/>
  <c r="M91" i="5"/>
  <c r="N91" i="5" s="1"/>
  <c r="O646" i="5"/>
  <c r="S646" i="5"/>
  <c r="M646" i="5"/>
  <c r="N646" i="5" s="1"/>
  <c r="O558" i="5"/>
  <c r="S558" i="5"/>
  <c r="M558" i="5"/>
  <c r="N558" i="5" s="1"/>
  <c r="O145" i="5"/>
  <c r="S145" i="5"/>
  <c r="M145" i="5"/>
  <c r="N145" i="5" s="1"/>
  <c r="O128" i="5"/>
  <c r="S128" i="5"/>
  <c r="P128" i="5"/>
  <c r="M128" i="5"/>
  <c r="N128" i="5" s="1"/>
  <c r="O851" i="5"/>
  <c r="S851" i="5"/>
  <c r="M851" i="5"/>
  <c r="N851" i="5" s="1"/>
  <c r="O565" i="5"/>
  <c r="S565" i="5"/>
  <c r="M565" i="5"/>
  <c r="N565" i="5" s="1"/>
  <c r="O668" i="5"/>
  <c r="S668" i="5"/>
  <c r="P668" i="5"/>
  <c r="M668" i="5"/>
  <c r="N668" i="5" s="1"/>
  <c r="O659" i="5"/>
  <c r="S659" i="5"/>
  <c r="M659" i="5"/>
  <c r="N659" i="5" s="1"/>
  <c r="O448" i="5"/>
  <c r="S448" i="5"/>
  <c r="P448" i="5"/>
  <c r="M448" i="5"/>
  <c r="N448" i="5" s="1"/>
  <c r="O522" i="5"/>
  <c r="S522" i="5"/>
  <c r="M522" i="5"/>
  <c r="N522" i="5" s="1"/>
  <c r="O54" i="5"/>
  <c r="S54" i="5"/>
  <c r="P54" i="5"/>
  <c r="M54" i="5"/>
  <c r="N54" i="5" s="1"/>
  <c r="O319" i="5"/>
  <c r="S319" i="5"/>
  <c r="M319" i="5"/>
  <c r="N319" i="5" s="1"/>
  <c r="O988" i="5"/>
  <c r="M988" i="5"/>
  <c r="N988" i="5" s="1"/>
  <c r="O954" i="5"/>
  <c r="S954" i="5"/>
  <c r="M954" i="5"/>
  <c r="N954" i="5" s="1"/>
  <c r="O935" i="5"/>
  <c r="P935" i="5"/>
  <c r="M935" i="5"/>
  <c r="N935" i="5" s="1"/>
  <c r="O894" i="5"/>
  <c r="S894" i="5"/>
  <c r="M894" i="5"/>
  <c r="N894" i="5" s="1"/>
  <c r="O48" i="5"/>
  <c r="S48" i="5"/>
  <c r="M48" i="5"/>
  <c r="N48" i="5" s="1"/>
  <c r="O371" i="5"/>
  <c r="S371" i="5"/>
  <c r="P371" i="5"/>
  <c r="M371" i="5"/>
  <c r="N371" i="5" s="1"/>
  <c r="O920" i="5"/>
  <c r="P920" i="5"/>
  <c r="M920" i="5"/>
  <c r="N920" i="5" s="1"/>
  <c r="O454" i="5"/>
  <c r="S454" i="5"/>
  <c r="P454" i="5"/>
  <c r="M454" i="5"/>
  <c r="N454" i="5" s="1"/>
  <c r="O27" i="5"/>
  <c r="S27" i="5"/>
  <c r="M27" i="5"/>
  <c r="N27" i="5" s="1"/>
  <c r="O282" i="5"/>
  <c r="S282" i="5"/>
  <c r="M282" i="5"/>
  <c r="N282" i="5" s="1"/>
  <c r="O366" i="5"/>
  <c r="M366" i="5"/>
  <c r="N366" i="5" s="1"/>
  <c r="O672" i="5"/>
  <c r="S672" i="5"/>
  <c r="M672" i="5"/>
  <c r="N672" i="5" s="1"/>
  <c r="O40" i="5"/>
  <c r="M40" i="5"/>
  <c r="N40" i="5" s="1"/>
  <c r="O304" i="5"/>
  <c r="S304" i="5"/>
  <c r="M304" i="5"/>
  <c r="N304" i="5" s="1"/>
  <c r="O629" i="5"/>
  <c r="S629" i="5"/>
  <c r="M629" i="5"/>
  <c r="N629" i="5" s="1"/>
  <c r="O855" i="5"/>
  <c r="S855" i="5"/>
  <c r="M855" i="5"/>
  <c r="N855" i="5" s="1"/>
  <c r="O52" i="5"/>
  <c r="M52" i="5"/>
  <c r="N52" i="5" s="1"/>
  <c r="O9" i="5"/>
  <c r="S9" i="5"/>
  <c r="M9" i="5"/>
  <c r="N9" i="5" s="1"/>
  <c r="O241" i="5"/>
  <c r="S241" i="5"/>
  <c r="M241" i="5"/>
  <c r="N241" i="5" s="1"/>
  <c r="O214" i="5"/>
  <c r="S214" i="5"/>
  <c r="M214" i="5"/>
  <c r="N214" i="5" s="1"/>
  <c r="O269" i="5"/>
  <c r="M269" i="5"/>
  <c r="N269" i="5" s="1"/>
  <c r="O428" i="5"/>
  <c r="S428" i="5"/>
  <c r="M428" i="5"/>
  <c r="N428" i="5" s="1"/>
  <c r="O323" i="5"/>
  <c r="S323" i="5"/>
  <c r="M323" i="5"/>
  <c r="N323" i="5" s="1"/>
  <c r="O547" i="5"/>
  <c r="S547" i="5"/>
  <c r="M547" i="5"/>
  <c r="N547" i="5" s="1"/>
  <c r="O405" i="5"/>
  <c r="S405" i="5"/>
  <c r="M405" i="5"/>
  <c r="N405" i="5" s="1"/>
  <c r="O975" i="5"/>
  <c r="M975" i="5"/>
  <c r="N975" i="5" s="1"/>
  <c r="O307" i="5"/>
  <c r="S307" i="5"/>
  <c r="M307" i="5"/>
  <c r="N307" i="5" s="1"/>
  <c r="O955" i="5"/>
  <c r="P955" i="5"/>
  <c r="M955" i="5"/>
  <c r="N955" i="5" s="1"/>
  <c r="O872" i="5"/>
  <c r="M872" i="5"/>
  <c r="N872" i="5" s="1"/>
  <c r="O77" i="5"/>
  <c r="S77" i="5"/>
  <c r="P77" i="5"/>
  <c r="M77" i="5"/>
  <c r="N77" i="5" s="1"/>
  <c r="O722" i="5"/>
  <c r="S722" i="5"/>
  <c r="M722" i="5"/>
  <c r="N722" i="5" s="1"/>
  <c r="O399" i="5"/>
  <c r="S399" i="5"/>
  <c r="M399" i="5"/>
  <c r="N399" i="5" s="1"/>
  <c r="O927" i="5"/>
  <c r="S927" i="5"/>
  <c r="M927" i="5"/>
  <c r="N927" i="5" s="1"/>
  <c r="O324" i="5"/>
  <c r="M324" i="5"/>
  <c r="N324" i="5" s="1"/>
  <c r="O185" i="5"/>
  <c r="S185" i="5"/>
  <c r="M185" i="5"/>
  <c r="N185" i="5" s="1"/>
  <c r="O355" i="5"/>
  <c r="S355" i="5"/>
  <c r="M355" i="5"/>
  <c r="N355" i="5" s="1"/>
  <c r="O950" i="5"/>
  <c r="S950" i="5"/>
  <c r="M950" i="5"/>
  <c r="N950" i="5" s="1"/>
  <c r="O421" i="5"/>
  <c r="M421" i="5"/>
  <c r="N421" i="5" s="1"/>
  <c r="O345" i="5"/>
  <c r="M345" i="5"/>
  <c r="N345" i="5" s="1"/>
  <c r="O359" i="5"/>
  <c r="P359" i="5"/>
  <c r="M359" i="5"/>
  <c r="N359" i="5" s="1"/>
  <c r="O418" i="5"/>
  <c r="M418" i="5"/>
  <c r="N418" i="5" s="1"/>
  <c r="O327" i="5"/>
  <c r="S327" i="5"/>
  <c r="P327" i="5"/>
  <c r="M327" i="5"/>
  <c r="N327" i="5" s="1"/>
  <c r="O426" i="5"/>
  <c r="S426" i="5"/>
  <c r="P426" i="5"/>
  <c r="M426" i="5"/>
  <c r="N426" i="5" s="1"/>
  <c r="O832" i="5"/>
  <c r="S832" i="5"/>
  <c r="M832" i="5"/>
  <c r="N832" i="5" s="1"/>
  <c r="O98" i="5"/>
  <c r="S98" i="5"/>
  <c r="M98" i="5"/>
  <c r="N98" i="5" s="1"/>
  <c r="O924" i="5"/>
  <c r="M924" i="5"/>
  <c r="N924" i="5" s="1"/>
  <c r="O958" i="5"/>
  <c r="S958" i="5"/>
  <c r="M958" i="5"/>
  <c r="N958" i="5" s="1"/>
  <c r="O686" i="5"/>
  <c r="S686" i="5"/>
  <c r="M686" i="5"/>
  <c r="N686" i="5" s="1"/>
  <c r="O96" i="5"/>
  <c r="S96" i="5"/>
  <c r="P96" i="5"/>
  <c r="M96" i="5"/>
  <c r="N96" i="5" s="1"/>
  <c r="O913" i="5"/>
  <c r="M913" i="5"/>
  <c r="N913" i="5" s="1"/>
  <c r="O657" i="5"/>
  <c r="M657" i="5"/>
  <c r="N657" i="5" s="1"/>
  <c r="O369" i="5"/>
  <c r="M369" i="5"/>
  <c r="N369" i="5" s="1"/>
  <c r="K416" i="5"/>
  <c r="Y416" i="5" s="1"/>
  <c r="K991" i="5"/>
  <c r="Y991" i="5" s="1"/>
  <c r="K710" i="5"/>
  <c r="Y710" i="5" s="1"/>
  <c r="K874" i="5"/>
  <c r="Y874" i="5" s="1"/>
  <c r="J817" i="5"/>
  <c r="K817" i="5"/>
  <c r="Y817" i="5" s="1"/>
  <c r="J129" i="5"/>
  <c r="X129" i="5" s="1"/>
  <c r="K129" i="5"/>
  <c r="Y129" i="5" s="1"/>
  <c r="J107" i="5"/>
  <c r="X107" i="5" s="1"/>
  <c r="K107" i="5"/>
  <c r="Y107" i="5" s="1"/>
  <c r="J559" i="5"/>
  <c r="X559" i="5" s="1"/>
  <c r="K559" i="5"/>
  <c r="Y559" i="5" s="1"/>
  <c r="J577" i="5"/>
  <c r="K577" i="5"/>
  <c r="Y577" i="5" s="1"/>
  <c r="J109" i="5"/>
  <c r="X109" i="5" s="1"/>
  <c r="K109" i="5"/>
  <c r="Y109" i="5" s="1"/>
  <c r="J169" i="5"/>
  <c r="K169" i="5"/>
  <c r="Y169" i="5" s="1"/>
  <c r="J375" i="5"/>
  <c r="K375" i="5"/>
  <c r="Y375" i="5" s="1"/>
  <c r="J693" i="5"/>
  <c r="K693" i="5"/>
  <c r="Y693" i="5" s="1"/>
  <c r="J999" i="5"/>
  <c r="X999" i="5" s="1"/>
  <c r="K999" i="5"/>
  <c r="Y999" i="5" s="1"/>
  <c r="J450" i="5"/>
  <c r="K450" i="5"/>
  <c r="Y450" i="5" s="1"/>
  <c r="J983" i="5"/>
  <c r="K983" i="5"/>
  <c r="Y983" i="5" s="1"/>
  <c r="J168" i="5"/>
  <c r="K168" i="5"/>
  <c r="Y168" i="5" s="1"/>
  <c r="J336" i="5"/>
  <c r="K336" i="5"/>
  <c r="Y336" i="5" s="1"/>
  <c r="J810" i="5"/>
  <c r="K810" i="5"/>
  <c r="J414" i="5"/>
  <c r="K414" i="5"/>
  <c r="Y414" i="5" s="1"/>
  <c r="J688" i="5"/>
  <c r="X688" i="5" s="1"/>
  <c r="K688" i="5"/>
  <c r="Y688" i="5" s="1"/>
  <c r="J279" i="5"/>
  <c r="K279" i="5"/>
  <c r="Y279" i="5" s="1"/>
  <c r="J404" i="5"/>
  <c r="X404" i="5" s="1"/>
  <c r="K404" i="5"/>
  <c r="Y404" i="5" s="1"/>
  <c r="J617" i="5"/>
  <c r="K617" i="5"/>
  <c r="Y617" i="5" s="1"/>
  <c r="J118" i="5"/>
  <c r="K118" i="5"/>
  <c r="J623" i="5"/>
  <c r="X623" i="5" s="1"/>
  <c r="K623" i="5"/>
  <c r="Y623" i="5" s="1"/>
  <c r="J173" i="5"/>
  <c r="K173" i="5"/>
  <c r="Y173" i="5" s="1"/>
  <c r="J431" i="5"/>
  <c r="K431" i="5"/>
  <c r="Y431" i="5" s="1"/>
  <c r="J824" i="5"/>
  <c r="K824" i="5"/>
  <c r="Y824" i="5" s="1"/>
  <c r="J645" i="5"/>
  <c r="K645" i="5"/>
  <c r="Y645" i="5" s="1"/>
  <c r="J896" i="5"/>
  <c r="K896" i="5"/>
  <c r="Y896" i="5" s="1"/>
  <c r="J156" i="5"/>
  <c r="K156" i="5"/>
  <c r="Y156" i="5" s="1"/>
  <c r="J938" i="5"/>
  <c r="X938" i="5" s="1"/>
  <c r="K938" i="5"/>
  <c r="Y938" i="5" s="1"/>
  <c r="J258" i="5"/>
  <c r="K258" i="5"/>
  <c r="Y258" i="5" s="1"/>
  <c r="J358" i="5"/>
  <c r="K358" i="5"/>
  <c r="Y358" i="5" s="1"/>
  <c r="J599" i="5"/>
  <c r="X599" i="5" s="1"/>
  <c r="K599" i="5"/>
  <c r="Y599" i="5" s="1"/>
  <c r="J545" i="5"/>
  <c r="K545" i="5"/>
  <c r="Y545" i="5" s="1"/>
  <c r="J111" i="5"/>
  <c r="K111" i="5"/>
  <c r="Y111" i="5" s="1"/>
  <c r="J488" i="5"/>
  <c r="X488" i="5" s="1"/>
  <c r="K488" i="5"/>
  <c r="Y488" i="5" s="1"/>
  <c r="J575" i="5"/>
  <c r="K575" i="5"/>
  <c r="Y575" i="5" s="1"/>
  <c r="J395" i="5"/>
  <c r="K395" i="5"/>
  <c r="Y395" i="5" s="1"/>
  <c r="J482" i="5"/>
  <c r="K482" i="5"/>
  <c r="Y482" i="5" s="1"/>
  <c r="J53" i="5"/>
  <c r="X53" i="5" s="1"/>
  <c r="K53" i="5"/>
  <c r="Y53" i="5" s="1"/>
  <c r="J499" i="5"/>
  <c r="K499" i="5"/>
  <c r="Y499" i="5" s="1"/>
  <c r="J62" i="5"/>
  <c r="K62" i="5"/>
  <c r="Y62" i="5" s="1"/>
  <c r="J822" i="5"/>
  <c r="X822" i="5" s="1"/>
  <c r="K822" i="5"/>
  <c r="Y822" i="5" s="1"/>
  <c r="J905" i="5"/>
  <c r="K905" i="5"/>
  <c r="Y905" i="5" s="1"/>
  <c r="J939" i="5"/>
  <c r="K939" i="5"/>
  <c r="Y939" i="5" s="1"/>
  <c r="J16" i="5"/>
  <c r="X16" i="5" s="1"/>
  <c r="K16" i="5"/>
  <c r="Y16" i="5" s="1"/>
  <c r="J424" i="5"/>
  <c r="X424" i="5" s="1"/>
  <c r="K424" i="5"/>
  <c r="Y424" i="5" s="1"/>
  <c r="J957" i="5"/>
  <c r="K957" i="5"/>
  <c r="Y957" i="5" s="1"/>
  <c r="J534" i="5"/>
  <c r="X534" i="5" s="1"/>
  <c r="K534" i="5"/>
  <c r="Y534" i="5" s="1"/>
  <c r="J895" i="5"/>
  <c r="X895" i="5" s="1"/>
  <c r="K895" i="5"/>
  <c r="Y895" i="5" s="1"/>
  <c r="J475" i="5"/>
  <c r="K475" i="5"/>
  <c r="Y475" i="5" s="1"/>
  <c r="J420" i="5"/>
  <c r="K420" i="5"/>
  <c r="Y420" i="5" s="1"/>
  <c r="J334" i="5"/>
  <c r="X334" i="5" s="1"/>
  <c r="K334" i="5"/>
  <c r="Y334" i="5" s="1"/>
  <c r="J339" i="5"/>
  <c r="X339" i="5" s="1"/>
  <c r="K339" i="5"/>
  <c r="Y339" i="5" s="1"/>
  <c r="J383" i="5"/>
  <c r="W383" i="5" s="1"/>
  <c r="K383" i="5"/>
  <c r="Y383" i="5" s="1"/>
  <c r="J748" i="5"/>
  <c r="K748" i="5"/>
  <c r="Y748" i="5" s="1"/>
  <c r="J952" i="5"/>
  <c r="W952" i="5" s="1"/>
  <c r="K952" i="5"/>
  <c r="Y952" i="5" s="1"/>
  <c r="J208" i="5"/>
  <c r="X208" i="5" s="1"/>
  <c r="K208" i="5"/>
  <c r="Y208" i="5" s="1"/>
  <c r="J346" i="5"/>
  <c r="X346" i="5" s="1"/>
  <c r="K346" i="5"/>
  <c r="Y346" i="5" s="1"/>
  <c r="J125" i="5"/>
  <c r="X125" i="5" s="1"/>
  <c r="K125" i="5"/>
  <c r="Y125" i="5" s="1"/>
  <c r="J166" i="5"/>
  <c r="K166" i="5"/>
  <c r="Y166" i="5" s="1"/>
  <c r="J271" i="5"/>
  <c r="K271" i="5"/>
  <c r="Y271" i="5" s="1"/>
  <c r="K727" i="5"/>
  <c r="Y727" i="5" s="1"/>
  <c r="J727" i="5"/>
  <c r="X727" i="5" s="1"/>
  <c r="K661" i="5"/>
  <c r="Y661" i="5" s="1"/>
  <c r="J661" i="5"/>
  <c r="W661" i="5" s="1"/>
  <c r="J620" i="5"/>
  <c r="X620" i="5" s="1"/>
  <c r="K620" i="5"/>
  <c r="Y620" i="5" s="1"/>
  <c r="J498" i="5"/>
  <c r="X498" i="5" s="1"/>
  <c r="K498" i="5"/>
  <c r="Y498" i="5" s="1"/>
  <c r="J738" i="5"/>
  <c r="K738" i="5"/>
  <c r="Y738" i="5" s="1"/>
  <c r="J709" i="5"/>
  <c r="K709" i="5"/>
  <c r="Y709" i="5" s="1"/>
  <c r="J579" i="5"/>
  <c r="W579" i="5" s="1"/>
  <c r="K579" i="5"/>
  <c r="Y579" i="5" s="1"/>
  <c r="J213" i="5"/>
  <c r="X213" i="5" s="1"/>
  <c r="K213" i="5"/>
  <c r="Y213" i="5" s="1"/>
  <c r="J295" i="5"/>
  <c r="X295" i="5" s="1"/>
  <c r="K295" i="5"/>
  <c r="Y295" i="5" s="1"/>
  <c r="J762" i="5"/>
  <c r="X762" i="5" s="1"/>
  <c r="K762" i="5"/>
  <c r="Y762" i="5" s="1"/>
  <c r="J163" i="5"/>
  <c r="X163" i="5" s="1"/>
  <c r="K163" i="5"/>
  <c r="Y163" i="5" s="1"/>
  <c r="J842" i="5"/>
  <c r="X842" i="5" s="1"/>
  <c r="K842" i="5"/>
  <c r="Y842" i="5" s="1"/>
  <c r="K78" i="5"/>
  <c r="Y78" i="5" s="1"/>
  <c r="J78" i="5"/>
  <c r="W78" i="5" s="1"/>
  <c r="J223" i="5"/>
  <c r="K223" i="5"/>
  <c r="Y223" i="5" s="1"/>
  <c r="J480" i="5"/>
  <c r="K480" i="5"/>
  <c r="Y480" i="5" s="1"/>
  <c r="K605" i="5"/>
  <c r="Y605" i="5" s="1"/>
  <c r="J605" i="5"/>
  <c r="X605" i="5" s="1"/>
  <c r="K715" i="5"/>
  <c r="Y715" i="5" s="1"/>
  <c r="J715" i="5"/>
  <c r="X715" i="5" s="1"/>
  <c r="K1001" i="5"/>
  <c r="Y1001" i="5" s="1"/>
  <c r="J1001" i="5"/>
  <c r="X1001" i="5" s="1"/>
  <c r="L162" i="5"/>
  <c r="Z162" i="5" s="1"/>
  <c r="L682" i="5"/>
  <c r="Z682" i="5" s="1"/>
  <c r="L151" i="5"/>
  <c r="Z151" i="5" s="1"/>
  <c r="L473" i="5"/>
  <c r="Z473" i="5" s="1"/>
  <c r="L583" i="5"/>
  <c r="Z583" i="5" s="1"/>
  <c r="L152" i="5"/>
  <c r="Z152" i="5" s="1"/>
  <c r="L290" i="5"/>
  <c r="Z290" i="5" s="1"/>
  <c r="L240" i="5"/>
  <c r="Z240" i="5" s="1"/>
  <c r="L329" i="5"/>
  <c r="Z329" i="5" s="1"/>
  <c r="L278" i="5"/>
  <c r="Z278" i="5" s="1"/>
  <c r="L64" i="5"/>
  <c r="Z64" i="5" s="1"/>
  <c r="L848" i="5"/>
  <c r="Z848" i="5" s="1"/>
  <c r="L615" i="5"/>
  <c r="Z615" i="5" s="1"/>
  <c r="L427" i="5"/>
  <c r="Z427" i="5" s="1"/>
  <c r="L968" i="5"/>
  <c r="Z968" i="5" s="1"/>
  <c r="L934" i="5"/>
  <c r="Z934" i="5" s="1"/>
  <c r="L976" i="5"/>
  <c r="Z976" i="5" s="1"/>
  <c r="L311" i="5"/>
  <c r="Z311" i="5" s="1"/>
  <c r="L781" i="5"/>
  <c r="Z781" i="5" s="1"/>
  <c r="L973" i="5"/>
  <c r="Z973" i="5" s="1"/>
  <c r="L744" i="5"/>
  <c r="Z744" i="5" s="1"/>
  <c r="L353" i="5"/>
  <c r="Z353" i="5" s="1"/>
  <c r="L206" i="5"/>
  <c r="Z206" i="5" s="1"/>
  <c r="L250" i="5"/>
  <c r="Z250" i="5" s="1"/>
  <c r="L793" i="5"/>
  <c r="Z793" i="5" s="1"/>
  <c r="L260" i="5"/>
  <c r="Z260" i="5" s="1"/>
  <c r="L408" i="5"/>
  <c r="Z408" i="5" s="1"/>
  <c r="L586" i="5"/>
  <c r="Z586" i="5" s="1"/>
  <c r="L750" i="5"/>
  <c r="Z750" i="5" s="1"/>
  <c r="L841" i="5"/>
  <c r="Z841" i="5" s="1"/>
  <c r="L809" i="5"/>
  <c r="Z809" i="5" s="1"/>
  <c r="L443" i="5"/>
  <c r="Z443" i="5" s="1"/>
  <c r="L13" i="5"/>
  <c r="Z13" i="5" s="1"/>
  <c r="L61" i="5"/>
  <c r="Z61" i="5" s="1"/>
  <c r="L524" i="5"/>
  <c r="Z524" i="5" s="1"/>
  <c r="L289" i="5"/>
  <c r="Z289" i="5" s="1"/>
  <c r="L372" i="5"/>
  <c r="Z372" i="5" s="1"/>
  <c r="L893" i="5"/>
  <c r="Z893" i="5" s="1"/>
  <c r="L648" i="5"/>
  <c r="Z648" i="5" s="1"/>
  <c r="L262" i="5"/>
  <c r="Z262" i="5" s="1"/>
  <c r="L147" i="5"/>
  <c r="Z147" i="5" s="1"/>
  <c r="L379" i="5"/>
  <c r="Z379" i="5" s="1"/>
  <c r="L888" i="5"/>
  <c r="Z888" i="5" s="1"/>
  <c r="L227" i="5"/>
  <c r="Z227" i="5" s="1"/>
  <c r="L47" i="5"/>
  <c r="Z47" i="5" s="1"/>
  <c r="L202" i="5"/>
  <c r="Z202" i="5" s="1"/>
  <c r="L466" i="5"/>
  <c r="Z466" i="5" s="1"/>
  <c r="L23" i="5"/>
  <c r="Z23" i="5" s="1"/>
  <c r="L708" i="5"/>
  <c r="Z708" i="5" s="1"/>
  <c r="L192" i="5"/>
  <c r="Z192" i="5" s="1"/>
  <c r="L544" i="5"/>
  <c r="Z544" i="5" s="1"/>
  <c r="L787" i="5"/>
  <c r="Z787" i="5" s="1"/>
  <c r="L780" i="5"/>
  <c r="Z780" i="5" s="1"/>
  <c r="L932" i="5"/>
  <c r="Z932" i="5" s="1"/>
  <c r="L283" i="5"/>
  <c r="Z283" i="5" s="1"/>
  <c r="L201" i="5"/>
  <c r="Z201" i="5" s="1"/>
  <c r="L380" i="5"/>
  <c r="Z380" i="5" s="1"/>
  <c r="L965" i="5"/>
  <c r="Z965" i="5" s="1"/>
  <c r="L474" i="5"/>
  <c r="Z474" i="5" s="1"/>
  <c r="L406" i="5"/>
  <c r="Z406" i="5" s="1"/>
  <c r="L333" i="5"/>
  <c r="Z333" i="5" s="1"/>
  <c r="L155" i="5"/>
  <c r="Z155" i="5" s="1"/>
  <c r="L234" i="5"/>
  <c r="Z234" i="5" s="1"/>
  <c r="L677" i="5"/>
  <c r="Z677" i="5" s="1"/>
  <c r="L31" i="5"/>
  <c r="Z31" i="5" s="1"/>
  <c r="L82" i="5"/>
  <c r="Z82" i="5" s="1"/>
  <c r="L63" i="5"/>
  <c r="Z63" i="5" s="1"/>
  <c r="L548" i="5"/>
  <c r="Z548" i="5" s="1"/>
  <c r="L140" i="5"/>
  <c r="Z140" i="5" s="1"/>
  <c r="L743" i="5"/>
  <c r="Z743" i="5" s="1"/>
  <c r="L6" i="5"/>
  <c r="Z6" i="5" s="1"/>
  <c r="L870" i="5"/>
  <c r="Z870" i="5" s="1"/>
  <c r="L901" i="5"/>
  <c r="Z901" i="5" s="1"/>
  <c r="L569" i="5"/>
  <c r="Z569" i="5" s="1"/>
  <c r="L900" i="5"/>
  <c r="Z900" i="5" s="1"/>
  <c r="L763" i="5"/>
  <c r="L796" i="5"/>
  <c r="Z796" i="5" s="1"/>
  <c r="L525" i="5"/>
  <c r="Z525" i="5" s="1"/>
  <c r="L447" i="5"/>
  <c r="Z447" i="5" s="1"/>
  <c r="L306" i="5"/>
  <c r="L878" i="5"/>
  <c r="Z878" i="5" s="1"/>
  <c r="L716" i="5"/>
  <c r="Z716" i="5" s="1"/>
  <c r="L556" i="5"/>
  <c r="Z556" i="5" s="1"/>
  <c r="J136" i="5"/>
  <c r="X136" i="5" s="1"/>
  <c r="J270" i="5"/>
  <c r="J710" i="5"/>
  <c r="J862" i="5"/>
  <c r="O667" i="5"/>
  <c r="S667" i="5"/>
  <c r="M667" i="5"/>
  <c r="N667" i="5" s="1"/>
  <c r="O218" i="5"/>
  <c r="Q218" i="5"/>
  <c r="P218" i="5"/>
  <c r="M218" i="5"/>
  <c r="N218" i="5" s="1"/>
  <c r="O470" i="5"/>
  <c r="S470" i="5"/>
  <c r="P470" i="5"/>
  <c r="M470" i="5"/>
  <c r="N470" i="5" s="1"/>
  <c r="O892" i="5"/>
  <c r="S892" i="5"/>
  <c r="Q892" i="5"/>
  <c r="P892" i="5"/>
  <c r="M892" i="5"/>
  <c r="N892" i="5" s="1"/>
  <c r="O265" i="5"/>
  <c r="Q265" i="5"/>
  <c r="P265" i="5"/>
  <c r="M265" i="5"/>
  <c r="N265" i="5" s="1"/>
  <c r="O627" i="5"/>
  <c r="S627" i="5"/>
  <c r="M627" i="5"/>
  <c r="N627" i="5" s="1"/>
  <c r="O337" i="5"/>
  <c r="P337" i="5"/>
  <c r="M337" i="5"/>
  <c r="N337" i="5" s="1"/>
  <c r="O487" i="5"/>
  <c r="S487" i="5"/>
  <c r="Q487" i="5"/>
  <c r="P487" i="5"/>
  <c r="M487" i="5"/>
  <c r="N487" i="5" s="1"/>
  <c r="O130" i="5"/>
  <c r="S130" i="5"/>
  <c r="Q130" i="5"/>
  <c r="P130" i="5"/>
  <c r="M130" i="5"/>
  <c r="N130" i="5" s="1"/>
  <c r="O804" i="5"/>
  <c r="Q804" i="5"/>
  <c r="P804" i="5"/>
  <c r="M804" i="5"/>
  <c r="N804" i="5" s="1"/>
  <c r="O717" i="5"/>
  <c r="S717" i="5"/>
  <c r="Q717" i="5"/>
  <c r="P717" i="5"/>
  <c r="M717" i="5"/>
  <c r="N717" i="5" s="1"/>
  <c r="O827" i="5"/>
  <c r="P827" i="5"/>
  <c r="M827" i="5"/>
  <c r="N827" i="5" s="1"/>
  <c r="O478" i="5"/>
  <c r="S478" i="5"/>
  <c r="Q478" i="5"/>
  <c r="P478" i="5"/>
  <c r="M478" i="5"/>
  <c r="N478" i="5" s="1"/>
  <c r="O712" i="5"/>
  <c r="S712" i="5"/>
  <c r="P712" i="5"/>
  <c r="M712" i="5"/>
  <c r="N712" i="5" s="1"/>
  <c r="O84" i="5"/>
  <c r="S84" i="5"/>
  <c r="M84" i="5"/>
  <c r="N84" i="5" s="1"/>
  <c r="O164" i="5"/>
  <c r="S164" i="5"/>
  <c r="M164" i="5"/>
  <c r="N164" i="5" s="1"/>
  <c r="O666" i="5"/>
  <c r="S666" i="5"/>
  <c r="M666" i="5"/>
  <c r="N666" i="5" s="1"/>
  <c r="O253" i="5"/>
  <c r="S253" i="5"/>
  <c r="P253" i="5"/>
  <c r="M253" i="5"/>
  <c r="N253" i="5" s="1"/>
  <c r="O702" i="5"/>
  <c r="S702" i="5"/>
  <c r="P702" i="5"/>
  <c r="M702" i="5"/>
  <c r="N702" i="5" s="1"/>
  <c r="O759" i="5"/>
  <c r="S759" i="5"/>
  <c r="P759" i="5"/>
  <c r="M759" i="5"/>
  <c r="N759" i="5" s="1"/>
  <c r="O660" i="5"/>
  <c r="S660" i="5"/>
  <c r="M660" i="5"/>
  <c r="N660" i="5" s="1"/>
  <c r="O184" i="5"/>
  <c r="S184" i="5"/>
  <c r="P184" i="5"/>
  <c r="M184" i="5"/>
  <c r="N184" i="5" s="1"/>
  <c r="O349" i="5"/>
  <c r="S349" i="5"/>
  <c r="M349" i="5"/>
  <c r="N349" i="5" s="1"/>
  <c r="O389" i="5"/>
  <c r="S389" i="5"/>
  <c r="P389" i="5"/>
  <c r="M389" i="5"/>
  <c r="N389" i="5" s="1"/>
  <c r="O361" i="5"/>
  <c r="M361" i="5"/>
  <c r="N361" i="5" s="1"/>
  <c r="O188" i="5"/>
  <c r="S188" i="5"/>
  <c r="M188" i="5"/>
  <c r="N188" i="5" s="1"/>
  <c r="O767" i="5"/>
  <c r="M767" i="5"/>
  <c r="N767" i="5" s="1"/>
  <c r="O73" i="5"/>
  <c r="S73" i="5"/>
  <c r="M73" i="5"/>
  <c r="N73" i="5" s="1"/>
  <c r="O540" i="5"/>
  <c r="M540" i="5"/>
  <c r="N540" i="5" s="1"/>
  <c r="O644" i="5"/>
  <c r="S644" i="5"/>
  <c r="M644" i="5"/>
  <c r="N644" i="5" s="1"/>
  <c r="O44" i="5"/>
  <c r="M44" i="5"/>
  <c r="N44" i="5" s="1"/>
  <c r="O174" i="5"/>
  <c r="S174" i="5"/>
  <c r="M174" i="5"/>
  <c r="N174" i="5" s="1"/>
  <c r="O825" i="5"/>
  <c r="M825" i="5"/>
  <c r="N825" i="5" s="1"/>
  <c r="O29" i="5"/>
  <c r="S29" i="5"/>
  <c r="P29" i="5"/>
  <c r="M29" i="5"/>
  <c r="N29" i="5" s="1"/>
  <c r="O761" i="5"/>
  <c r="M761" i="5"/>
  <c r="N761" i="5" s="1"/>
  <c r="O840" i="5"/>
  <c r="S840" i="5"/>
  <c r="M840" i="5"/>
  <c r="N840" i="5" s="1"/>
  <c r="O656" i="5"/>
  <c r="S656" i="5"/>
  <c r="M656" i="5"/>
  <c r="N656" i="5" s="1"/>
  <c r="O643" i="5"/>
  <c r="S643" i="5"/>
  <c r="M643" i="5"/>
  <c r="N643" i="5" s="1"/>
  <c r="O844" i="5"/>
  <c r="P844" i="5"/>
  <c r="M844" i="5"/>
  <c r="N844" i="5" s="1"/>
  <c r="O834" i="5"/>
  <c r="S834" i="5"/>
  <c r="M834" i="5"/>
  <c r="N834" i="5" s="1"/>
  <c r="O679" i="5"/>
  <c r="M679" i="5"/>
  <c r="N679" i="5" s="1"/>
  <c r="O546" i="5"/>
  <c r="S546" i="5"/>
  <c r="M546" i="5"/>
  <c r="N546" i="5" s="1"/>
  <c r="O562" i="5"/>
  <c r="M562" i="5"/>
  <c r="N562" i="5" s="1"/>
  <c r="O248" i="5"/>
  <c r="S248" i="5"/>
  <c r="M248" i="5"/>
  <c r="N248" i="5" s="1"/>
  <c r="O94" i="5"/>
  <c r="P94" i="5"/>
  <c r="M94" i="5"/>
  <c r="N94" i="5" s="1"/>
  <c r="O782" i="5"/>
  <c r="S782" i="5"/>
  <c r="P782" i="5"/>
  <c r="M782" i="5"/>
  <c r="N782" i="5" s="1"/>
  <c r="O127" i="5"/>
  <c r="P127" i="5"/>
  <c r="M127" i="5"/>
  <c r="N127" i="5" s="1"/>
  <c r="O537" i="5"/>
  <c r="S537" i="5"/>
  <c r="P537" i="5"/>
  <c r="M537" i="5"/>
  <c r="N537" i="5" s="1"/>
  <c r="O80" i="5"/>
  <c r="P80" i="5"/>
  <c r="M80" i="5"/>
  <c r="N80" i="5" s="1"/>
  <c r="O592" i="5"/>
  <c r="S592" i="5"/>
  <c r="M592" i="5"/>
  <c r="N592" i="5" s="1"/>
  <c r="O864" i="5"/>
  <c r="S864" i="5"/>
  <c r="M864" i="5"/>
  <c r="N864" i="5" s="1"/>
  <c r="O483" i="5"/>
  <c r="S483" i="5"/>
  <c r="P483" i="5"/>
  <c r="M483" i="5"/>
  <c r="N483" i="5" s="1"/>
  <c r="O731" i="5"/>
  <c r="M731" i="5"/>
  <c r="N731" i="5" s="1"/>
  <c r="O745" i="5"/>
  <c r="S745" i="5"/>
  <c r="P745" i="5"/>
  <c r="M745" i="5"/>
  <c r="N745" i="5" s="1"/>
  <c r="O728" i="5"/>
  <c r="S728" i="5"/>
  <c r="M728" i="5"/>
  <c r="N728" i="5" s="1"/>
  <c r="O233" i="5"/>
  <c r="S233" i="5"/>
  <c r="M233" i="5"/>
  <c r="N233" i="5" s="1"/>
  <c r="O945" i="5"/>
  <c r="P945" i="5"/>
  <c r="M945" i="5"/>
  <c r="N945" i="5" s="1"/>
  <c r="O690" i="5"/>
  <c r="S690" i="5"/>
  <c r="M690" i="5"/>
  <c r="N690" i="5" s="1"/>
  <c r="O683" i="5"/>
  <c r="S683" i="5"/>
  <c r="M683" i="5"/>
  <c r="N683" i="5" s="1"/>
  <c r="O35" i="5"/>
  <c r="M35" i="5"/>
  <c r="N35" i="5" s="1"/>
  <c r="O288" i="5"/>
  <c r="S288" i="5"/>
  <c r="M288" i="5"/>
  <c r="N288" i="5" s="1"/>
  <c r="O990" i="5"/>
  <c r="M990" i="5"/>
  <c r="N990" i="5" s="1"/>
  <c r="O711" i="5"/>
  <c r="S711" i="5"/>
  <c r="M711" i="5"/>
  <c r="N711" i="5" s="1"/>
  <c r="O331" i="5"/>
  <c r="S331" i="5"/>
  <c r="M331" i="5"/>
  <c r="N331" i="5" s="1"/>
  <c r="O956" i="5"/>
  <c r="S956" i="5"/>
  <c r="M956" i="5"/>
  <c r="N956" i="5" s="1"/>
  <c r="O146" i="5"/>
  <c r="M146" i="5"/>
  <c r="N146" i="5" s="1"/>
  <c r="O866" i="5"/>
  <c r="S866" i="5"/>
  <c r="M866" i="5"/>
  <c r="N866" i="5" s="1"/>
  <c r="O254" i="5"/>
  <c r="S254" i="5"/>
  <c r="M254" i="5"/>
  <c r="N254" i="5" s="1"/>
  <c r="O291" i="5"/>
  <c r="S291" i="5"/>
  <c r="M291" i="5"/>
  <c r="N291" i="5" s="1"/>
  <c r="O610" i="5"/>
  <c r="S610" i="5"/>
  <c r="P610" i="5"/>
  <c r="M610" i="5"/>
  <c r="N610" i="5" s="1"/>
  <c r="O65" i="5"/>
  <c r="M65" i="5"/>
  <c r="N65" i="5" s="1"/>
  <c r="O171" i="5"/>
  <c r="P171" i="5"/>
  <c r="M171" i="5"/>
  <c r="N171" i="5" s="1"/>
  <c r="O642" i="5"/>
  <c r="S642" i="5"/>
  <c r="P642" i="5"/>
  <c r="M642" i="5"/>
  <c r="N642" i="5" s="1"/>
  <c r="O5" i="5"/>
  <c r="M5" i="5"/>
  <c r="N5" i="5" s="1"/>
  <c r="O229" i="5"/>
  <c r="S229" i="5"/>
  <c r="M229" i="5"/>
  <c r="N229" i="5" s="1"/>
  <c r="O204" i="5"/>
  <c r="S204" i="5"/>
  <c r="M204" i="5"/>
  <c r="N204" i="5" s="1"/>
  <c r="O441" i="5"/>
  <c r="S441" i="5"/>
  <c r="M441" i="5"/>
  <c r="N441" i="5" s="1"/>
  <c r="O232" i="5"/>
  <c r="M232" i="5"/>
  <c r="N232" i="5" s="1"/>
  <c r="O464" i="5"/>
  <c r="S464" i="5"/>
  <c r="M464" i="5"/>
  <c r="N464" i="5" s="1"/>
  <c r="O885" i="5"/>
  <c r="S885" i="5"/>
  <c r="M885" i="5"/>
  <c r="N885" i="5" s="1"/>
  <c r="O838" i="5"/>
  <c r="S838" i="5"/>
  <c r="M838" i="5"/>
  <c r="N838" i="5" s="1"/>
  <c r="O476" i="5"/>
  <c r="S476" i="5"/>
  <c r="M476" i="5"/>
  <c r="N476" i="5" s="1"/>
  <c r="O197" i="5"/>
  <c r="M197" i="5"/>
  <c r="N197" i="5" s="1"/>
  <c r="O20" i="5"/>
  <c r="M20" i="5"/>
  <c r="N20" i="5" s="1"/>
  <c r="J551" i="5"/>
  <c r="K551" i="5"/>
  <c r="Y551" i="5" s="1"/>
  <c r="J730" i="5"/>
  <c r="X730" i="5" s="1"/>
  <c r="K730" i="5"/>
  <c r="Y730" i="5" s="1"/>
  <c r="J856" i="5"/>
  <c r="X856" i="5" s="1"/>
  <c r="K856" i="5"/>
  <c r="Y856" i="5" s="1"/>
  <c r="J593" i="5"/>
  <c r="K593" i="5"/>
  <c r="Y593" i="5" s="1"/>
  <c r="J571" i="5"/>
  <c r="X571" i="5" s="1"/>
  <c r="K571" i="5"/>
  <c r="Y571" i="5" s="1"/>
  <c r="J911" i="5"/>
  <c r="W911" i="5" s="1"/>
  <c r="K911" i="5"/>
  <c r="Y911" i="5" s="1"/>
  <c r="J928" i="5"/>
  <c r="K928" i="5"/>
  <c r="J105" i="5"/>
  <c r="W105" i="5" s="1"/>
  <c r="K105" i="5"/>
  <c r="Y105" i="5" s="1"/>
  <c r="J530" i="5"/>
  <c r="K530" i="5"/>
  <c r="Y530" i="5" s="1"/>
  <c r="J830" i="5"/>
  <c r="K830" i="5"/>
  <c r="Y830" i="5" s="1"/>
  <c r="J411" i="5"/>
  <c r="X411" i="5" s="1"/>
  <c r="K411" i="5"/>
  <c r="Y411" i="5" s="1"/>
  <c r="J43" i="5"/>
  <c r="W43" i="5" s="1"/>
  <c r="K43" i="5"/>
  <c r="Y43" i="5" s="1"/>
  <c r="J563" i="5"/>
  <c r="K563" i="5"/>
  <c r="J977" i="5"/>
  <c r="K977" i="5"/>
  <c r="Y977" i="5" s="1"/>
  <c r="J854" i="5"/>
  <c r="W854" i="5" s="1"/>
  <c r="K854" i="5"/>
  <c r="Y854" i="5" s="1"/>
  <c r="J308" i="5"/>
  <c r="K308" i="5"/>
  <c r="Y308" i="5" s="1"/>
  <c r="J205" i="5"/>
  <c r="X205" i="5" s="1"/>
  <c r="K205" i="5"/>
  <c r="Y205" i="5" s="1"/>
  <c r="J445" i="5"/>
  <c r="X445" i="5" s="1"/>
  <c r="K445" i="5"/>
  <c r="Y445" i="5" s="1"/>
  <c r="J696" i="5"/>
  <c r="K696" i="5"/>
  <c r="Y696" i="5" s="1"/>
  <c r="J616" i="5"/>
  <c r="K616" i="5"/>
  <c r="Y616" i="5" s="1"/>
  <c r="J55" i="5"/>
  <c r="K55" i="5"/>
  <c r="Y55" i="5" s="1"/>
  <c r="J112" i="5"/>
  <c r="K112" i="5"/>
  <c r="Y112" i="5" s="1"/>
  <c r="J267" i="5"/>
  <c r="X267" i="5" s="1"/>
  <c r="K267" i="5"/>
  <c r="Y267" i="5" s="1"/>
  <c r="J172" i="5"/>
  <c r="X172" i="5" s="1"/>
  <c r="K172" i="5"/>
  <c r="Y172" i="5" s="1"/>
  <c r="J245" i="5"/>
  <c r="X245" i="5" s="1"/>
  <c r="K245" i="5"/>
  <c r="Y245" i="5" s="1"/>
  <c r="J344" i="5"/>
  <c r="K344" i="5"/>
  <c r="Y344" i="5" s="1"/>
  <c r="J153" i="5"/>
  <c r="X153" i="5" s="1"/>
  <c r="K153" i="5"/>
  <c r="Y153" i="5" s="1"/>
  <c r="J929" i="5"/>
  <c r="K929" i="5"/>
  <c r="Y929" i="5" s="1"/>
  <c r="J387" i="5"/>
  <c r="X387" i="5" s="1"/>
  <c r="K387" i="5"/>
  <c r="Y387" i="5" s="1"/>
  <c r="J947" i="5"/>
  <c r="W947" i="5" s="1"/>
  <c r="K947" i="5"/>
  <c r="Y947" i="5" s="1"/>
  <c r="J18" i="5"/>
  <c r="K18" i="5"/>
  <c r="Y18" i="5" s="1"/>
  <c r="J45" i="5"/>
  <c r="K45" i="5"/>
  <c r="Y45" i="5" s="1"/>
  <c r="J157" i="5"/>
  <c r="X157" i="5" s="1"/>
  <c r="K157" i="5"/>
  <c r="Y157" i="5" s="1"/>
  <c r="J971" i="5"/>
  <c r="K971" i="5"/>
  <c r="Y971" i="5" s="1"/>
  <c r="J740" i="5"/>
  <c r="X740" i="5" s="1"/>
  <c r="K740" i="5"/>
  <c r="J794" i="5"/>
  <c r="X794" i="5" s="1"/>
  <c r="K794" i="5"/>
  <c r="Y794" i="5" s="1"/>
  <c r="J869" i="5"/>
  <c r="K869" i="5"/>
  <c r="J867" i="5"/>
  <c r="X867" i="5" s="1"/>
  <c r="K867" i="5"/>
  <c r="Y867" i="5" s="1"/>
  <c r="J503" i="5"/>
  <c r="W503" i="5" s="1"/>
  <c r="K503" i="5"/>
  <c r="Y503" i="5" s="1"/>
  <c r="J263" i="5"/>
  <c r="X263" i="5" s="1"/>
  <c r="K263" i="5"/>
  <c r="Y263" i="5" s="1"/>
  <c r="J509" i="5"/>
  <c r="X509" i="5" s="1"/>
  <c r="K509" i="5"/>
  <c r="Y509" i="5" s="1"/>
  <c r="J960" i="5"/>
  <c r="X960" i="5" s="1"/>
  <c r="K960" i="5"/>
  <c r="Y960" i="5" s="1"/>
  <c r="J966" i="5"/>
  <c r="X966" i="5" s="1"/>
  <c r="K966" i="5"/>
  <c r="Y966" i="5" s="1"/>
  <c r="J388" i="5"/>
  <c r="X388" i="5" s="1"/>
  <c r="K388" i="5"/>
  <c r="Y388" i="5" s="1"/>
  <c r="J442" i="5"/>
  <c r="K442" i="5"/>
  <c r="Y442" i="5" s="1"/>
  <c r="J861" i="5"/>
  <c r="K861" i="5"/>
  <c r="Y861" i="5" s="1"/>
  <c r="J222" i="5"/>
  <c r="X222" i="5" s="1"/>
  <c r="K222" i="5"/>
  <c r="Y222" i="5" s="1"/>
  <c r="J502" i="5"/>
  <c r="X502" i="5" s="1"/>
  <c r="K502" i="5"/>
  <c r="Y502" i="5" s="1"/>
  <c r="J850" i="5"/>
  <c r="K850" i="5"/>
  <c r="Y850" i="5" s="1"/>
  <c r="J3" i="5"/>
  <c r="K3" i="5"/>
  <c r="Y3" i="5" s="1"/>
  <c r="J542" i="5"/>
  <c r="K542" i="5"/>
  <c r="Y542" i="5" s="1"/>
  <c r="J28" i="5"/>
  <c r="X28" i="5" s="1"/>
  <c r="K28" i="5"/>
  <c r="Y28" i="5" s="1"/>
  <c r="J584" i="5"/>
  <c r="X584" i="5" s="1"/>
  <c r="K584" i="5"/>
  <c r="Y584" i="5" s="1"/>
  <c r="J135" i="5"/>
  <c r="X135" i="5" s="1"/>
  <c r="K135" i="5"/>
  <c r="Y135" i="5" s="1"/>
  <c r="J186" i="5"/>
  <c r="W186" i="5" s="1"/>
  <c r="K186" i="5"/>
  <c r="J936" i="5"/>
  <c r="K936" i="5"/>
  <c r="Y936" i="5" s="1"/>
  <c r="J984" i="5"/>
  <c r="K984" i="5"/>
  <c r="Y984" i="5" s="1"/>
  <c r="J463" i="5"/>
  <c r="K463" i="5"/>
  <c r="Y463" i="5" s="1"/>
  <c r="J574" i="5"/>
  <c r="X574" i="5" s="1"/>
  <c r="K574" i="5"/>
  <c r="Y574" i="5" s="1"/>
  <c r="J636" i="5"/>
  <c r="X636" i="5" s="1"/>
  <c r="K636" i="5"/>
  <c r="Y636" i="5" s="1"/>
  <c r="J812" i="5"/>
  <c r="K812" i="5"/>
  <c r="Y812" i="5" s="1"/>
  <c r="J671" i="5"/>
  <c r="X671" i="5" s="1"/>
  <c r="K671" i="5"/>
  <c r="Y671" i="5" s="1"/>
  <c r="J177" i="5"/>
  <c r="X177" i="5" s="1"/>
  <c r="K177" i="5"/>
  <c r="Y177" i="5" s="1"/>
  <c r="J7" i="5"/>
  <c r="W7" i="5" s="1"/>
  <c r="K7" i="5"/>
  <c r="Y7" i="5" s="1"/>
  <c r="J526" i="5"/>
  <c r="X526" i="5" s="1"/>
  <c r="K526" i="5"/>
  <c r="Y526" i="5" s="1"/>
  <c r="J918" i="5"/>
  <c r="X918" i="5" s="1"/>
  <c r="K918" i="5"/>
  <c r="Y918" i="5" s="1"/>
  <c r="K807" i="5"/>
  <c r="Y807" i="5" s="1"/>
  <c r="J807" i="5"/>
  <c r="W807" i="5" s="1"/>
  <c r="J141" i="5"/>
  <c r="K141" i="5"/>
  <c r="Y141" i="5" s="1"/>
  <c r="J471" i="5"/>
  <c r="K471" i="5"/>
  <c r="Y471" i="5" s="1"/>
  <c r="J802" i="5"/>
  <c r="W802" i="5" s="1"/>
  <c r="K802" i="5"/>
  <c r="Y802" i="5" s="1"/>
  <c r="J917" i="5"/>
  <c r="X917" i="5" s="1"/>
  <c r="K917" i="5"/>
  <c r="Y917" i="5" s="1"/>
  <c r="J102" i="5"/>
  <c r="X102" i="5" s="1"/>
  <c r="K102" i="5"/>
  <c r="Y102" i="5" s="1"/>
  <c r="J342" i="5"/>
  <c r="W342" i="5" s="1"/>
  <c r="K342" i="5"/>
  <c r="Y342" i="5" s="1"/>
  <c r="J751" i="5"/>
  <c r="X751" i="5" s="1"/>
  <c r="K751" i="5"/>
  <c r="Y751" i="5" s="1"/>
  <c r="J46" i="5"/>
  <c r="X46" i="5" s="1"/>
  <c r="K46" i="5"/>
  <c r="Y46" i="5" s="1"/>
  <c r="J75" i="5"/>
  <c r="W75" i="5" s="1"/>
  <c r="K75" i="5"/>
  <c r="Y75" i="5" s="1"/>
  <c r="J691" i="5"/>
  <c r="X691" i="5" s="1"/>
  <c r="K691" i="5"/>
  <c r="Y691" i="5" s="1"/>
  <c r="K460" i="5"/>
  <c r="Y460" i="5" s="1"/>
  <c r="J460" i="5"/>
  <c r="X460" i="5" s="1"/>
  <c r="J394" i="5"/>
  <c r="W394" i="5" s="1"/>
  <c r="K394" i="5"/>
  <c r="Y394" i="5" s="1"/>
  <c r="J516" i="5"/>
  <c r="K516" i="5"/>
  <c r="Y516" i="5" s="1"/>
  <c r="J760" i="5"/>
  <c r="K760" i="5"/>
  <c r="Y760" i="5" s="1"/>
  <c r="K299" i="5"/>
  <c r="Y299" i="5" s="1"/>
  <c r="J299" i="5"/>
  <c r="W299" i="5" s="1"/>
  <c r="K791" i="5"/>
  <c r="Y791" i="5" s="1"/>
  <c r="J791" i="5"/>
  <c r="X791" i="5" s="1"/>
  <c r="L41" i="5"/>
  <c r="Z41" i="5" s="1"/>
  <c r="L798" i="5"/>
  <c r="Z798" i="5" s="1"/>
  <c r="L251" i="5"/>
  <c r="Z251" i="5" s="1"/>
  <c r="L572" i="5"/>
  <c r="Z572" i="5" s="1"/>
  <c r="L83" i="5"/>
  <c r="Z83" i="5" s="1"/>
  <c r="L554" i="5"/>
  <c r="Z554" i="5" s="1"/>
  <c r="L585" i="5"/>
  <c r="Z585" i="5" s="1"/>
  <c r="L92" i="5"/>
  <c r="Z92" i="5" s="1"/>
  <c r="L515" i="5"/>
  <c r="Z515" i="5" s="1"/>
  <c r="L618" i="5"/>
  <c r="Z618" i="5" s="1"/>
  <c r="L590" i="5"/>
  <c r="Z590" i="5" s="1"/>
  <c r="L252" i="5"/>
  <c r="Z252" i="5" s="1"/>
  <c r="L512" i="5"/>
  <c r="Z512" i="5" s="1"/>
  <c r="L231" i="5"/>
  <c r="Z231" i="5" s="1"/>
  <c r="L225" i="5"/>
  <c r="Z225" i="5" s="1"/>
  <c r="L625" i="5"/>
  <c r="Z625" i="5" s="1"/>
  <c r="L149" i="5"/>
  <c r="Z149" i="5" s="1"/>
  <c r="L397" i="5"/>
  <c r="Z397" i="5" s="1"/>
  <c r="L494" i="5"/>
  <c r="Z494" i="5" s="1"/>
  <c r="L845" i="5"/>
  <c r="Z845" i="5" s="1"/>
  <c r="L783" i="5"/>
  <c r="Z783" i="5" s="1"/>
  <c r="L195" i="5"/>
  <c r="Z195" i="5" s="1"/>
  <c r="L959" i="5"/>
  <c r="Z959" i="5" s="1"/>
  <c r="L566" i="5"/>
  <c r="Z566" i="5" s="1"/>
  <c r="L597" i="5"/>
  <c r="Z597" i="5" s="1"/>
  <c r="L191" i="5"/>
  <c r="Z191" i="5" s="1"/>
  <c r="L110" i="5"/>
  <c r="Z110" i="5" s="1"/>
  <c r="L689" i="5"/>
  <c r="Z689" i="5" s="1"/>
  <c r="L799" i="5"/>
  <c r="Z799" i="5" s="1"/>
  <c r="L391" i="5"/>
  <c r="Z391" i="5" s="1"/>
  <c r="L461" i="5"/>
  <c r="Z461" i="5" s="1"/>
  <c r="L419" i="5"/>
  <c r="Z419" i="5" s="1"/>
  <c r="L811" i="5"/>
  <c r="Z811" i="5" s="1"/>
  <c r="L432" i="5"/>
  <c r="Z432" i="5" s="1"/>
  <c r="L459" i="5"/>
  <c r="Z459" i="5" s="1"/>
  <c r="L126" i="5"/>
  <c r="Z126" i="5" s="1"/>
  <c r="L318" i="5"/>
  <c r="Z318" i="5" s="1"/>
  <c r="L723" i="5"/>
  <c r="Z723" i="5" s="1"/>
  <c r="L701" i="5"/>
  <c r="Z701" i="5" s="1"/>
  <c r="L1000" i="5"/>
  <c r="Z1000" i="5" s="1"/>
  <c r="L39" i="5"/>
  <c r="Z39" i="5" s="1"/>
  <c r="AA39" i="5" s="1"/>
  <c r="AB39" i="5" s="1"/>
  <c r="L455" i="5"/>
  <c r="Z455" i="5" s="1"/>
  <c r="L58" i="5"/>
  <c r="Z58" i="5" s="1"/>
  <c r="L601" i="5"/>
  <c r="Z601" i="5" s="1"/>
  <c r="L316" i="5"/>
  <c r="Z316" i="5" s="1"/>
  <c r="L74" i="5"/>
  <c r="Z74" i="5" s="1"/>
  <c r="L606" i="5"/>
  <c r="Z606" i="5" s="1"/>
  <c r="L384" i="5"/>
  <c r="Z384" i="5" s="1"/>
  <c r="L32" i="5"/>
  <c r="Z32" i="5" s="1"/>
  <c r="L839" i="5"/>
  <c r="Z839" i="5" s="1"/>
  <c r="L857" i="5"/>
  <c r="Z857" i="5" s="1"/>
  <c r="L256" i="5"/>
  <c r="Z256" i="5" s="1"/>
  <c r="L754" i="5"/>
  <c r="Z754" i="5" s="1"/>
  <c r="L626" i="5"/>
  <c r="Z626" i="5" s="1"/>
  <c r="L521" i="5"/>
  <c r="Z521" i="5" s="1"/>
  <c r="L257" i="5"/>
  <c r="Z257" i="5" s="1"/>
  <c r="L348" i="5"/>
  <c r="Z348" i="5" s="1"/>
  <c r="L948" i="5"/>
  <c r="Z948" i="5" s="1"/>
  <c r="L570" i="5"/>
  <c r="Z570" i="5" s="1"/>
  <c r="L961" i="5"/>
  <c r="Z961" i="5" s="1"/>
  <c r="L101" i="5"/>
  <c r="Z101" i="5" s="1"/>
  <c r="L106" i="5"/>
  <c r="Z106" i="5" s="1"/>
  <c r="L703" i="5"/>
  <c r="Z703" i="5" s="1"/>
  <c r="L314" i="5"/>
  <c r="Z314" i="5" s="1"/>
  <c r="L887" i="5"/>
  <c r="Z887" i="5" s="1"/>
  <c r="L14" i="5"/>
  <c r="Z14" i="5" s="1"/>
  <c r="L891" i="5"/>
  <c r="Z891" i="5" s="1"/>
  <c r="L752" i="5"/>
  <c r="Z752" i="5" s="1"/>
  <c r="L771" i="5"/>
  <c r="Z771" i="5" s="1"/>
  <c r="L138" i="5"/>
  <c r="Z138" i="5" s="1"/>
  <c r="L889" i="5"/>
  <c r="Z889" i="5" s="1"/>
  <c r="L182" i="5"/>
  <c r="Z182" i="5" s="1"/>
  <c r="L378" i="5"/>
  <c r="Z378" i="5" s="1"/>
  <c r="L68" i="5"/>
  <c r="Z68" i="5" s="1"/>
  <c r="L360" i="5"/>
  <c r="Z360" i="5" s="1"/>
  <c r="L161" i="5"/>
  <c r="Z161" i="5" s="1"/>
  <c r="L485" i="5"/>
  <c r="Z485" i="5" s="1"/>
  <c r="L967" i="5"/>
  <c r="Z967" i="5" s="1"/>
  <c r="L335" i="5"/>
  <c r="Z335" i="5" s="1"/>
  <c r="L154" i="5"/>
  <c r="Z154" i="5" s="1"/>
  <c r="L941" i="5"/>
  <c r="Z941" i="5" s="1"/>
  <c r="L628" i="5"/>
  <c r="Z628" i="5" s="1"/>
  <c r="L670" i="5"/>
  <c r="J392" i="5"/>
  <c r="J357" i="5"/>
  <c r="J746" i="5"/>
  <c r="X746" i="5" s="1"/>
  <c r="J607" i="5"/>
  <c r="X607" i="5" s="1"/>
  <c r="J650" i="5"/>
  <c r="X650" i="5" s="1"/>
  <c r="J773" i="5"/>
  <c r="P773" i="5" s="1"/>
  <c r="J633" i="5"/>
  <c r="X633" i="5" s="1"/>
  <c r="O162" i="5"/>
  <c r="P162" i="5"/>
  <c r="R162" i="5"/>
  <c r="Q162" i="5"/>
  <c r="M162" i="5"/>
  <c r="N162" i="5" s="1"/>
  <c r="O682" i="5"/>
  <c r="S682" i="5"/>
  <c r="R682" i="5"/>
  <c r="M682" i="5"/>
  <c r="N682" i="5" s="1"/>
  <c r="O151" i="5"/>
  <c r="R151" i="5"/>
  <c r="M151" i="5"/>
  <c r="N151" i="5" s="1"/>
  <c r="O473" i="5"/>
  <c r="R473" i="5"/>
  <c r="S473" i="5"/>
  <c r="M473" i="5"/>
  <c r="N473" i="5" s="1"/>
  <c r="O583" i="5"/>
  <c r="R583" i="5"/>
  <c r="M583" i="5"/>
  <c r="N583" i="5" s="1"/>
  <c r="O152" i="5"/>
  <c r="R152" i="5"/>
  <c r="S152" i="5"/>
  <c r="M152" i="5"/>
  <c r="N152" i="5" s="1"/>
  <c r="O290" i="5"/>
  <c r="R290" i="5"/>
  <c r="M290" i="5"/>
  <c r="N290" i="5" s="1"/>
  <c r="O240" i="5"/>
  <c r="M240" i="5"/>
  <c r="N240" i="5" s="1"/>
  <c r="O329" i="5"/>
  <c r="M329" i="5"/>
  <c r="N329" i="5" s="1"/>
  <c r="O278" i="5"/>
  <c r="R278" i="5"/>
  <c r="P278" i="5"/>
  <c r="M278" i="5"/>
  <c r="N278" i="5" s="1"/>
  <c r="O64" i="5"/>
  <c r="R64" i="5"/>
  <c r="P64" i="5"/>
  <c r="Q64" i="5"/>
  <c r="M64" i="5"/>
  <c r="N64" i="5" s="1"/>
  <c r="O848" i="5"/>
  <c r="R848" i="5"/>
  <c r="S848" i="5"/>
  <c r="P848" i="5"/>
  <c r="Q848" i="5"/>
  <c r="M848" i="5"/>
  <c r="N848" i="5" s="1"/>
  <c r="O615" i="5"/>
  <c r="P615" i="5"/>
  <c r="Q615" i="5"/>
  <c r="M615" i="5"/>
  <c r="N615" i="5" s="1"/>
  <c r="O427" i="5"/>
  <c r="R427" i="5"/>
  <c r="S427" i="5"/>
  <c r="P427" i="5"/>
  <c r="Q427" i="5"/>
  <c r="M427" i="5"/>
  <c r="N427" i="5" s="1"/>
  <c r="O968" i="5"/>
  <c r="P968" i="5"/>
  <c r="M968" i="5"/>
  <c r="N968" i="5" s="1"/>
  <c r="O934" i="5"/>
  <c r="R934" i="5"/>
  <c r="S934" i="5"/>
  <c r="P934" i="5"/>
  <c r="M934" i="5"/>
  <c r="N934" i="5" s="1"/>
  <c r="O976" i="5"/>
  <c r="S976" i="5"/>
  <c r="P976" i="5"/>
  <c r="Q976" i="5"/>
  <c r="M976" i="5"/>
  <c r="N976" i="5" s="1"/>
  <c r="O311" i="5"/>
  <c r="R311" i="5"/>
  <c r="S311" i="5"/>
  <c r="P311" i="5"/>
  <c r="Q311" i="5"/>
  <c r="M311" i="5"/>
  <c r="N311" i="5" s="1"/>
  <c r="O781" i="5"/>
  <c r="R781" i="5"/>
  <c r="P781" i="5"/>
  <c r="Q781" i="5"/>
  <c r="M781" i="5"/>
  <c r="N781" i="5" s="1"/>
  <c r="O973" i="5"/>
  <c r="R973" i="5"/>
  <c r="P973" i="5"/>
  <c r="Q973" i="5"/>
  <c r="M973" i="5"/>
  <c r="N973" i="5" s="1"/>
  <c r="O744" i="5"/>
  <c r="S744" i="5"/>
  <c r="M744" i="5"/>
  <c r="N744" i="5" s="1"/>
  <c r="O353" i="5"/>
  <c r="R353" i="5"/>
  <c r="Q353" i="5"/>
  <c r="M353" i="5"/>
  <c r="N353" i="5" s="1"/>
  <c r="O206" i="5"/>
  <c r="R206" i="5"/>
  <c r="S206" i="5"/>
  <c r="P206" i="5"/>
  <c r="Q206" i="5"/>
  <c r="M206" i="5"/>
  <c r="N206" i="5" s="1"/>
  <c r="O250" i="5"/>
  <c r="R250" i="5"/>
  <c r="S250" i="5"/>
  <c r="P250" i="5"/>
  <c r="Q250" i="5"/>
  <c r="M250" i="5"/>
  <c r="N250" i="5" s="1"/>
  <c r="O793" i="5"/>
  <c r="R793" i="5"/>
  <c r="P793" i="5"/>
  <c r="Q793" i="5"/>
  <c r="M793" i="5"/>
  <c r="N793" i="5" s="1"/>
  <c r="O260" i="5"/>
  <c r="R260" i="5"/>
  <c r="S260" i="5"/>
  <c r="P260" i="5"/>
  <c r="Q260" i="5"/>
  <c r="M260" i="5"/>
  <c r="N260" i="5" s="1"/>
  <c r="O408" i="5"/>
  <c r="P408" i="5"/>
  <c r="M408" i="5"/>
  <c r="N408" i="5" s="1"/>
  <c r="O586" i="5"/>
  <c r="R586" i="5"/>
  <c r="S586" i="5"/>
  <c r="P586" i="5"/>
  <c r="M586" i="5"/>
  <c r="N586" i="5" s="1"/>
  <c r="O750" i="5"/>
  <c r="R750" i="5"/>
  <c r="S750" i="5"/>
  <c r="P750" i="5"/>
  <c r="Q750" i="5"/>
  <c r="M750" i="5"/>
  <c r="N750" i="5" s="1"/>
  <c r="O841" i="5"/>
  <c r="S841" i="5"/>
  <c r="R841" i="5"/>
  <c r="P841" i="5"/>
  <c r="Q841" i="5"/>
  <c r="M841" i="5"/>
  <c r="N841" i="5" s="1"/>
  <c r="O809" i="5"/>
  <c r="R809" i="5"/>
  <c r="P809" i="5"/>
  <c r="Q809" i="5"/>
  <c r="M809" i="5"/>
  <c r="N809" i="5" s="1"/>
  <c r="O443" i="5"/>
  <c r="R443" i="5"/>
  <c r="P443" i="5"/>
  <c r="Q443" i="5"/>
  <c r="M443" i="5"/>
  <c r="N443" i="5" s="1"/>
  <c r="O13" i="5"/>
  <c r="M13" i="5"/>
  <c r="N13" i="5" s="1"/>
  <c r="O61" i="5"/>
  <c r="R61" i="5"/>
  <c r="P61" i="5"/>
  <c r="M61" i="5"/>
  <c r="N61" i="5" s="1"/>
  <c r="O524" i="5"/>
  <c r="R524" i="5"/>
  <c r="P524" i="5"/>
  <c r="Q524" i="5"/>
  <c r="M524" i="5"/>
  <c r="N524" i="5" s="1"/>
  <c r="O289" i="5"/>
  <c r="S289" i="5"/>
  <c r="R289" i="5"/>
  <c r="P289" i="5"/>
  <c r="Q289" i="5"/>
  <c r="M289" i="5"/>
  <c r="N289" i="5" s="1"/>
  <c r="O372" i="5"/>
  <c r="R372" i="5"/>
  <c r="P372" i="5"/>
  <c r="Q372" i="5"/>
  <c r="M372" i="5"/>
  <c r="N372" i="5" s="1"/>
  <c r="O893" i="5"/>
  <c r="S893" i="5"/>
  <c r="R893" i="5"/>
  <c r="P893" i="5"/>
  <c r="Q893" i="5"/>
  <c r="M893" i="5"/>
  <c r="N893" i="5" s="1"/>
  <c r="O648" i="5"/>
  <c r="P648" i="5"/>
  <c r="M648" i="5"/>
  <c r="N648" i="5" s="1"/>
  <c r="O262" i="5"/>
  <c r="S262" i="5"/>
  <c r="R262" i="5"/>
  <c r="M262" i="5"/>
  <c r="N262" i="5" s="1"/>
  <c r="O147" i="5"/>
  <c r="S147" i="5"/>
  <c r="R147" i="5"/>
  <c r="P147" i="5"/>
  <c r="Q147" i="5"/>
  <c r="M147" i="5"/>
  <c r="N147" i="5" s="1"/>
  <c r="O379" i="5"/>
  <c r="S379" i="5"/>
  <c r="R379" i="5"/>
  <c r="P379" i="5"/>
  <c r="Q379" i="5"/>
  <c r="M379" i="5"/>
  <c r="N379" i="5" s="1"/>
  <c r="O888" i="5"/>
  <c r="R888" i="5"/>
  <c r="P888" i="5"/>
  <c r="Q888" i="5"/>
  <c r="M888" i="5"/>
  <c r="N888" i="5" s="1"/>
  <c r="O227" i="5"/>
  <c r="R227" i="5"/>
  <c r="P227" i="5"/>
  <c r="Q227" i="5"/>
  <c r="M227" i="5"/>
  <c r="N227" i="5" s="1"/>
  <c r="O47" i="5"/>
  <c r="S47" i="5"/>
  <c r="M47" i="5"/>
  <c r="N47" i="5" s="1"/>
  <c r="O202" i="5"/>
  <c r="R202" i="5"/>
  <c r="P202" i="5"/>
  <c r="M202" i="5"/>
  <c r="N202" i="5" s="1"/>
  <c r="O466" i="5"/>
  <c r="R466" i="5"/>
  <c r="P466" i="5"/>
  <c r="Q466" i="5"/>
  <c r="M466" i="5"/>
  <c r="N466" i="5" s="1"/>
  <c r="O23" i="5"/>
  <c r="S23" i="5"/>
  <c r="R23" i="5"/>
  <c r="P23" i="5"/>
  <c r="Q23" i="5"/>
  <c r="M23" i="5"/>
  <c r="N23" i="5" s="1"/>
  <c r="O708" i="5"/>
  <c r="R708" i="5"/>
  <c r="P708" i="5"/>
  <c r="Q708" i="5"/>
  <c r="M708" i="5"/>
  <c r="N708" i="5" s="1"/>
  <c r="O192" i="5"/>
  <c r="S192" i="5"/>
  <c r="R192" i="5"/>
  <c r="P192" i="5"/>
  <c r="Q192" i="5"/>
  <c r="M192" i="5"/>
  <c r="N192" i="5" s="1"/>
  <c r="O544" i="5"/>
  <c r="M544" i="5"/>
  <c r="N544" i="5" s="1"/>
  <c r="O787" i="5"/>
  <c r="S787" i="5"/>
  <c r="R787" i="5"/>
  <c r="P787" i="5"/>
  <c r="Q787" i="5"/>
  <c r="M787" i="5"/>
  <c r="N787" i="5" s="1"/>
  <c r="O780" i="5"/>
  <c r="S780" i="5"/>
  <c r="R780" i="5"/>
  <c r="P780" i="5"/>
  <c r="Q780" i="5"/>
  <c r="M780" i="5"/>
  <c r="N780" i="5" s="1"/>
  <c r="O932" i="5"/>
  <c r="S932" i="5"/>
  <c r="R932" i="5"/>
  <c r="P932" i="5"/>
  <c r="Q932" i="5"/>
  <c r="M932" i="5"/>
  <c r="N932" i="5" s="1"/>
  <c r="O283" i="5"/>
  <c r="R283" i="5"/>
  <c r="P283" i="5"/>
  <c r="Q283" i="5"/>
  <c r="M283" i="5"/>
  <c r="N283" i="5" s="1"/>
  <c r="O201" i="5"/>
  <c r="P201" i="5"/>
  <c r="Q201" i="5"/>
  <c r="M201" i="5"/>
  <c r="N201" i="5" s="1"/>
  <c r="O380" i="5"/>
  <c r="S380" i="5"/>
  <c r="M380" i="5"/>
  <c r="N380" i="5" s="1"/>
  <c r="O965" i="5"/>
  <c r="R965" i="5"/>
  <c r="P965" i="5"/>
  <c r="M965" i="5"/>
  <c r="N965" i="5" s="1"/>
  <c r="O474" i="5"/>
  <c r="S474" i="5"/>
  <c r="R474" i="5"/>
  <c r="P474" i="5"/>
  <c r="Q474" i="5"/>
  <c r="M474" i="5"/>
  <c r="N474" i="5" s="1"/>
  <c r="O406" i="5"/>
  <c r="S406" i="5"/>
  <c r="R406" i="5"/>
  <c r="P406" i="5"/>
  <c r="Q406" i="5"/>
  <c r="M406" i="5"/>
  <c r="N406" i="5" s="1"/>
  <c r="O333" i="5"/>
  <c r="S333" i="5"/>
  <c r="R333" i="5"/>
  <c r="P333" i="5"/>
  <c r="Q333" i="5"/>
  <c r="M333" i="5"/>
  <c r="N333" i="5" s="1"/>
  <c r="O155" i="5"/>
  <c r="S155" i="5"/>
  <c r="R155" i="5"/>
  <c r="P155" i="5"/>
  <c r="Q155" i="5"/>
  <c r="M155" i="5"/>
  <c r="N155" i="5" s="1"/>
  <c r="O234" i="5"/>
  <c r="M234" i="5"/>
  <c r="N234" i="5" s="1"/>
  <c r="O677" i="5"/>
  <c r="S677" i="5"/>
  <c r="R677" i="5"/>
  <c r="M677" i="5"/>
  <c r="N677" i="5" s="1"/>
  <c r="O31" i="5"/>
  <c r="S31" i="5"/>
  <c r="R31" i="5"/>
  <c r="P31" i="5"/>
  <c r="Q31" i="5"/>
  <c r="M31" i="5"/>
  <c r="N31" i="5" s="1"/>
  <c r="O82" i="5"/>
  <c r="S82" i="5"/>
  <c r="R82" i="5"/>
  <c r="P82" i="5"/>
  <c r="Q82" i="5"/>
  <c r="M82" i="5"/>
  <c r="N82" i="5" s="1"/>
  <c r="O63" i="5"/>
  <c r="R63" i="5"/>
  <c r="P63" i="5"/>
  <c r="Q63" i="5"/>
  <c r="M63" i="5"/>
  <c r="N63" i="5" s="1"/>
  <c r="O548" i="5"/>
  <c r="R548" i="5"/>
  <c r="P548" i="5"/>
  <c r="Q548" i="5"/>
  <c r="M548" i="5"/>
  <c r="N548" i="5" s="1"/>
  <c r="O140" i="5"/>
  <c r="S140" i="5"/>
  <c r="M140" i="5"/>
  <c r="N140" i="5" s="1"/>
  <c r="O743" i="5"/>
  <c r="R743" i="5"/>
  <c r="P743" i="5"/>
  <c r="Q743" i="5"/>
  <c r="M743" i="5"/>
  <c r="N743" i="5" s="1"/>
  <c r="O6" i="5"/>
  <c r="S6" i="5"/>
  <c r="R6" i="5"/>
  <c r="P6" i="5"/>
  <c r="Q6" i="5"/>
  <c r="M6" i="5"/>
  <c r="N6" i="5" s="1"/>
  <c r="O870" i="5"/>
  <c r="S870" i="5"/>
  <c r="R870" i="5"/>
  <c r="P870" i="5"/>
  <c r="Q870" i="5"/>
  <c r="M870" i="5"/>
  <c r="N870" i="5" s="1"/>
  <c r="O901" i="5"/>
  <c r="R901" i="5"/>
  <c r="P901" i="5"/>
  <c r="Q901" i="5"/>
  <c r="M901" i="5"/>
  <c r="N901" i="5" s="1"/>
  <c r="O569" i="5"/>
  <c r="S569" i="5"/>
  <c r="R569" i="5"/>
  <c r="P569" i="5"/>
  <c r="Q569" i="5"/>
  <c r="M569" i="5"/>
  <c r="N569" i="5" s="1"/>
  <c r="O900" i="5"/>
  <c r="M900" i="5"/>
  <c r="N900" i="5" s="1"/>
  <c r="O763" i="5"/>
  <c r="S763" i="5"/>
  <c r="R763" i="5"/>
  <c r="P763" i="5"/>
  <c r="M763" i="5"/>
  <c r="N763" i="5" s="1"/>
  <c r="O796" i="5"/>
  <c r="S796" i="5"/>
  <c r="R796" i="5"/>
  <c r="P796" i="5"/>
  <c r="Q796" i="5"/>
  <c r="M796" i="5"/>
  <c r="N796" i="5" s="1"/>
  <c r="O525" i="5"/>
  <c r="S525" i="5"/>
  <c r="R525" i="5"/>
  <c r="Q525" i="5"/>
  <c r="P525" i="5"/>
  <c r="M525" i="5"/>
  <c r="N525" i="5" s="1"/>
  <c r="O447" i="5"/>
  <c r="R447" i="5"/>
  <c r="Q447" i="5"/>
  <c r="P447" i="5"/>
  <c r="M447" i="5"/>
  <c r="N447" i="5" s="1"/>
  <c r="O306" i="5"/>
  <c r="P306" i="5"/>
  <c r="Q306" i="5"/>
  <c r="M306" i="5"/>
  <c r="N306" i="5" s="1"/>
  <c r="O878" i="5"/>
  <c r="S878" i="5"/>
  <c r="M878" i="5"/>
  <c r="N878" i="5" s="1"/>
  <c r="O716" i="5"/>
  <c r="S716" i="5"/>
  <c r="R716" i="5"/>
  <c r="P716" i="5"/>
  <c r="M716" i="5"/>
  <c r="N716" i="5" s="1"/>
  <c r="O103" i="5"/>
  <c r="S103" i="5"/>
  <c r="R103" i="5"/>
  <c r="P103" i="5"/>
  <c r="Q103" i="5"/>
  <c r="M103" i="5"/>
  <c r="N103" i="5" s="1"/>
  <c r="O507" i="5"/>
  <c r="S507" i="5"/>
  <c r="R507" i="5"/>
  <c r="Q507" i="5"/>
  <c r="P507" i="5"/>
  <c r="M507" i="5"/>
  <c r="N507" i="5" s="1"/>
  <c r="K964" i="5"/>
  <c r="Y964" i="5" s="1"/>
  <c r="K298" i="5"/>
  <c r="Y298" i="5" s="1"/>
  <c r="K367" i="5"/>
  <c r="Y367" i="5" s="1"/>
  <c r="K859" i="5"/>
  <c r="Y859" i="5" s="1"/>
  <c r="J859" i="5"/>
  <c r="X859" i="5" s="1"/>
  <c r="K951" i="5"/>
  <c r="Y951" i="5" s="1"/>
  <c r="J951" i="5"/>
  <c r="X951" i="5" s="1"/>
  <c r="K678" i="5"/>
  <c r="Y678" i="5" s="1"/>
  <c r="J678" i="5"/>
  <c r="K908" i="5"/>
  <c r="Y908" i="5" s="1"/>
  <c r="J908" i="5"/>
  <c r="K611" i="5"/>
  <c r="Y611" i="5" s="1"/>
  <c r="J611" i="5"/>
  <c r="K962" i="5"/>
  <c r="Y962" i="5" s="1"/>
  <c r="J962" i="5"/>
  <c r="K675" i="5"/>
  <c r="Y675" i="5" s="1"/>
  <c r="J675" i="5"/>
  <c r="K662" i="5"/>
  <c r="Y662" i="5" s="1"/>
  <c r="J662" i="5"/>
  <c r="K552" i="5"/>
  <c r="Y552" i="5" s="1"/>
  <c r="J552" i="5"/>
  <c r="K986" i="5"/>
  <c r="Y986" i="5" s="1"/>
  <c r="J986" i="5"/>
  <c r="K944" i="5"/>
  <c r="Y944" i="5" s="1"/>
  <c r="J944" i="5"/>
  <c r="X944" i="5" s="1"/>
  <c r="K792" i="5"/>
  <c r="Y792" i="5" s="1"/>
  <c r="J792" i="5"/>
  <c r="X792" i="5" s="1"/>
  <c r="K293" i="5"/>
  <c r="Y293" i="5" s="1"/>
  <c r="J293" i="5"/>
  <c r="K635" i="5"/>
  <c r="Y635" i="5" s="1"/>
  <c r="J635" i="5"/>
  <c r="K770" i="5"/>
  <c r="Y770" i="5" s="1"/>
  <c r="J770" i="5"/>
  <c r="K354" i="5"/>
  <c r="Y354" i="5" s="1"/>
  <c r="J354" i="5"/>
  <c r="X354" i="5" s="1"/>
  <c r="K694" i="5"/>
  <c r="Y694" i="5" s="1"/>
  <c r="J694" i="5"/>
  <c r="K982" i="5"/>
  <c r="Y982" i="5" s="1"/>
  <c r="J982" i="5"/>
  <c r="K286" i="5"/>
  <c r="Y286" i="5" s="1"/>
  <c r="J286" i="5"/>
  <c r="K784" i="5"/>
  <c r="Y784" i="5" s="1"/>
  <c r="J784" i="5"/>
  <c r="K777" i="5"/>
  <c r="Y777" i="5" s="1"/>
  <c r="J777" i="5"/>
  <c r="K11" i="5"/>
  <c r="J11" i="5"/>
  <c r="K741" i="5"/>
  <c r="Y741" i="5" s="1"/>
  <c r="J741" i="5"/>
  <c r="K598" i="5"/>
  <c r="J598" i="5"/>
  <c r="K819" i="5"/>
  <c r="Y819" i="5" s="1"/>
  <c r="J819" i="5"/>
  <c r="K695" i="5"/>
  <c r="Y695" i="5" s="1"/>
  <c r="J695" i="5"/>
  <c r="K813" i="5"/>
  <c r="Y813" i="5" s="1"/>
  <c r="J813" i="5"/>
  <c r="K831" i="5"/>
  <c r="Y831" i="5" s="1"/>
  <c r="J831" i="5"/>
  <c r="K630" i="5"/>
  <c r="Y630" i="5" s="1"/>
  <c r="J630" i="5"/>
  <c r="K479" i="5"/>
  <c r="Y479" i="5" s="1"/>
  <c r="J479" i="5"/>
  <c r="X479" i="5" s="1"/>
  <c r="K875" i="5"/>
  <c r="Y875" i="5" s="1"/>
  <c r="J875" i="5"/>
  <c r="K396" i="5"/>
  <c r="Y396" i="5" s="1"/>
  <c r="J396" i="5"/>
  <c r="X396" i="5" s="1"/>
  <c r="K718" i="5"/>
  <c r="Y718" i="5" s="1"/>
  <c r="J718" i="5"/>
  <c r="K663" i="5"/>
  <c r="Y663" i="5" s="1"/>
  <c r="J663" i="5"/>
  <c r="X663" i="5" s="1"/>
  <c r="K641" i="5"/>
  <c r="Y641" i="5" s="1"/>
  <c r="J641" i="5"/>
  <c r="K116" i="5"/>
  <c r="Y116" i="5" s="1"/>
  <c r="J116" i="5"/>
  <c r="X116" i="5" s="1"/>
  <c r="K933" i="5"/>
  <c r="Y933" i="5" s="1"/>
  <c r="J933" i="5"/>
  <c r="X933" i="5" s="1"/>
  <c r="K243" i="5"/>
  <c r="Y243" i="5" s="1"/>
  <c r="J243" i="5"/>
  <c r="K943" i="5"/>
  <c r="Y943" i="5" s="1"/>
  <c r="J943" i="5"/>
  <c r="K22" i="5"/>
  <c r="Y22" i="5" s="1"/>
  <c r="J22" i="5"/>
  <c r="X22" i="5" s="1"/>
  <c r="K4" i="5"/>
  <c r="Y4" i="5" s="1"/>
  <c r="J4" i="5"/>
  <c r="K180" i="5"/>
  <c r="Y180" i="5" s="1"/>
  <c r="J180" i="5"/>
  <c r="X180" i="5" s="1"/>
  <c r="K8" i="5"/>
  <c r="Y8" i="5" s="1"/>
  <c r="J8" i="5"/>
  <c r="K87" i="5"/>
  <c r="Y87" i="5" s="1"/>
  <c r="J87" i="5"/>
  <c r="K788" i="5"/>
  <c r="Y788" i="5" s="1"/>
  <c r="J788" i="5"/>
  <c r="K190" i="5"/>
  <c r="Y190" i="5" s="1"/>
  <c r="J190" i="5"/>
  <c r="X190" i="5" s="1"/>
  <c r="K51" i="5"/>
  <c r="Y51" i="5" s="1"/>
  <c r="J51" i="5"/>
  <c r="K790" i="5"/>
  <c r="Y790" i="5" s="1"/>
  <c r="J790" i="5"/>
  <c r="K504" i="5"/>
  <c r="Y504" i="5" s="1"/>
  <c r="J504" i="5"/>
  <c r="X504" i="5" s="1"/>
  <c r="K36" i="5"/>
  <c r="Y36" i="5" s="1"/>
  <c r="J36" i="5"/>
  <c r="K235" i="5"/>
  <c r="Y235" i="5" s="1"/>
  <c r="J235" i="5"/>
  <c r="K613" i="5"/>
  <c r="Y613" i="5" s="1"/>
  <c r="J613" i="5"/>
  <c r="K38" i="5"/>
  <c r="Y38" i="5" s="1"/>
  <c r="J38" i="5"/>
  <c r="X38" i="5" s="1"/>
  <c r="K674" i="5"/>
  <c r="Y674" i="5" s="1"/>
  <c r="J674" i="5"/>
  <c r="K477" i="5"/>
  <c r="Y477" i="5" s="1"/>
  <c r="J477" i="5"/>
  <c r="K275" i="5"/>
  <c r="Y275" i="5" s="1"/>
  <c r="J275" i="5"/>
  <c r="K203" i="5"/>
  <c r="Y203" i="5" s="1"/>
  <c r="J203" i="5"/>
  <c r="K979" i="5"/>
  <c r="Y979" i="5" s="1"/>
  <c r="J979" i="5"/>
  <c r="K2" i="5"/>
  <c r="Y2" i="5" s="1"/>
  <c r="J2" i="5"/>
  <c r="K230" i="5"/>
  <c r="Y230" i="5" s="1"/>
  <c r="J230" i="5"/>
  <c r="K309" i="5"/>
  <c r="Y309" i="5" s="1"/>
  <c r="J309" i="5"/>
  <c r="X309" i="5" s="1"/>
  <c r="K902" i="5"/>
  <c r="Y902" i="5" s="1"/>
  <c r="J902" i="5"/>
  <c r="K224" i="5"/>
  <c r="Y224" i="5" s="1"/>
  <c r="J224" i="5"/>
  <c r="K664" i="5"/>
  <c r="Y664" i="5" s="1"/>
  <c r="J664" i="5"/>
  <c r="K733" i="5"/>
  <c r="Y733" i="5" s="1"/>
  <c r="J733" i="5"/>
  <c r="K280" i="5"/>
  <c r="Y280" i="5" s="1"/>
  <c r="J280" i="5"/>
  <c r="K266" i="5"/>
  <c r="Y266" i="5" s="1"/>
  <c r="J266" i="5"/>
  <c r="X266" i="5" s="1"/>
  <c r="K803" i="5"/>
  <c r="Y803" i="5" s="1"/>
  <c r="J803" i="5"/>
  <c r="X803" i="5" s="1"/>
  <c r="K415" i="5"/>
  <c r="Y415" i="5" s="1"/>
  <c r="J415" i="5"/>
  <c r="K276" i="5"/>
  <c r="Y276" i="5" s="1"/>
  <c r="J276" i="5"/>
  <c r="K726" i="5"/>
  <c r="Y726" i="5" s="1"/>
  <c r="J726" i="5"/>
  <c r="K351" i="5"/>
  <c r="Y351" i="5" s="1"/>
  <c r="J351" i="5"/>
  <c r="K347" i="5"/>
  <c r="Y347" i="5" s="1"/>
  <c r="J347" i="5"/>
  <c r="K532" i="5"/>
  <c r="J532" i="5"/>
  <c r="K655" i="5"/>
  <c r="Y655" i="5" s="1"/>
  <c r="J655" i="5"/>
  <c r="K362" i="5"/>
  <c r="Y362" i="5" s="1"/>
  <c r="J362" i="5"/>
  <c r="K543" i="5"/>
  <c r="Y543" i="5" s="1"/>
  <c r="J543" i="5"/>
  <c r="K849" i="5"/>
  <c r="Y849" i="5" s="1"/>
  <c r="J849" i="5"/>
  <c r="K795" i="5"/>
  <c r="Y795" i="5" s="1"/>
  <c r="J795" i="5"/>
  <c r="K868" i="5"/>
  <c r="J868" i="5"/>
  <c r="L136" i="5"/>
  <c r="Z136" i="5" s="1"/>
  <c r="L95" i="5"/>
  <c r="Z95" i="5" s="1"/>
  <c r="L90" i="5"/>
  <c r="Z90" i="5" s="1"/>
  <c r="L42" i="5"/>
  <c r="Z42" i="5" s="1"/>
  <c r="L768" i="5"/>
  <c r="Z768" i="5" s="1"/>
  <c r="L621" i="5"/>
  <c r="Z621" i="5" s="1"/>
  <c r="L818" i="5"/>
  <c r="Z818" i="5" s="1"/>
  <c r="L880" i="5"/>
  <c r="Z880" i="5" s="1"/>
  <c r="L364" i="5"/>
  <c r="Z364" i="5" s="1"/>
  <c r="L518" i="5"/>
  <c r="Z518" i="5" s="1"/>
  <c r="L57" i="5"/>
  <c r="Z57" i="5" s="1"/>
  <c r="L430" i="5"/>
  <c r="Z430" i="5" s="1"/>
  <c r="L444" i="5"/>
  <c r="Z444" i="5" s="1"/>
  <c r="L194" i="5"/>
  <c r="Z194" i="5" s="1"/>
  <c r="L912" i="5"/>
  <c r="Z912" i="5" s="1"/>
  <c r="L996" i="5"/>
  <c r="Z996" i="5" s="1"/>
  <c r="L121" i="5"/>
  <c r="Z121" i="5" s="1"/>
  <c r="L423" i="5"/>
  <c r="Z423" i="5" s="1"/>
  <c r="L860" i="5"/>
  <c r="Z860" i="5" s="1"/>
  <c r="L604" i="5"/>
  <c r="Z604" i="5" s="1"/>
  <c r="L634" i="5"/>
  <c r="Z634" i="5" s="1"/>
  <c r="L963" i="5"/>
  <c r="Z963" i="5" s="1"/>
  <c r="L724" i="5"/>
  <c r="Z724" i="5" s="1"/>
  <c r="L104" i="5"/>
  <c r="Z104" i="5" s="1"/>
  <c r="L766" i="5"/>
  <c r="Z766" i="5" s="1"/>
  <c r="L296" i="5"/>
  <c r="Z296" i="5" s="1"/>
  <c r="L481" i="5"/>
  <c r="Z481" i="5" s="1"/>
  <c r="L294" i="5"/>
  <c r="Z294" i="5" s="1"/>
  <c r="L852" i="5"/>
  <c r="Z852" i="5" s="1"/>
  <c r="L614" i="5"/>
  <c r="Z614" i="5" s="1"/>
  <c r="L287" i="5"/>
  <c r="Z287" i="5" s="1"/>
  <c r="L835" i="5"/>
  <c r="Z835" i="5" s="1"/>
  <c r="L729" i="5"/>
  <c r="Z729" i="5" s="1"/>
  <c r="L734" i="5"/>
  <c r="Z734" i="5" s="1"/>
  <c r="L877" i="5"/>
  <c r="Z877" i="5" s="1"/>
  <c r="L916" i="5"/>
  <c r="Z916" i="5" s="1"/>
  <c r="L517" i="5"/>
  <c r="Z517" i="5" s="1"/>
  <c r="L637" i="5"/>
  <c r="Z637" i="5" s="1"/>
  <c r="L207" i="5"/>
  <c r="Z207" i="5" s="1"/>
  <c r="L255" i="5"/>
  <c r="Z255" i="5" s="1"/>
  <c r="L528" i="5"/>
  <c r="Z528" i="5" s="1"/>
  <c r="L300" i="5"/>
  <c r="Z300" i="5" s="1"/>
  <c r="L676" i="5"/>
  <c r="Z676" i="5" s="1"/>
  <c r="L183" i="5"/>
  <c r="Z183" i="5" s="1"/>
  <c r="L713" i="5"/>
  <c r="Z713" i="5" s="1"/>
  <c r="L374" i="5"/>
  <c r="Z374" i="5" s="1"/>
  <c r="L37" i="5"/>
  <c r="Z37" i="5" s="1"/>
  <c r="L757" i="5"/>
  <c r="Z757" i="5" s="1"/>
  <c r="L922" i="5"/>
  <c r="Z922" i="5" s="1"/>
  <c r="L881" i="5"/>
  <c r="Z881" i="5" s="1"/>
  <c r="L519" i="5"/>
  <c r="Z519" i="5" s="1"/>
  <c r="L969" i="5"/>
  <c r="Z969" i="5" s="1"/>
  <c r="L237" i="5"/>
  <c r="Z237" i="5" s="1"/>
  <c r="L88" i="5"/>
  <c r="Z88" i="5" s="1"/>
  <c r="L167" i="5"/>
  <c r="Z167" i="5" s="1"/>
  <c r="L472" i="5"/>
  <c r="Z472" i="5" s="1"/>
  <c r="L980" i="5"/>
  <c r="Z980" i="5" s="1"/>
  <c r="L501" i="5"/>
  <c r="Z501" i="5" s="1"/>
  <c r="L721" i="5"/>
  <c r="Z721" i="5" s="1"/>
  <c r="L756" i="5"/>
  <c r="Z756" i="5" s="1"/>
  <c r="L602" i="5"/>
  <c r="Z602" i="5" s="1"/>
  <c r="L797" i="5"/>
  <c r="Z797" i="5" s="1"/>
  <c r="L376" i="5"/>
  <c r="Z376" i="5" s="1"/>
  <c r="L906" i="5"/>
  <c r="Z906" i="5" s="1"/>
  <c r="L523" i="5"/>
  <c r="Z523" i="5" s="1"/>
  <c r="L890" i="5"/>
  <c r="Z890" i="5" s="1"/>
  <c r="L904" i="5"/>
  <c r="Z904" i="5" s="1"/>
  <c r="L853" i="5"/>
  <c r="Z853" i="5" s="1"/>
  <c r="L800" i="5"/>
  <c r="Z800" i="5" s="1"/>
  <c r="L654" i="5"/>
  <c r="Z654" i="5" s="1"/>
  <c r="L897" i="5"/>
  <c r="Z897" i="5" s="1"/>
  <c r="L801" i="5"/>
  <c r="Z801" i="5" s="1"/>
  <c r="L277" i="5"/>
  <c r="Z277" i="5" s="1"/>
  <c r="L193" i="5"/>
  <c r="Z193" i="5" s="1"/>
  <c r="L340" i="5"/>
  <c r="Z340" i="5" s="1"/>
  <c r="L301" i="5"/>
  <c r="Z301" i="5" s="1"/>
  <c r="L81" i="5"/>
  <c r="Z81" i="5" s="1"/>
  <c r="L758" i="5"/>
  <c r="Z758" i="5" s="1"/>
  <c r="L573" i="5"/>
  <c r="Z573" i="5" s="1"/>
  <c r="L882" i="5"/>
  <c r="Z882" i="5" s="1"/>
  <c r="L212" i="5"/>
  <c r="Z212" i="5" s="1"/>
  <c r="L412" i="5"/>
  <c r="Z412" i="5" s="1"/>
  <c r="L30" i="5"/>
  <c r="Z30" i="5" s="1"/>
  <c r="J328" i="5"/>
  <c r="J991" i="5"/>
  <c r="J583" i="5"/>
  <c r="J290" i="5"/>
  <c r="O41" i="5"/>
  <c r="R41" i="5"/>
  <c r="S41" i="5"/>
  <c r="M41" i="5"/>
  <c r="N41" i="5" s="1"/>
  <c r="O798" i="5"/>
  <c r="S798" i="5"/>
  <c r="P798" i="5"/>
  <c r="Q798" i="5"/>
  <c r="M798" i="5"/>
  <c r="N798" i="5" s="1"/>
  <c r="O251" i="5"/>
  <c r="P251" i="5"/>
  <c r="M251" i="5"/>
  <c r="N251" i="5" s="1"/>
  <c r="O572" i="5"/>
  <c r="R572" i="5"/>
  <c r="S572" i="5"/>
  <c r="P572" i="5"/>
  <c r="Q572" i="5"/>
  <c r="M572" i="5"/>
  <c r="N572" i="5" s="1"/>
  <c r="O83" i="5"/>
  <c r="R83" i="5"/>
  <c r="P83" i="5"/>
  <c r="Q83" i="5"/>
  <c r="M83" i="5"/>
  <c r="N83" i="5" s="1"/>
  <c r="O554" i="5"/>
  <c r="R554" i="5"/>
  <c r="P554" i="5"/>
  <c r="Q554" i="5"/>
  <c r="M554" i="5"/>
  <c r="N554" i="5" s="1"/>
  <c r="O585" i="5"/>
  <c r="R585" i="5"/>
  <c r="S585" i="5"/>
  <c r="M585" i="5"/>
  <c r="N585" i="5" s="1"/>
  <c r="O92" i="5"/>
  <c r="P92" i="5"/>
  <c r="M92" i="5"/>
  <c r="N92" i="5" s="1"/>
  <c r="O515" i="5"/>
  <c r="S515" i="5"/>
  <c r="P515" i="5"/>
  <c r="Q515" i="5"/>
  <c r="M515" i="5"/>
  <c r="N515" i="5" s="1"/>
  <c r="O618" i="5"/>
  <c r="R618" i="5"/>
  <c r="S618" i="5"/>
  <c r="P618" i="5"/>
  <c r="Q618" i="5"/>
  <c r="M618" i="5"/>
  <c r="N618" i="5" s="1"/>
  <c r="O590" i="5"/>
  <c r="P590" i="5"/>
  <c r="Q590" i="5"/>
  <c r="M590" i="5"/>
  <c r="N590" i="5" s="1"/>
  <c r="O252" i="5"/>
  <c r="R252" i="5"/>
  <c r="S252" i="5"/>
  <c r="P252" i="5"/>
  <c r="Q252" i="5"/>
  <c r="M252" i="5"/>
  <c r="N252" i="5" s="1"/>
  <c r="O512" i="5"/>
  <c r="R512" i="5"/>
  <c r="S512" i="5"/>
  <c r="M512" i="5"/>
  <c r="N512" i="5" s="1"/>
  <c r="O231" i="5"/>
  <c r="S231" i="5"/>
  <c r="P231" i="5"/>
  <c r="Q231" i="5"/>
  <c r="M231" i="5"/>
  <c r="N231" i="5" s="1"/>
  <c r="O225" i="5"/>
  <c r="P225" i="5"/>
  <c r="M225" i="5"/>
  <c r="N225" i="5" s="1"/>
  <c r="O625" i="5"/>
  <c r="R625" i="5"/>
  <c r="S625" i="5"/>
  <c r="P625" i="5"/>
  <c r="Q625" i="5"/>
  <c r="M625" i="5"/>
  <c r="N625" i="5" s="1"/>
  <c r="O149" i="5"/>
  <c r="R149" i="5"/>
  <c r="P149" i="5"/>
  <c r="Q149" i="5"/>
  <c r="M149" i="5"/>
  <c r="N149" i="5" s="1"/>
  <c r="O397" i="5"/>
  <c r="S397" i="5"/>
  <c r="P397" i="5"/>
  <c r="Q397" i="5"/>
  <c r="M397" i="5"/>
  <c r="N397" i="5" s="1"/>
  <c r="O494" i="5"/>
  <c r="R494" i="5"/>
  <c r="S494" i="5"/>
  <c r="M494" i="5"/>
  <c r="N494" i="5" s="1"/>
  <c r="O845" i="5"/>
  <c r="P845" i="5"/>
  <c r="Q845" i="5"/>
  <c r="M845" i="5"/>
  <c r="N845" i="5" s="1"/>
  <c r="O783" i="5"/>
  <c r="R783" i="5"/>
  <c r="S783" i="5"/>
  <c r="P783" i="5"/>
  <c r="Q783" i="5"/>
  <c r="M783" i="5"/>
  <c r="N783" i="5" s="1"/>
  <c r="O195" i="5"/>
  <c r="R195" i="5"/>
  <c r="S195" i="5"/>
  <c r="P195" i="5"/>
  <c r="Q195" i="5"/>
  <c r="M195" i="5"/>
  <c r="N195" i="5" s="1"/>
  <c r="O959" i="5"/>
  <c r="R959" i="5"/>
  <c r="P959" i="5"/>
  <c r="Q959" i="5"/>
  <c r="M959" i="5"/>
  <c r="N959" i="5" s="1"/>
  <c r="O566" i="5"/>
  <c r="R566" i="5"/>
  <c r="S566" i="5"/>
  <c r="P566" i="5"/>
  <c r="Q566" i="5"/>
  <c r="M566" i="5"/>
  <c r="N566" i="5" s="1"/>
  <c r="O597" i="5"/>
  <c r="R597" i="5"/>
  <c r="S597" i="5"/>
  <c r="M597" i="5"/>
  <c r="N597" i="5" s="1"/>
  <c r="O191" i="5"/>
  <c r="S191" i="5"/>
  <c r="P191" i="5"/>
  <c r="M191" i="5"/>
  <c r="N191" i="5" s="1"/>
  <c r="O110" i="5"/>
  <c r="P110" i="5"/>
  <c r="Q110" i="5"/>
  <c r="M110" i="5"/>
  <c r="N110" i="5" s="1"/>
  <c r="O689" i="5"/>
  <c r="R689" i="5"/>
  <c r="S689" i="5"/>
  <c r="P689" i="5"/>
  <c r="Q689" i="5"/>
  <c r="M689" i="5"/>
  <c r="N689" i="5" s="1"/>
  <c r="O799" i="5"/>
  <c r="R799" i="5"/>
  <c r="P799" i="5"/>
  <c r="Q799" i="5"/>
  <c r="M799" i="5"/>
  <c r="N799" i="5" s="1"/>
  <c r="O391" i="5"/>
  <c r="R391" i="5"/>
  <c r="P391" i="5"/>
  <c r="Q391" i="5"/>
  <c r="M391" i="5"/>
  <c r="N391" i="5" s="1"/>
  <c r="O461" i="5"/>
  <c r="R461" i="5"/>
  <c r="S461" i="5"/>
  <c r="M461" i="5"/>
  <c r="N461" i="5" s="1"/>
  <c r="O419" i="5"/>
  <c r="P419" i="5"/>
  <c r="M419" i="5"/>
  <c r="N419" i="5" s="1"/>
  <c r="O811" i="5"/>
  <c r="S811" i="5"/>
  <c r="P811" i="5"/>
  <c r="M811" i="5"/>
  <c r="N811" i="5" s="1"/>
  <c r="O432" i="5"/>
  <c r="R432" i="5"/>
  <c r="S432" i="5"/>
  <c r="P432" i="5"/>
  <c r="Q432" i="5"/>
  <c r="M432" i="5"/>
  <c r="N432" i="5" s="1"/>
  <c r="O459" i="5"/>
  <c r="R459" i="5"/>
  <c r="P459" i="5"/>
  <c r="Q459" i="5"/>
  <c r="M459" i="5"/>
  <c r="N459" i="5" s="1"/>
  <c r="O126" i="5"/>
  <c r="R126" i="5"/>
  <c r="S126" i="5"/>
  <c r="P126" i="5"/>
  <c r="Q126" i="5"/>
  <c r="M126" i="5"/>
  <c r="N126" i="5" s="1"/>
  <c r="O318" i="5"/>
  <c r="R318" i="5"/>
  <c r="S318" i="5"/>
  <c r="M318" i="5"/>
  <c r="N318" i="5" s="1"/>
  <c r="O723" i="5"/>
  <c r="S723" i="5"/>
  <c r="P723" i="5"/>
  <c r="M723" i="5"/>
  <c r="N723" i="5" s="1"/>
  <c r="O701" i="5"/>
  <c r="P701" i="5"/>
  <c r="Q701" i="5"/>
  <c r="M701" i="5"/>
  <c r="N701" i="5" s="1"/>
  <c r="O1000" i="5"/>
  <c r="R1000" i="5"/>
  <c r="S1000" i="5"/>
  <c r="P1000" i="5"/>
  <c r="Q1000" i="5"/>
  <c r="M1000" i="5"/>
  <c r="N1000" i="5" s="1"/>
  <c r="O39" i="5"/>
  <c r="R39" i="5"/>
  <c r="S39" i="5"/>
  <c r="P39" i="5"/>
  <c r="Q39" i="5"/>
  <c r="M39" i="5"/>
  <c r="N39" i="5" s="1"/>
  <c r="O455" i="5"/>
  <c r="R455" i="5"/>
  <c r="P455" i="5"/>
  <c r="Q455" i="5"/>
  <c r="M455" i="5"/>
  <c r="N455" i="5" s="1"/>
  <c r="O58" i="5"/>
  <c r="R58" i="5"/>
  <c r="S58" i="5"/>
  <c r="M58" i="5"/>
  <c r="N58" i="5" s="1"/>
  <c r="O601" i="5"/>
  <c r="S601" i="5"/>
  <c r="P601" i="5"/>
  <c r="M601" i="5"/>
  <c r="N601" i="5" s="1"/>
  <c r="O316" i="5"/>
  <c r="S316" i="5"/>
  <c r="P316" i="5"/>
  <c r="M316" i="5"/>
  <c r="N316" i="5" s="1"/>
  <c r="O74" i="5"/>
  <c r="R74" i="5"/>
  <c r="S74" i="5"/>
  <c r="P74" i="5"/>
  <c r="Q74" i="5"/>
  <c r="M74" i="5"/>
  <c r="N74" i="5" s="1"/>
  <c r="O606" i="5"/>
  <c r="R606" i="5"/>
  <c r="P606" i="5"/>
  <c r="Q606" i="5"/>
  <c r="M606" i="5"/>
  <c r="N606" i="5" s="1"/>
  <c r="O384" i="5"/>
  <c r="R384" i="5"/>
  <c r="S384" i="5"/>
  <c r="P384" i="5"/>
  <c r="Q384" i="5"/>
  <c r="M384" i="5"/>
  <c r="N384" i="5" s="1"/>
  <c r="O32" i="5"/>
  <c r="R32" i="5"/>
  <c r="S32" i="5"/>
  <c r="M32" i="5"/>
  <c r="N32" i="5" s="1"/>
  <c r="O839" i="5"/>
  <c r="S839" i="5"/>
  <c r="P839" i="5"/>
  <c r="Q839" i="5"/>
  <c r="M839" i="5"/>
  <c r="N839" i="5" s="1"/>
  <c r="O857" i="5"/>
  <c r="S857" i="5"/>
  <c r="P857" i="5"/>
  <c r="Q857" i="5"/>
  <c r="M857" i="5"/>
  <c r="N857" i="5" s="1"/>
  <c r="O256" i="5"/>
  <c r="R256" i="5"/>
  <c r="S256" i="5"/>
  <c r="P256" i="5"/>
  <c r="Q256" i="5"/>
  <c r="M256" i="5"/>
  <c r="N256" i="5" s="1"/>
  <c r="O754" i="5"/>
  <c r="R754" i="5"/>
  <c r="P754" i="5"/>
  <c r="Q754" i="5"/>
  <c r="M754" i="5"/>
  <c r="N754" i="5" s="1"/>
  <c r="O626" i="5"/>
  <c r="R626" i="5"/>
  <c r="P626" i="5"/>
  <c r="Q626" i="5"/>
  <c r="M626" i="5"/>
  <c r="N626" i="5" s="1"/>
  <c r="O521" i="5"/>
  <c r="R521" i="5"/>
  <c r="S521" i="5"/>
  <c r="P521" i="5"/>
  <c r="M521" i="5"/>
  <c r="N521" i="5" s="1"/>
  <c r="O257" i="5"/>
  <c r="P257" i="5"/>
  <c r="Q257" i="5"/>
  <c r="M257" i="5"/>
  <c r="N257" i="5" s="1"/>
  <c r="O348" i="5"/>
  <c r="R348" i="5"/>
  <c r="S348" i="5"/>
  <c r="P348" i="5"/>
  <c r="Q348" i="5"/>
  <c r="M348" i="5"/>
  <c r="N348" i="5" s="1"/>
  <c r="O948" i="5"/>
  <c r="R948" i="5"/>
  <c r="S948" i="5"/>
  <c r="P948" i="5"/>
  <c r="Q948" i="5"/>
  <c r="M948" i="5"/>
  <c r="N948" i="5" s="1"/>
  <c r="O570" i="5"/>
  <c r="R570" i="5"/>
  <c r="P570" i="5"/>
  <c r="Q570" i="5"/>
  <c r="M570" i="5"/>
  <c r="N570" i="5" s="1"/>
  <c r="O961" i="5"/>
  <c r="R961" i="5"/>
  <c r="S961" i="5"/>
  <c r="P961" i="5"/>
  <c r="Q961" i="5"/>
  <c r="M961" i="5"/>
  <c r="N961" i="5" s="1"/>
  <c r="O101" i="5"/>
  <c r="R101" i="5"/>
  <c r="S101" i="5"/>
  <c r="P101" i="5"/>
  <c r="M101" i="5"/>
  <c r="N101" i="5" s="1"/>
  <c r="O106" i="5"/>
  <c r="S106" i="5"/>
  <c r="P106" i="5"/>
  <c r="M106" i="5"/>
  <c r="N106" i="5" s="1"/>
  <c r="O703" i="5"/>
  <c r="S703" i="5"/>
  <c r="P703" i="5"/>
  <c r="Q703" i="5"/>
  <c r="M703" i="5"/>
  <c r="N703" i="5" s="1"/>
  <c r="O314" i="5"/>
  <c r="R314" i="5"/>
  <c r="S314" i="5"/>
  <c r="P314" i="5"/>
  <c r="Q314" i="5"/>
  <c r="M314" i="5"/>
  <c r="N314" i="5" s="1"/>
  <c r="O887" i="5"/>
  <c r="R887" i="5"/>
  <c r="S887" i="5"/>
  <c r="P887" i="5"/>
  <c r="Q887" i="5"/>
  <c r="M887" i="5"/>
  <c r="N887" i="5" s="1"/>
  <c r="O14" i="5"/>
  <c r="R14" i="5"/>
  <c r="P14" i="5"/>
  <c r="Q14" i="5"/>
  <c r="M14" i="5"/>
  <c r="N14" i="5" s="1"/>
  <c r="O891" i="5"/>
  <c r="R891" i="5"/>
  <c r="S891" i="5"/>
  <c r="M891" i="5"/>
  <c r="N891" i="5" s="1"/>
  <c r="O752" i="5"/>
  <c r="R752" i="5"/>
  <c r="M752" i="5"/>
  <c r="N752" i="5" s="1"/>
  <c r="O771" i="5"/>
  <c r="R771" i="5"/>
  <c r="S771" i="5"/>
  <c r="P771" i="5"/>
  <c r="M771" i="5"/>
  <c r="N771" i="5" s="1"/>
  <c r="O138" i="5"/>
  <c r="R138" i="5"/>
  <c r="S138" i="5"/>
  <c r="P138" i="5"/>
  <c r="Q138" i="5"/>
  <c r="M138" i="5"/>
  <c r="N138" i="5" s="1"/>
  <c r="O889" i="5"/>
  <c r="R889" i="5"/>
  <c r="P889" i="5"/>
  <c r="Q889" i="5"/>
  <c r="M889" i="5"/>
  <c r="N889" i="5" s="1"/>
  <c r="O182" i="5"/>
  <c r="R182" i="5"/>
  <c r="S182" i="5"/>
  <c r="P182" i="5"/>
  <c r="Q182" i="5"/>
  <c r="M182" i="5"/>
  <c r="N182" i="5" s="1"/>
  <c r="O378" i="5"/>
  <c r="R378" i="5"/>
  <c r="S378" i="5"/>
  <c r="M378" i="5"/>
  <c r="N378" i="5" s="1"/>
  <c r="O68" i="5"/>
  <c r="S68" i="5"/>
  <c r="P68" i="5"/>
  <c r="M68" i="5"/>
  <c r="N68" i="5" s="1"/>
  <c r="O360" i="5"/>
  <c r="R360" i="5"/>
  <c r="S360" i="5"/>
  <c r="P360" i="5"/>
  <c r="M360" i="5"/>
  <c r="N360" i="5" s="1"/>
  <c r="O161" i="5"/>
  <c r="R161" i="5"/>
  <c r="S161" i="5"/>
  <c r="P161" i="5"/>
  <c r="Q161" i="5"/>
  <c r="M161" i="5"/>
  <c r="N161" i="5" s="1"/>
  <c r="O485" i="5"/>
  <c r="R485" i="5"/>
  <c r="P485" i="5"/>
  <c r="Q485" i="5"/>
  <c r="M485" i="5"/>
  <c r="N485" i="5" s="1"/>
  <c r="O967" i="5"/>
  <c r="P967" i="5"/>
  <c r="Q967" i="5"/>
  <c r="M967" i="5"/>
  <c r="N967" i="5" s="1"/>
  <c r="O335" i="5"/>
  <c r="S335" i="5"/>
  <c r="P335" i="5"/>
  <c r="M335" i="5"/>
  <c r="N335" i="5" s="1"/>
  <c r="O154" i="5"/>
  <c r="R154" i="5"/>
  <c r="M154" i="5"/>
  <c r="N154" i="5" s="1"/>
  <c r="O941" i="5"/>
  <c r="R941" i="5"/>
  <c r="S941" i="5"/>
  <c r="P941" i="5"/>
  <c r="M941" i="5"/>
  <c r="N941" i="5" s="1"/>
  <c r="O628" i="5"/>
  <c r="R628" i="5"/>
  <c r="S628" i="5"/>
  <c r="P628" i="5"/>
  <c r="Q628" i="5"/>
  <c r="M628" i="5"/>
  <c r="N628" i="5" s="1"/>
  <c r="O322" i="5"/>
  <c r="R322" i="5"/>
  <c r="S322" i="5"/>
  <c r="P322" i="5"/>
  <c r="Q322" i="5"/>
  <c r="M322" i="5"/>
  <c r="N322" i="5" s="1"/>
  <c r="O931" i="5"/>
  <c r="R931" i="5"/>
  <c r="P931" i="5"/>
  <c r="Q931" i="5"/>
  <c r="M931" i="5"/>
  <c r="N931" i="5" s="1"/>
  <c r="K910" i="5"/>
  <c r="Y910" i="5" s="1"/>
  <c r="K209" i="5"/>
  <c r="Y209" i="5" s="1"/>
  <c r="K440" i="5"/>
  <c r="Y440" i="5" s="1"/>
  <c r="K495" i="5"/>
  <c r="Y495" i="5" s="1"/>
  <c r="K434" i="5"/>
  <c r="Y434" i="5" s="1"/>
  <c r="K640" i="5"/>
  <c r="Y640" i="5" s="1"/>
  <c r="K946" i="5"/>
  <c r="Y946" i="5" s="1"/>
  <c r="K680" i="5"/>
  <c r="Y680" i="5" s="1"/>
  <c r="K178" i="5"/>
  <c r="Y178" i="5" s="1"/>
  <c r="K451" i="5"/>
  <c r="Y451" i="5" s="1"/>
  <c r="K510" i="5"/>
  <c r="Y510" i="5" s="1"/>
  <c r="K837" i="5"/>
  <c r="Y837" i="5" s="1"/>
  <c r="K330" i="5"/>
  <c r="Y330" i="5" s="1"/>
  <c r="K775" i="5"/>
  <c r="Y775" i="5" s="1"/>
  <c r="K246" i="5"/>
  <c r="Y246" i="5" s="1"/>
  <c r="K520" i="5"/>
  <c r="Y520" i="5" s="1"/>
  <c r="K786" i="5"/>
  <c r="Y786" i="5" s="1"/>
  <c r="K785" i="5"/>
  <c r="Y785" i="5" s="1"/>
  <c r="K67" i="5"/>
  <c r="Y67" i="5" s="1"/>
  <c r="K131" i="5"/>
  <c r="Y131" i="5" s="1"/>
  <c r="K496" i="5"/>
  <c r="Y496" i="5" s="1"/>
  <c r="K985" i="5"/>
  <c r="Y985" i="5" s="1"/>
  <c r="K580" i="5"/>
  <c r="Y580" i="5" s="1"/>
  <c r="K34" i="5"/>
  <c r="Y34" i="5" s="1"/>
  <c r="K338" i="5"/>
  <c r="Y338" i="5" s="1"/>
  <c r="K113" i="5"/>
  <c r="Y113" i="5" s="1"/>
  <c r="K972" i="5"/>
  <c r="Y972" i="5" s="1"/>
  <c r="K549" i="5"/>
  <c r="Y549" i="5" s="1"/>
  <c r="K561" i="5"/>
  <c r="Y561" i="5" s="1"/>
  <c r="K624" i="5"/>
  <c r="Y624" i="5" s="1"/>
  <c r="K858" i="5"/>
  <c r="K381" i="5"/>
  <c r="Y381" i="5" s="1"/>
  <c r="K879" i="5"/>
  <c r="Y879" i="5" s="1"/>
  <c r="K600" i="5"/>
  <c r="Y600" i="5" s="1"/>
  <c r="K398" i="5"/>
  <c r="Y398" i="5" s="1"/>
  <c r="K370" i="5"/>
  <c r="Y370" i="5" s="1"/>
  <c r="J370" i="5"/>
  <c r="K651" i="5"/>
  <c r="Y651" i="5" s="1"/>
  <c r="J651" i="5"/>
  <c r="X651" i="5" s="1"/>
  <c r="K425" i="5"/>
  <c r="Y425" i="5" s="1"/>
  <c r="J425" i="5"/>
  <c r="X425" i="5" s="1"/>
  <c r="K236" i="5"/>
  <c r="Y236" i="5" s="1"/>
  <c r="J236" i="5"/>
  <c r="K175" i="5"/>
  <c r="Y175" i="5" s="1"/>
  <c r="J175" i="5"/>
  <c r="X175" i="5" s="1"/>
  <c r="K828" i="5"/>
  <c r="Y828" i="5" s="1"/>
  <c r="J828" i="5"/>
  <c r="K446" i="5"/>
  <c r="Y446" i="5" s="1"/>
  <c r="J446" i="5"/>
  <c r="K200" i="5"/>
  <c r="Y200" i="5" s="1"/>
  <c r="J200" i="5"/>
  <c r="K12" i="5"/>
  <c r="Y12" i="5" s="1"/>
  <c r="J12" i="5"/>
  <c r="K497" i="5"/>
  <c r="Y497" i="5" s="1"/>
  <c r="J497" i="5"/>
  <c r="K820" i="5"/>
  <c r="Y820" i="5" s="1"/>
  <c r="J820" i="5"/>
  <c r="X820" i="5" s="1"/>
  <c r="K85" i="5"/>
  <c r="Y85" i="5" s="1"/>
  <c r="J85" i="5"/>
  <c r="K589" i="5"/>
  <c r="Y589" i="5" s="1"/>
  <c r="J589" i="5"/>
  <c r="K805" i="5"/>
  <c r="Y805" i="5" s="1"/>
  <c r="J805" i="5"/>
  <c r="X805" i="5" s="1"/>
  <c r="K508" i="5"/>
  <c r="Y508" i="5" s="1"/>
  <c r="J508" i="5"/>
  <c r="K310" i="5"/>
  <c r="Y310" i="5" s="1"/>
  <c r="J310" i="5"/>
  <c r="K714" i="5"/>
  <c r="Y714" i="5" s="1"/>
  <c r="J714" i="5"/>
  <c r="K438" i="5"/>
  <c r="Y438" i="5" s="1"/>
  <c r="J438" i="5"/>
  <c r="K789" i="5"/>
  <c r="Y789" i="5" s="1"/>
  <c r="J789" i="5"/>
  <c r="K97" i="5"/>
  <c r="Y97" i="5" s="1"/>
  <c r="J97" i="5"/>
  <c r="K215" i="5"/>
  <c r="Y215" i="5" s="1"/>
  <c r="J215" i="5"/>
  <c r="X215" i="5" s="1"/>
  <c r="K491" i="5"/>
  <c r="Y491" i="5" s="1"/>
  <c r="J491" i="5"/>
  <c r="X491" i="5" s="1"/>
  <c r="K776" i="5"/>
  <c r="Y776" i="5" s="1"/>
  <c r="J776" i="5"/>
  <c r="K665" i="5"/>
  <c r="Y665" i="5" s="1"/>
  <c r="J665" i="5"/>
  <c r="K176" i="5"/>
  <c r="J176" i="5"/>
  <c r="K273" i="5"/>
  <c r="Y273" i="5" s="1"/>
  <c r="J273" i="5"/>
  <c r="K978" i="5"/>
  <c r="Y978" i="5" s="1"/>
  <c r="J978" i="5"/>
  <c r="X978" i="5" s="1"/>
  <c r="K382" i="5"/>
  <c r="Y382" i="5" s="1"/>
  <c r="J382" i="5"/>
  <c r="K926" i="5"/>
  <c r="Y926" i="5" s="1"/>
  <c r="J926" i="5"/>
  <c r="X926" i="5" s="1"/>
  <c r="K815" i="5"/>
  <c r="Y815" i="5" s="1"/>
  <c r="J815" i="5"/>
  <c r="X815" i="5" s="1"/>
  <c r="K821" i="5"/>
  <c r="Y821" i="5" s="1"/>
  <c r="J821" i="5"/>
  <c r="W821" i="5" s="1"/>
  <c r="J226" i="5"/>
  <c r="K226" i="5"/>
  <c r="Y226" i="5" s="1"/>
  <c r="K735" i="5"/>
  <c r="Y735" i="5" s="1"/>
  <c r="J735" i="5"/>
  <c r="K814" i="5"/>
  <c r="Y814" i="5" s="1"/>
  <c r="J814" i="5"/>
  <c r="K697" i="5"/>
  <c r="Y697" i="5" s="1"/>
  <c r="J697" i="5"/>
  <c r="K25" i="5"/>
  <c r="Y25" i="5" s="1"/>
  <c r="J25" i="5"/>
  <c r="K160" i="5"/>
  <c r="Y160" i="5" s="1"/>
  <c r="J160" i="5"/>
  <c r="X160" i="5" s="1"/>
  <c r="K217" i="5"/>
  <c r="Y217" i="5" s="1"/>
  <c r="J217" i="5"/>
  <c r="K281" i="5"/>
  <c r="Y281" i="5" s="1"/>
  <c r="J281" i="5"/>
  <c r="K564" i="5"/>
  <c r="J564" i="5"/>
  <c r="K953" i="5"/>
  <c r="Y953" i="5" s="1"/>
  <c r="J953" i="5"/>
  <c r="X953" i="5" s="1"/>
  <c r="K899" i="5"/>
  <c r="Y899" i="5" s="1"/>
  <c r="J899" i="5"/>
  <c r="W899" i="5" s="1"/>
  <c r="J377" i="5"/>
  <c r="X377" i="5" s="1"/>
  <c r="K377" i="5"/>
  <c r="Y377" i="5" s="1"/>
  <c r="K921" i="5"/>
  <c r="Y921" i="5" s="1"/>
  <c r="J921" i="5"/>
  <c r="K871" i="5"/>
  <c r="Y871" i="5" s="1"/>
  <c r="J871" i="5"/>
  <c r="K631" i="5"/>
  <c r="Y631" i="5" s="1"/>
  <c r="J631" i="5"/>
  <c r="K179" i="5"/>
  <c r="Y179" i="5" s="1"/>
  <c r="J179" i="5"/>
  <c r="X179" i="5" s="1"/>
  <c r="K884" i="5"/>
  <c r="Y884" i="5" s="1"/>
  <c r="J884" i="5"/>
  <c r="X884" i="5" s="1"/>
  <c r="L392" i="5"/>
  <c r="Z392" i="5" s="1"/>
  <c r="L452" i="5"/>
  <c r="Z452" i="5" s="1"/>
  <c r="L622" i="5"/>
  <c r="Z622" i="5" s="1"/>
  <c r="L469" i="5"/>
  <c r="Z469" i="5" s="1"/>
  <c r="L10" i="5"/>
  <c r="Z10" i="5" s="1"/>
  <c r="L649" i="5"/>
  <c r="Z649" i="5" s="1"/>
  <c r="L219" i="5"/>
  <c r="Z219" i="5" s="1"/>
  <c r="L119" i="5"/>
  <c r="Z119" i="5" s="1"/>
  <c r="L746" i="5"/>
  <c r="Z746" i="5" s="1"/>
  <c r="L244" i="5"/>
  <c r="Z244" i="5" s="1"/>
  <c r="L274" i="5"/>
  <c r="Z274" i="5" s="1"/>
  <c r="L607" i="5"/>
  <c r="Z607" i="5" s="1"/>
  <c r="L772" i="5"/>
  <c r="Z772" i="5" s="1"/>
  <c r="L148" i="5"/>
  <c r="Z148" i="5" s="1"/>
  <c r="L862" i="5"/>
  <c r="Z862" i="5" s="1"/>
  <c r="L550" i="5"/>
  <c r="Z550" i="5" s="1"/>
  <c r="L261" i="5"/>
  <c r="Z261" i="5" s="1"/>
  <c r="L514" i="5"/>
  <c r="Z514" i="5" s="1"/>
  <c r="L829" i="5"/>
  <c r="Z829" i="5" s="1"/>
  <c r="L692" i="5"/>
  <c r="Z692" i="5" s="1"/>
  <c r="L650" i="5"/>
  <c r="Z650" i="5" s="1"/>
  <c r="L619" i="5"/>
  <c r="Z619" i="5" s="1"/>
  <c r="L56" i="5"/>
  <c r="Z56" i="5" s="1"/>
  <c r="L755" i="5"/>
  <c r="Z755" i="5" s="1"/>
  <c r="L115" i="5"/>
  <c r="Z115" i="5" s="1"/>
  <c r="L511" i="5"/>
  <c r="Z511" i="5" s="1"/>
  <c r="L773" i="5"/>
  <c r="Z773" i="5" s="1"/>
  <c r="L15" i="5"/>
  <c r="Z15" i="5" s="1"/>
  <c r="L199" i="5"/>
  <c r="Z199" i="5" s="1"/>
  <c r="L707" i="5"/>
  <c r="Z707" i="5" s="1"/>
  <c r="L843" i="5"/>
  <c r="Z843" i="5" s="1"/>
  <c r="L737" i="5"/>
  <c r="Z737" i="5" s="1"/>
  <c r="L633" i="5"/>
  <c r="Z633" i="5" s="1"/>
  <c r="L159" i="5"/>
  <c r="Z159" i="5" s="1"/>
  <c r="L638" i="5"/>
  <c r="Z638" i="5" s="1"/>
  <c r="L970" i="5"/>
  <c r="Z970" i="5" s="1"/>
  <c r="L292" i="5"/>
  <c r="Z292" i="5" s="1"/>
  <c r="L490" i="5"/>
  <c r="Z490" i="5" s="1"/>
  <c r="L24" i="5"/>
  <c r="Z24" i="5" s="1"/>
  <c r="L196" i="5"/>
  <c r="Z196" i="5" s="1"/>
  <c r="L699" i="5"/>
  <c r="Z699" i="5" s="1"/>
  <c r="L242" i="5"/>
  <c r="Z242" i="5" s="1"/>
  <c r="L764" i="5"/>
  <c r="Z764" i="5" s="1"/>
  <c r="L368" i="5"/>
  <c r="Z368" i="5" s="1"/>
  <c r="L435" i="5"/>
  <c r="Z435" i="5" s="1"/>
  <c r="L609" i="5"/>
  <c r="Z609" i="5" s="1"/>
  <c r="L325" i="5"/>
  <c r="Z325" i="5" s="1"/>
  <c r="L284" i="5"/>
  <c r="Z284" i="5" s="1"/>
  <c r="L422" i="5"/>
  <c r="Z422" i="5" s="1"/>
  <c r="L449" i="5"/>
  <c r="Z449" i="5" s="1"/>
  <c r="L778" i="5"/>
  <c r="Z778" i="5" s="1"/>
  <c r="L500" i="5"/>
  <c r="Z500" i="5" s="1"/>
  <c r="L285" i="5"/>
  <c r="Z285" i="5" s="1"/>
  <c r="L458" i="5"/>
  <c r="Z458" i="5" s="1"/>
  <c r="L578" i="5"/>
  <c r="Z578" i="5" s="1"/>
  <c r="L876" i="5"/>
  <c r="Z876" i="5" s="1"/>
  <c r="L144" i="5"/>
  <c r="Z144" i="5" s="1"/>
  <c r="L198" i="5"/>
  <c r="Z198" i="5" s="1"/>
  <c r="L268" i="5"/>
  <c r="Z268" i="5" s="1"/>
  <c r="L72" i="5"/>
  <c r="Z72" i="5" s="1"/>
  <c r="L719" i="5"/>
  <c r="Z719" i="5" s="1"/>
  <c r="L595" i="5"/>
  <c r="Z595" i="5" s="1"/>
  <c r="L632" i="5"/>
  <c r="Z632" i="5" s="1"/>
  <c r="L71" i="5"/>
  <c r="Z71" i="5" s="1"/>
  <c r="AA71" i="5" s="1"/>
  <c r="L123" i="5"/>
  <c r="Z123" i="5" s="1"/>
  <c r="L150" i="5"/>
  <c r="Z150" i="5" s="1"/>
  <c r="L272" i="5"/>
  <c r="Z272" i="5" s="1"/>
  <c r="L576" i="5"/>
  <c r="Z576" i="5" s="1"/>
  <c r="L220" i="5"/>
  <c r="Z220" i="5" s="1"/>
  <c r="L531" i="5"/>
  <c r="Z531" i="5" s="1"/>
  <c r="L221" i="5"/>
  <c r="Z221" i="5" s="1"/>
  <c r="L684" i="5"/>
  <c r="Z684" i="5" s="1"/>
  <c r="L612" i="5"/>
  <c r="Z612" i="5" s="1"/>
  <c r="L925" i="5"/>
  <c r="Z925" i="5" s="1"/>
  <c r="L995" i="5"/>
  <c r="Z995" i="5" s="1"/>
  <c r="L989" i="5"/>
  <c r="Z989" i="5" s="1"/>
  <c r="L132" i="5"/>
  <c r="Z132" i="5" s="1"/>
  <c r="L403" i="5"/>
  <c r="L165" i="5"/>
  <c r="Z165" i="5" s="1"/>
  <c r="L669" i="5"/>
  <c r="Z669" i="5" s="1"/>
  <c r="L998" i="5"/>
  <c r="Z998" i="5" s="1"/>
  <c r="L907" i="5"/>
  <c r="Z907" i="5" s="1"/>
  <c r="L1001" i="5"/>
  <c r="Z1001" i="5" s="1"/>
  <c r="J228" i="5"/>
  <c r="X228" i="5" s="1"/>
  <c r="J298" i="5"/>
  <c r="J10" i="5"/>
  <c r="W10" i="5" s="1"/>
  <c r="J219" i="5"/>
  <c r="J550" i="5"/>
  <c r="J619" i="5"/>
  <c r="Q619" i="5" s="1"/>
  <c r="J15" i="5"/>
  <c r="J159" i="5"/>
  <c r="Q159" i="5" s="1"/>
  <c r="O136" i="5"/>
  <c r="P136" i="5"/>
  <c r="Q136" i="5"/>
  <c r="M136" i="5"/>
  <c r="N136" i="5" s="1"/>
  <c r="O95" i="5"/>
  <c r="S95" i="5"/>
  <c r="R95" i="5"/>
  <c r="M95" i="5"/>
  <c r="N95" i="5" s="1"/>
  <c r="O90" i="5"/>
  <c r="S90" i="5"/>
  <c r="R90" i="5"/>
  <c r="P90" i="5"/>
  <c r="Q90" i="5"/>
  <c r="M90" i="5"/>
  <c r="N90" i="5" s="1"/>
  <c r="O42" i="5"/>
  <c r="R42" i="5"/>
  <c r="M42" i="5"/>
  <c r="N42" i="5" s="1"/>
  <c r="O768" i="5"/>
  <c r="S768" i="5"/>
  <c r="M768" i="5"/>
  <c r="N768" i="5" s="1"/>
  <c r="O621" i="5"/>
  <c r="R621" i="5"/>
  <c r="M621" i="5"/>
  <c r="N621" i="5" s="1"/>
  <c r="O818" i="5"/>
  <c r="S818" i="5"/>
  <c r="R818" i="5"/>
  <c r="P818" i="5"/>
  <c r="Q818" i="5"/>
  <c r="M818" i="5"/>
  <c r="N818" i="5" s="1"/>
  <c r="O880" i="5"/>
  <c r="S880" i="5"/>
  <c r="R880" i="5"/>
  <c r="P880" i="5"/>
  <c r="M880" i="5"/>
  <c r="N880" i="5" s="1"/>
  <c r="O364" i="5"/>
  <c r="S364" i="5"/>
  <c r="P364" i="5"/>
  <c r="M364" i="5"/>
  <c r="N364" i="5" s="1"/>
  <c r="O518" i="5"/>
  <c r="R518" i="5"/>
  <c r="P518" i="5"/>
  <c r="Q518" i="5"/>
  <c r="M518" i="5"/>
  <c r="N518" i="5" s="1"/>
  <c r="O57" i="5"/>
  <c r="M57" i="5"/>
  <c r="N57" i="5" s="1"/>
  <c r="O430" i="5"/>
  <c r="R430" i="5"/>
  <c r="M430" i="5"/>
  <c r="N430" i="5" s="1"/>
  <c r="O444" i="5"/>
  <c r="R444" i="5"/>
  <c r="P444" i="5"/>
  <c r="Q444" i="5"/>
  <c r="M444" i="5"/>
  <c r="N444" i="5" s="1"/>
  <c r="O194" i="5"/>
  <c r="S194" i="5"/>
  <c r="R194" i="5"/>
  <c r="M194" i="5"/>
  <c r="N194" i="5" s="1"/>
  <c r="O912" i="5"/>
  <c r="S912" i="5"/>
  <c r="P912" i="5"/>
  <c r="M912" i="5"/>
  <c r="N912" i="5" s="1"/>
  <c r="O996" i="5"/>
  <c r="R996" i="5"/>
  <c r="P996" i="5"/>
  <c r="Q996" i="5"/>
  <c r="M996" i="5"/>
  <c r="N996" i="5" s="1"/>
  <c r="O121" i="5"/>
  <c r="S121" i="5"/>
  <c r="M121" i="5"/>
  <c r="N121" i="5" s="1"/>
  <c r="O423" i="5"/>
  <c r="R423" i="5"/>
  <c r="M423" i="5"/>
  <c r="N423" i="5" s="1"/>
  <c r="O860" i="5"/>
  <c r="S860" i="5"/>
  <c r="R860" i="5"/>
  <c r="P860" i="5"/>
  <c r="Q860" i="5"/>
  <c r="M860" i="5"/>
  <c r="N860" i="5" s="1"/>
  <c r="O604" i="5"/>
  <c r="S604" i="5"/>
  <c r="R604" i="5"/>
  <c r="P604" i="5"/>
  <c r="M604" i="5"/>
  <c r="N604" i="5" s="1"/>
  <c r="O634" i="5"/>
  <c r="S634" i="5"/>
  <c r="P634" i="5"/>
  <c r="Q634" i="5"/>
  <c r="M634" i="5"/>
  <c r="N634" i="5" s="1"/>
  <c r="O963" i="5"/>
  <c r="R963" i="5"/>
  <c r="P963" i="5"/>
  <c r="Q963" i="5"/>
  <c r="M963" i="5"/>
  <c r="N963" i="5" s="1"/>
  <c r="O724" i="5"/>
  <c r="Q724" i="5"/>
  <c r="M724" i="5"/>
  <c r="N724" i="5" s="1"/>
  <c r="O104" i="5"/>
  <c r="R104" i="5"/>
  <c r="M104" i="5"/>
  <c r="N104" i="5" s="1"/>
  <c r="O766" i="5"/>
  <c r="R766" i="5"/>
  <c r="P766" i="5"/>
  <c r="Q766" i="5"/>
  <c r="M766" i="5"/>
  <c r="N766" i="5" s="1"/>
  <c r="O296" i="5"/>
  <c r="S296" i="5"/>
  <c r="R296" i="5"/>
  <c r="M296" i="5"/>
  <c r="N296" i="5" s="1"/>
  <c r="O481" i="5"/>
  <c r="S481" i="5"/>
  <c r="P481" i="5"/>
  <c r="M481" i="5"/>
  <c r="N481" i="5" s="1"/>
  <c r="O294" i="5"/>
  <c r="R294" i="5"/>
  <c r="P294" i="5"/>
  <c r="Q294" i="5"/>
  <c r="M294" i="5"/>
  <c r="N294" i="5" s="1"/>
  <c r="O852" i="5"/>
  <c r="S852" i="5"/>
  <c r="M852" i="5"/>
  <c r="N852" i="5" s="1"/>
  <c r="O614" i="5"/>
  <c r="R614" i="5"/>
  <c r="M614" i="5"/>
  <c r="N614" i="5" s="1"/>
  <c r="O287" i="5"/>
  <c r="S287" i="5"/>
  <c r="R287" i="5"/>
  <c r="P287" i="5"/>
  <c r="Q287" i="5"/>
  <c r="M287" i="5"/>
  <c r="N287" i="5" s="1"/>
  <c r="O835" i="5"/>
  <c r="S835" i="5"/>
  <c r="R835" i="5"/>
  <c r="M835" i="5"/>
  <c r="N835" i="5" s="1"/>
  <c r="O729" i="5"/>
  <c r="S729" i="5"/>
  <c r="R729" i="5"/>
  <c r="P729" i="5"/>
  <c r="Q729" i="5"/>
  <c r="M729" i="5"/>
  <c r="N729" i="5" s="1"/>
  <c r="O734" i="5"/>
  <c r="P734" i="5"/>
  <c r="Q734" i="5"/>
  <c r="M734" i="5"/>
  <c r="N734" i="5" s="1"/>
  <c r="O877" i="5"/>
  <c r="R877" i="5"/>
  <c r="P877" i="5"/>
  <c r="M877" i="5"/>
  <c r="N877" i="5" s="1"/>
  <c r="O916" i="5"/>
  <c r="R916" i="5"/>
  <c r="P916" i="5"/>
  <c r="M916" i="5"/>
  <c r="N916" i="5" s="1"/>
  <c r="O517" i="5"/>
  <c r="R517" i="5"/>
  <c r="P517" i="5"/>
  <c r="Q517" i="5"/>
  <c r="M517" i="5"/>
  <c r="N517" i="5" s="1"/>
  <c r="O637" i="5"/>
  <c r="S637" i="5"/>
  <c r="R637" i="5"/>
  <c r="Q637" i="5"/>
  <c r="M637" i="5"/>
  <c r="N637" i="5" s="1"/>
  <c r="O207" i="5"/>
  <c r="S207" i="5"/>
  <c r="P207" i="5"/>
  <c r="M207" i="5"/>
  <c r="N207" i="5" s="1"/>
  <c r="O255" i="5"/>
  <c r="R255" i="5"/>
  <c r="P255" i="5"/>
  <c r="Q255" i="5"/>
  <c r="M255" i="5"/>
  <c r="N255" i="5" s="1"/>
  <c r="O528" i="5"/>
  <c r="S528" i="5"/>
  <c r="M528" i="5"/>
  <c r="N528" i="5" s="1"/>
  <c r="O300" i="5"/>
  <c r="R300" i="5"/>
  <c r="P300" i="5"/>
  <c r="M300" i="5"/>
  <c r="N300" i="5" s="1"/>
  <c r="O676" i="5"/>
  <c r="S676" i="5"/>
  <c r="R676" i="5"/>
  <c r="P676" i="5"/>
  <c r="Q676" i="5"/>
  <c r="M676" i="5"/>
  <c r="N676" i="5" s="1"/>
  <c r="O183" i="5"/>
  <c r="S183" i="5"/>
  <c r="R183" i="5"/>
  <c r="M183" i="5"/>
  <c r="N183" i="5" s="1"/>
  <c r="O713" i="5"/>
  <c r="S713" i="5"/>
  <c r="P713" i="5"/>
  <c r="Q713" i="5"/>
  <c r="M713" i="5"/>
  <c r="N713" i="5" s="1"/>
  <c r="O374" i="5"/>
  <c r="R374" i="5"/>
  <c r="P374" i="5"/>
  <c r="Q374" i="5"/>
  <c r="M374" i="5"/>
  <c r="N374" i="5" s="1"/>
  <c r="O37" i="5"/>
  <c r="R37" i="5"/>
  <c r="Q37" i="5"/>
  <c r="M37" i="5"/>
  <c r="N37" i="5" s="1"/>
  <c r="O757" i="5"/>
  <c r="R757" i="5"/>
  <c r="M757" i="5"/>
  <c r="N757" i="5" s="1"/>
  <c r="O922" i="5"/>
  <c r="P922" i="5"/>
  <c r="Q922" i="5"/>
  <c r="M922" i="5"/>
  <c r="N922" i="5" s="1"/>
  <c r="O881" i="5"/>
  <c r="S881" i="5"/>
  <c r="R881" i="5"/>
  <c r="P881" i="5"/>
  <c r="M881" i="5"/>
  <c r="N881" i="5" s="1"/>
  <c r="O519" i="5"/>
  <c r="S519" i="5"/>
  <c r="P519" i="5"/>
  <c r="Q519" i="5"/>
  <c r="M519" i="5"/>
  <c r="N519" i="5" s="1"/>
  <c r="O969" i="5"/>
  <c r="S969" i="5"/>
  <c r="R969" i="5"/>
  <c r="P969" i="5"/>
  <c r="Q969" i="5"/>
  <c r="M969" i="5"/>
  <c r="N969" i="5" s="1"/>
  <c r="O237" i="5"/>
  <c r="S237" i="5"/>
  <c r="M237" i="5"/>
  <c r="N237" i="5" s="1"/>
  <c r="O88" i="5"/>
  <c r="S88" i="5"/>
  <c r="R88" i="5"/>
  <c r="M88" i="5"/>
  <c r="N88" i="5" s="1"/>
  <c r="O167" i="5"/>
  <c r="S167" i="5"/>
  <c r="R167" i="5"/>
  <c r="P167" i="5"/>
  <c r="Q167" i="5"/>
  <c r="M167" i="5"/>
  <c r="N167" i="5" s="1"/>
  <c r="O472" i="5"/>
  <c r="S472" i="5"/>
  <c r="R472" i="5"/>
  <c r="P472" i="5"/>
  <c r="M472" i="5"/>
  <c r="N472" i="5" s="1"/>
  <c r="O980" i="5"/>
  <c r="S980" i="5"/>
  <c r="P980" i="5"/>
  <c r="M980" i="5"/>
  <c r="N980" i="5" s="1"/>
  <c r="O501" i="5"/>
  <c r="S501" i="5"/>
  <c r="R501" i="5"/>
  <c r="P501" i="5"/>
  <c r="Q501" i="5"/>
  <c r="M501" i="5"/>
  <c r="N501" i="5" s="1"/>
  <c r="O721" i="5"/>
  <c r="M721" i="5"/>
  <c r="N721" i="5" s="1"/>
  <c r="O756" i="5"/>
  <c r="S756" i="5"/>
  <c r="R756" i="5"/>
  <c r="Q756" i="5"/>
  <c r="M756" i="5"/>
  <c r="N756" i="5" s="1"/>
  <c r="O602" i="5"/>
  <c r="R602" i="5"/>
  <c r="P602" i="5"/>
  <c r="Q602" i="5"/>
  <c r="M602" i="5"/>
  <c r="N602" i="5" s="1"/>
  <c r="O797" i="5"/>
  <c r="S797" i="5"/>
  <c r="R797" i="5"/>
  <c r="P797" i="5"/>
  <c r="M797" i="5"/>
  <c r="N797" i="5" s="1"/>
  <c r="O376" i="5"/>
  <c r="S376" i="5"/>
  <c r="R376" i="5"/>
  <c r="P376" i="5"/>
  <c r="Q376" i="5"/>
  <c r="M376" i="5"/>
  <c r="N376" i="5" s="1"/>
  <c r="O906" i="5"/>
  <c r="S906" i="5"/>
  <c r="R906" i="5"/>
  <c r="P906" i="5"/>
  <c r="Q906" i="5"/>
  <c r="M906" i="5"/>
  <c r="N906" i="5" s="1"/>
  <c r="O523" i="5"/>
  <c r="S523" i="5"/>
  <c r="P523" i="5"/>
  <c r="M523" i="5"/>
  <c r="N523" i="5" s="1"/>
  <c r="O890" i="5"/>
  <c r="S890" i="5"/>
  <c r="R890" i="5"/>
  <c r="M890" i="5"/>
  <c r="N890" i="5" s="1"/>
  <c r="O904" i="5"/>
  <c r="S904" i="5"/>
  <c r="R904" i="5"/>
  <c r="P904" i="5"/>
  <c r="Q904" i="5"/>
  <c r="M904" i="5"/>
  <c r="N904" i="5" s="1"/>
  <c r="O853" i="5"/>
  <c r="S853" i="5"/>
  <c r="P853" i="5"/>
  <c r="Q853" i="5"/>
  <c r="M853" i="5"/>
  <c r="N853" i="5" s="1"/>
  <c r="O800" i="5"/>
  <c r="S800" i="5"/>
  <c r="R800" i="5"/>
  <c r="P800" i="5"/>
  <c r="M800" i="5"/>
  <c r="N800" i="5" s="1"/>
  <c r="O654" i="5"/>
  <c r="R654" i="5"/>
  <c r="P654" i="5"/>
  <c r="Q654" i="5"/>
  <c r="M654" i="5"/>
  <c r="N654" i="5" s="1"/>
  <c r="O897" i="5"/>
  <c r="R897" i="5"/>
  <c r="Q897" i="5"/>
  <c r="M897" i="5"/>
  <c r="N897" i="5" s="1"/>
  <c r="O801" i="5"/>
  <c r="S801" i="5"/>
  <c r="P801" i="5"/>
  <c r="M801" i="5"/>
  <c r="N801" i="5" s="1"/>
  <c r="O277" i="5"/>
  <c r="R277" i="5"/>
  <c r="P277" i="5"/>
  <c r="Q277" i="5"/>
  <c r="M277" i="5"/>
  <c r="N277" i="5" s="1"/>
  <c r="O193" i="5"/>
  <c r="S193" i="5"/>
  <c r="R193" i="5"/>
  <c r="M193" i="5"/>
  <c r="N193" i="5" s="1"/>
  <c r="O340" i="5"/>
  <c r="S340" i="5"/>
  <c r="P340" i="5"/>
  <c r="M340" i="5"/>
  <c r="N340" i="5" s="1"/>
  <c r="O301" i="5"/>
  <c r="S301" i="5"/>
  <c r="R301" i="5"/>
  <c r="P301" i="5"/>
  <c r="Q301" i="5"/>
  <c r="M301" i="5"/>
  <c r="N301" i="5" s="1"/>
  <c r="O81" i="5"/>
  <c r="S81" i="5"/>
  <c r="M81" i="5"/>
  <c r="N81" i="5" s="1"/>
  <c r="O758" i="5"/>
  <c r="S758" i="5"/>
  <c r="R758" i="5"/>
  <c r="M758" i="5"/>
  <c r="N758" i="5" s="1"/>
  <c r="O573" i="5"/>
  <c r="S573" i="5"/>
  <c r="R573" i="5"/>
  <c r="Q573" i="5"/>
  <c r="P573" i="5"/>
  <c r="M573" i="5"/>
  <c r="N573" i="5" s="1"/>
  <c r="O882" i="5"/>
  <c r="S882" i="5"/>
  <c r="R882" i="5"/>
  <c r="M882" i="5"/>
  <c r="N882" i="5" s="1"/>
  <c r="O212" i="5"/>
  <c r="S212" i="5"/>
  <c r="P212" i="5"/>
  <c r="Q212" i="5"/>
  <c r="M212" i="5"/>
  <c r="N212" i="5" s="1"/>
  <c r="O412" i="5"/>
  <c r="R412" i="5"/>
  <c r="P412" i="5"/>
  <c r="Q412" i="5"/>
  <c r="M412" i="5"/>
  <c r="N412" i="5" s="1"/>
  <c r="O556" i="5"/>
  <c r="S556" i="5"/>
  <c r="P556" i="5"/>
  <c r="M556" i="5"/>
  <c r="N556" i="5" s="1"/>
  <c r="B25" i="6"/>
  <c r="D25" i="6" s="1"/>
  <c r="K69" i="5"/>
  <c r="Y69" i="5" s="1"/>
  <c r="K533" i="5"/>
  <c r="Y533" i="5" s="1"/>
  <c r="K608" i="5"/>
  <c r="Y608" i="5" s="1"/>
  <c r="K303" i="5"/>
  <c r="Y303" i="5" s="1"/>
  <c r="K401" i="5"/>
  <c r="Y401" i="5" s="1"/>
  <c r="K687" i="5"/>
  <c r="Y687" i="5" s="1"/>
  <c r="K19" i="5"/>
  <c r="Y19" i="5" s="1"/>
  <c r="K187" i="5"/>
  <c r="Y187" i="5" s="1"/>
  <c r="K974" i="5"/>
  <c r="Y974" i="5" s="1"/>
  <c r="K581" i="5"/>
  <c r="Y581" i="5" s="1"/>
  <c r="K647" i="5"/>
  <c r="Y647" i="5" s="1"/>
  <c r="K356" i="5"/>
  <c r="Y356" i="5" s="1"/>
  <c r="K816" i="5"/>
  <c r="Y816" i="5" s="1"/>
  <c r="K557" i="5"/>
  <c r="Y557" i="5" s="1"/>
  <c r="K143" i="5"/>
  <c r="Y143" i="5" s="1"/>
  <c r="K587" i="5"/>
  <c r="Y587" i="5" s="1"/>
  <c r="J587" i="5"/>
  <c r="X587" i="5" s="1"/>
  <c r="K410" i="5"/>
  <c r="Y410" i="5" s="1"/>
  <c r="J410" i="5"/>
  <c r="X410" i="5" s="1"/>
  <c r="K529" i="5"/>
  <c r="Y529" i="5" s="1"/>
  <c r="J529" i="5"/>
  <c r="X529" i="5" s="1"/>
  <c r="K91" i="5"/>
  <c r="Y91" i="5" s="1"/>
  <c r="J91" i="5"/>
  <c r="K646" i="5"/>
  <c r="Y646" i="5" s="1"/>
  <c r="J646" i="5"/>
  <c r="K558" i="5"/>
  <c r="Y558" i="5" s="1"/>
  <c r="J558" i="5"/>
  <c r="X558" i="5" s="1"/>
  <c r="K145" i="5"/>
  <c r="Y145" i="5" s="1"/>
  <c r="J145" i="5"/>
  <c r="K128" i="5"/>
  <c r="Y128" i="5" s="1"/>
  <c r="J128" i="5"/>
  <c r="X128" i="5" s="1"/>
  <c r="K851" i="5"/>
  <c r="Y851" i="5" s="1"/>
  <c r="J851" i="5"/>
  <c r="K565" i="5"/>
  <c r="Y565" i="5" s="1"/>
  <c r="J565" i="5"/>
  <c r="K668" i="5"/>
  <c r="Y668" i="5" s="1"/>
  <c r="J668" i="5"/>
  <c r="X668" i="5" s="1"/>
  <c r="K659" i="5"/>
  <c r="Y659" i="5" s="1"/>
  <c r="J659" i="5"/>
  <c r="X659" i="5" s="1"/>
  <c r="K448" i="5"/>
  <c r="Y448" i="5" s="1"/>
  <c r="J448" i="5"/>
  <c r="X448" i="5" s="1"/>
  <c r="K522" i="5"/>
  <c r="Y522" i="5" s="1"/>
  <c r="J522" i="5"/>
  <c r="K54" i="5"/>
  <c r="Y54" i="5" s="1"/>
  <c r="J54" i="5"/>
  <c r="X54" i="5" s="1"/>
  <c r="K319" i="5"/>
  <c r="Y319" i="5" s="1"/>
  <c r="J319" i="5"/>
  <c r="K988" i="5"/>
  <c r="Y988" i="5" s="1"/>
  <c r="J988" i="5"/>
  <c r="K954" i="5"/>
  <c r="Y954" i="5" s="1"/>
  <c r="J954" i="5"/>
  <c r="K935" i="5"/>
  <c r="Y935" i="5" s="1"/>
  <c r="J935" i="5"/>
  <c r="X935" i="5" s="1"/>
  <c r="K894" i="5"/>
  <c r="Y894" i="5" s="1"/>
  <c r="J894" i="5"/>
  <c r="K48" i="5"/>
  <c r="Y48" i="5" s="1"/>
  <c r="J48" i="5"/>
  <c r="K371" i="5"/>
  <c r="Y371" i="5" s="1"/>
  <c r="J371" i="5"/>
  <c r="X371" i="5" s="1"/>
  <c r="K920" i="5"/>
  <c r="Y920" i="5" s="1"/>
  <c r="J920" i="5"/>
  <c r="X920" i="5" s="1"/>
  <c r="K454" i="5"/>
  <c r="Y454" i="5" s="1"/>
  <c r="J454" i="5"/>
  <c r="X454" i="5" s="1"/>
  <c r="K27" i="5"/>
  <c r="Y27" i="5" s="1"/>
  <c r="J27" i="5"/>
  <c r="K282" i="5"/>
  <c r="Y282" i="5" s="1"/>
  <c r="J282" i="5"/>
  <c r="K366" i="5"/>
  <c r="Y366" i="5" s="1"/>
  <c r="J366" i="5"/>
  <c r="X366" i="5" s="1"/>
  <c r="K672" i="5"/>
  <c r="Y672" i="5" s="1"/>
  <c r="J672" i="5"/>
  <c r="X672" i="5" s="1"/>
  <c r="K40" i="5"/>
  <c r="Y40" i="5" s="1"/>
  <c r="J40" i="5"/>
  <c r="X40" i="5" s="1"/>
  <c r="K304" i="5"/>
  <c r="Y304" i="5" s="1"/>
  <c r="J304" i="5"/>
  <c r="K629" i="5"/>
  <c r="Y629" i="5" s="1"/>
  <c r="J629" i="5"/>
  <c r="K855" i="5"/>
  <c r="Y855" i="5" s="1"/>
  <c r="J855" i="5"/>
  <c r="K52" i="5"/>
  <c r="Y52" i="5" s="1"/>
  <c r="J52" i="5"/>
  <c r="K9" i="5"/>
  <c r="Y9" i="5" s="1"/>
  <c r="J9" i="5"/>
  <c r="X9" i="5" s="1"/>
  <c r="K241" i="5"/>
  <c r="J241" i="5"/>
  <c r="X241" i="5" s="1"/>
  <c r="K214" i="5"/>
  <c r="Y214" i="5" s="1"/>
  <c r="J214" i="5"/>
  <c r="X214" i="5" s="1"/>
  <c r="K269" i="5"/>
  <c r="J269" i="5"/>
  <c r="K428" i="5"/>
  <c r="Y428" i="5" s="1"/>
  <c r="J428" i="5"/>
  <c r="K323" i="5"/>
  <c r="Y323" i="5" s="1"/>
  <c r="J323" i="5"/>
  <c r="K547" i="5"/>
  <c r="Y547" i="5" s="1"/>
  <c r="J547" i="5"/>
  <c r="W547" i="5" s="1"/>
  <c r="K405" i="5"/>
  <c r="Y405" i="5" s="1"/>
  <c r="J405" i="5"/>
  <c r="K975" i="5"/>
  <c r="Y975" i="5" s="1"/>
  <c r="J975" i="5"/>
  <c r="K307" i="5"/>
  <c r="J307" i="5"/>
  <c r="K955" i="5"/>
  <c r="Y955" i="5" s="1"/>
  <c r="J955" i="5"/>
  <c r="X955" i="5" s="1"/>
  <c r="K872" i="5"/>
  <c r="Y872" i="5" s="1"/>
  <c r="J872" i="5"/>
  <c r="K77" i="5"/>
  <c r="Y77" i="5" s="1"/>
  <c r="J77" i="5"/>
  <c r="W77" i="5" s="1"/>
  <c r="K722" i="5"/>
  <c r="Y722" i="5" s="1"/>
  <c r="J722" i="5"/>
  <c r="X722" i="5" s="1"/>
  <c r="K399" i="5"/>
  <c r="Y399" i="5" s="1"/>
  <c r="J399" i="5"/>
  <c r="K927" i="5"/>
  <c r="Y927" i="5" s="1"/>
  <c r="J927" i="5"/>
  <c r="X927" i="5" s="1"/>
  <c r="K324" i="5"/>
  <c r="Y324" i="5" s="1"/>
  <c r="J324" i="5"/>
  <c r="K185" i="5"/>
  <c r="Y185" i="5" s="1"/>
  <c r="J185" i="5"/>
  <c r="J355" i="5"/>
  <c r="K355" i="5"/>
  <c r="Y355" i="5" s="1"/>
  <c r="J950" i="5"/>
  <c r="K950" i="5"/>
  <c r="Y950" i="5" s="1"/>
  <c r="K421" i="5"/>
  <c r="Y421" i="5" s="1"/>
  <c r="J421" i="5"/>
  <c r="K345" i="5"/>
  <c r="Y345" i="5" s="1"/>
  <c r="J345" i="5"/>
  <c r="K359" i="5"/>
  <c r="Y359" i="5" s="1"/>
  <c r="J359" i="5"/>
  <c r="X359" i="5" s="1"/>
  <c r="K418" i="5"/>
  <c r="Y418" i="5" s="1"/>
  <c r="J418" i="5"/>
  <c r="K327" i="5"/>
  <c r="Y327" i="5" s="1"/>
  <c r="J327" i="5"/>
  <c r="X327" i="5" s="1"/>
  <c r="K426" i="5"/>
  <c r="Y426" i="5" s="1"/>
  <c r="J426" i="5"/>
  <c r="X426" i="5" s="1"/>
  <c r="K832" i="5"/>
  <c r="Y832" i="5" s="1"/>
  <c r="J832" i="5"/>
  <c r="K98" i="5"/>
  <c r="Y98" i="5" s="1"/>
  <c r="J98" i="5"/>
  <c r="K924" i="5"/>
  <c r="Y924" i="5" s="1"/>
  <c r="J924" i="5"/>
  <c r="J958" i="5"/>
  <c r="X958" i="5" s="1"/>
  <c r="K958" i="5"/>
  <c r="Y958" i="5" s="1"/>
  <c r="K686" i="5"/>
  <c r="Y686" i="5" s="1"/>
  <c r="J686" i="5"/>
  <c r="K96" i="5"/>
  <c r="Y96" i="5" s="1"/>
  <c r="J96" i="5"/>
  <c r="X96" i="5" s="1"/>
  <c r="K913" i="5"/>
  <c r="Y913" i="5" s="1"/>
  <c r="J913" i="5"/>
  <c r="K657" i="5"/>
  <c r="Y657" i="5" s="1"/>
  <c r="L657" i="5"/>
  <c r="Z657" i="5" s="1"/>
  <c r="J657" i="5"/>
  <c r="X657" i="5" s="1"/>
  <c r="L369" i="5"/>
  <c r="Z369" i="5" s="1"/>
  <c r="K369" i="5"/>
  <c r="Y369" i="5" s="1"/>
  <c r="J369" i="5"/>
  <c r="W369" i="5" s="1"/>
  <c r="L328" i="5"/>
  <c r="Z328" i="5" s="1"/>
  <c r="L270" i="5"/>
  <c r="Z270" i="5" s="1"/>
  <c r="L883" i="5"/>
  <c r="Z883" i="5" s="1"/>
  <c r="L120" i="5"/>
  <c r="Z120" i="5" s="1"/>
  <c r="L79" i="5"/>
  <c r="Z79" i="5" s="1"/>
  <c r="L704" i="5"/>
  <c r="Z704" i="5" s="1"/>
  <c r="L433" i="5"/>
  <c r="Z433" i="5" s="1"/>
  <c r="L940" i="5"/>
  <c r="Z940" i="5" s="1"/>
  <c r="L393" i="5"/>
  <c r="Z393" i="5" s="1"/>
  <c r="L915" i="5"/>
  <c r="Z915" i="5" s="1"/>
  <c r="L402" i="5"/>
  <c r="Z402" i="5" s="1"/>
  <c r="L21" i="5"/>
  <c r="Z21" i="5" s="1"/>
  <c r="L909" i="5"/>
  <c r="Z909" i="5" s="1"/>
  <c r="L747" i="5"/>
  <c r="Z747" i="5" s="1"/>
  <c r="L753" i="5"/>
  <c r="Z753" i="5" s="1"/>
  <c r="L210" i="5"/>
  <c r="Z210" i="5" s="1"/>
  <c r="L312" i="5"/>
  <c r="Z312" i="5" s="1"/>
  <c r="L568" i="5"/>
  <c r="Z568" i="5" s="1"/>
  <c r="L846" i="5"/>
  <c r="Z846" i="5" s="1"/>
  <c r="L736" i="5"/>
  <c r="Z736" i="5" s="1"/>
  <c r="L216" i="5"/>
  <c r="Z216" i="5" s="1"/>
  <c r="L297" i="5"/>
  <c r="Z297" i="5" s="1"/>
  <c r="L332" i="5"/>
  <c r="Z332" i="5" s="1"/>
  <c r="L765" i="5"/>
  <c r="Z765" i="5" s="1"/>
  <c r="L541" i="5"/>
  <c r="Z541" i="5" s="1"/>
  <c r="L823" i="5"/>
  <c r="Z823" i="5" s="1"/>
  <c r="L139" i="5"/>
  <c r="Z139" i="5" s="1"/>
  <c r="L468" i="5"/>
  <c r="Z468" i="5" s="1"/>
  <c r="L133" i="5"/>
  <c r="Z133" i="5" s="1"/>
  <c r="L100" i="5"/>
  <c r="Z100" i="5" s="1"/>
  <c r="L321" i="5"/>
  <c r="Z321" i="5" s="1"/>
  <c r="L158" i="5"/>
  <c r="Z158" i="5" s="1"/>
  <c r="L596" i="5"/>
  <c r="Z596" i="5" s="1"/>
  <c r="L86" i="5"/>
  <c r="Z86" i="5" s="1"/>
  <c r="L539" i="5"/>
  <c r="Z539" i="5" s="1"/>
  <c r="L76" i="5"/>
  <c r="Z76" i="5" s="1"/>
  <c r="L652" i="5"/>
  <c r="Z652" i="5" s="1"/>
  <c r="L49" i="5"/>
  <c r="Z49" i="5" s="1"/>
  <c r="L341" i="5"/>
  <c r="Z341" i="5" s="1"/>
  <c r="L992" i="5"/>
  <c r="Z992" i="5" s="1"/>
  <c r="L555" i="5"/>
  <c r="Z555" i="5" s="1"/>
  <c r="L264" i="5"/>
  <c r="Z264" i="5" s="1"/>
  <c r="L302" i="5"/>
  <c r="Z302" i="5" s="1"/>
  <c r="L994" i="5"/>
  <c r="Z994" i="5" s="1"/>
  <c r="L189" i="5"/>
  <c r="Z189" i="5" s="1"/>
  <c r="L698" i="5"/>
  <c r="Z698" i="5" s="1"/>
  <c r="L484" i="5"/>
  <c r="Z484" i="5" s="1"/>
  <c r="L407" i="5"/>
  <c r="Z407" i="5" s="1"/>
  <c r="L238" i="5"/>
  <c r="Z238" i="5" s="1"/>
  <c r="L886" i="5"/>
  <c r="Z886" i="5" s="1"/>
  <c r="L591" i="5"/>
  <c r="Z591" i="5" s="1"/>
  <c r="L400" i="5"/>
  <c r="Z400" i="5" s="1"/>
  <c r="L373" i="5"/>
  <c r="Z373" i="5" s="1"/>
  <c r="L386" i="5"/>
  <c r="Z386" i="5" s="1"/>
  <c r="L259" i="5"/>
  <c r="Z259" i="5" s="1"/>
  <c r="L749" i="5"/>
  <c r="Z749" i="5" s="1"/>
  <c r="L705" i="5"/>
  <c r="Z705" i="5" s="1"/>
  <c r="L937" i="5"/>
  <c r="Z937" i="5" s="1"/>
  <c r="L453" i="5"/>
  <c r="Z453" i="5" s="1"/>
  <c r="L538" i="5"/>
  <c r="Z538" i="5" s="1"/>
  <c r="L930" i="5"/>
  <c r="Z930" i="5" s="1"/>
  <c r="L486" i="5"/>
  <c r="Z486" i="5" s="1"/>
  <c r="L505" i="5"/>
  <c r="Z505" i="5" s="1"/>
  <c r="L390" i="5"/>
  <c r="Z390" i="5" s="1"/>
  <c r="L124" i="5"/>
  <c r="Z124" i="5" s="1"/>
  <c r="L506" i="5"/>
  <c r="Z506" i="5" s="1"/>
  <c r="L681" i="5"/>
  <c r="Z681" i="5" s="1"/>
  <c r="L70" i="5"/>
  <c r="Z70" i="5" s="1"/>
  <c r="L93" i="5"/>
  <c r="Z93" i="5" s="1"/>
  <c r="L343" i="5"/>
  <c r="Z343" i="5" s="1"/>
  <c r="L181" i="5"/>
  <c r="Z181" i="5" s="1"/>
  <c r="L363" i="5"/>
  <c r="Z363" i="5" s="1"/>
  <c r="L535" i="5"/>
  <c r="Z535" i="5" s="1"/>
  <c r="L949" i="5"/>
  <c r="Z949" i="5" s="1"/>
  <c r="L806" i="5"/>
  <c r="Z806" i="5" s="1"/>
  <c r="L582" i="5"/>
  <c r="Z582" i="5" s="1"/>
  <c r="L706" i="5"/>
  <c r="Z706" i="5" s="1"/>
  <c r="L836" i="5"/>
  <c r="Z836" i="5" s="1"/>
  <c r="L673" i="5"/>
  <c r="Z673" i="5" s="1"/>
  <c r="L742" i="5"/>
  <c r="Z742" i="5" s="1"/>
  <c r="L350" i="5"/>
  <c r="Z350" i="5" s="1"/>
  <c r="L66" i="5"/>
  <c r="Z66" i="5" s="1"/>
  <c r="L791" i="5"/>
  <c r="Z791" i="5" s="1"/>
  <c r="J416" i="5"/>
  <c r="X416" i="5" s="1"/>
  <c r="J209" i="5"/>
  <c r="X209" i="5" s="1"/>
  <c r="J79" i="5"/>
  <c r="J433" i="5"/>
  <c r="J520" i="5"/>
  <c r="X520" i="5" s="1"/>
  <c r="J985" i="5"/>
  <c r="X985" i="5" s="1"/>
  <c r="J549" i="5"/>
  <c r="J600" i="5"/>
  <c r="O392" i="5"/>
  <c r="S392" i="5"/>
  <c r="R392" i="5"/>
  <c r="Q392" i="5"/>
  <c r="P392" i="5"/>
  <c r="M392" i="5"/>
  <c r="N392" i="5" s="1"/>
  <c r="O452" i="5"/>
  <c r="S452" i="5"/>
  <c r="R452" i="5"/>
  <c r="M452" i="5"/>
  <c r="N452" i="5" s="1"/>
  <c r="O622" i="5"/>
  <c r="R622" i="5"/>
  <c r="P622" i="5"/>
  <c r="M622" i="5"/>
  <c r="N622" i="5" s="1"/>
  <c r="O469" i="5"/>
  <c r="Q469" i="5"/>
  <c r="P469" i="5"/>
  <c r="M469" i="5"/>
  <c r="N469" i="5" s="1"/>
  <c r="O10" i="5"/>
  <c r="P10" i="5"/>
  <c r="M10" i="5"/>
  <c r="N10" i="5" s="1"/>
  <c r="O649" i="5"/>
  <c r="Q649" i="5"/>
  <c r="P649" i="5"/>
  <c r="M649" i="5"/>
  <c r="N649" i="5" s="1"/>
  <c r="O219" i="5"/>
  <c r="P219" i="5"/>
  <c r="M219" i="5"/>
  <c r="N219" i="5" s="1"/>
  <c r="O119" i="5"/>
  <c r="S119" i="5"/>
  <c r="P119" i="5"/>
  <c r="M119" i="5"/>
  <c r="N119" i="5" s="1"/>
  <c r="O746" i="5"/>
  <c r="S746" i="5"/>
  <c r="Q746" i="5"/>
  <c r="P746" i="5"/>
  <c r="M746" i="5"/>
  <c r="N746" i="5" s="1"/>
  <c r="O244" i="5"/>
  <c r="S244" i="5"/>
  <c r="R244" i="5"/>
  <c r="P244" i="5"/>
  <c r="M244" i="5"/>
  <c r="N244" i="5" s="1"/>
  <c r="O274" i="5"/>
  <c r="S274" i="5"/>
  <c r="R274" i="5"/>
  <c r="Q274" i="5"/>
  <c r="P274" i="5"/>
  <c r="M274" i="5"/>
  <c r="N274" i="5" s="1"/>
  <c r="O607" i="5"/>
  <c r="S607" i="5"/>
  <c r="R607" i="5"/>
  <c r="Q607" i="5"/>
  <c r="P607" i="5"/>
  <c r="M607" i="5"/>
  <c r="N607" i="5" s="1"/>
  <c r="O772" i="5"/>
  <c r="S772" i="5"/>
  <c r="R772" i="5"/>
  <c r="M772" i="5"/>
  <c r="N772" i="5" s="1"/>
  <c r="O148" i="5"/>
  <c r="S148" i="5"/>
  <c r="R148" i="5"/>
  <c r="Q148" i="5"/>
  <c r="P148" i="5"/>
  <c r="M148" i="5"/>
  <c r="N148" i="5" s="1"/>
  <c r="O862" i="5"/>
  <c r="S862" i="5"/>
  <c r="R862" i="5"/>
  <c r="Q862" i="5"/>
  <c r="P862" i="5"/>
  <c r="M862" i="5"/>
  <c r="N862" i="5" s="1"/>
  <c r="O550" i="5"/>
  <c r="M550" i="5"/>
  <c r="N550" i="5" s="1"/>
  <c r="O261" i="5"/>
  <c r="P261" i="5"/>
  <c r="M261" i="5"/>
  <c r="N261" i="5" s="1"/>
  <c r="O514" i="5"/>
  <c r="Q514" i="5"/>
  <c r="P514" i="5"/>
  <c r="M514" i="5"/>
  <c r="N514" i="5" s="1"/>
  <c r="O829" i="5"/>
  <c r="Q829" i="5"/>
  <c r="P829" i="5"/>
  <c r="M829" i="5"/>
  <c r="N829" i="5" s="1"/>
  <c r="O692" i="5"/>
  <c r="S692" i="5"/>
  <c r="Q692" i="5"/>
  <c r="P692" i="5"/>
  <c r="M692" i="5"/>
  <c r="N692" i="5" s="1"/>
  <c r="O650" i="5"/>
  <c r="S650" i="5"/>
  <c r="Q650" i="5"/>
  <c r="P650" i="5"/>
  <c r="M650" i="5"/>
  <c r="N650" i="5" s="1"/>
  <c r="O619" i="5"/>
  <c r="S619" i="5"/>
  <c r="R619" i="5"/>
  <c r="M619" i="5"/>
  <c r="N619" i="5" s="1"/>
  <c r="O56" i="5"/>
  <c r="S56" i="5"/>
  <c r="R56" i="5"/>
  <c r="M56" i="5"/>
  <c r="N56" i="5" s="1"/>
  <c r="O755" i="5"/>
  <c r="S755" i="5"/>
  <c r="R755" i="5"/>
  <c r="Q755" i="5"/>
  <c r="P755" i="5"/>
  <c r="M755" i="5"/>
  <c r="N755" i="5" s="1"/>
  <c r="O115" i="5"/>
  <c r="S115" i="5"/>
  <c r="R115" i="5"/>
  <c r="Q115" i="5"/>
  <c r="P115" i="5"/>
  <c r="M115" i="5"/>
  <c r="N115" i="5" s="1"/>
  <c r="O511" i="5"/>
  <c r="S511" i="5"/>
  <c r="R511" i="5"/>
  <c r="Q511" i="5"/>
  <c r="P511" i="5"/>
  <c r="M511" i="5"/>
  <c r="N511" i="5" s="1"/>
  <c r="O773" i="5"/>
  <c r="S773" i="5"/>
  <c r="R773" i="5"/>
  <c r="Q773" i="5"/>
  <c r="M773" i="5"/>
  <c r="N773" i="5" s="1"/>
  <c r="O15" i="5"/>
  <c r="M15" i="5"/>
  <c r="N15" i="5" s="1"/>
  <c r="O199" i="5"/>
  <c r="P199" i="5"/>
  <c r="M199" i="5"/>
  <c r="N199" i="5" s="1"/>
  <c r="O707" i="5"/>
  <c r="R707" i="5"/>
  <c r="Q707" i="5"/>
  <c r="P707" i="5"/>
  <c r="M707" i="5"/>
  <c r="N707" i="5" s="1"/>
  <c r="O843" i="5"/>
  <c r="M843" i="5"/>
  <c r="N843" i="5" s="1"/>
  <c r="O737" i="5"/>
  <c r="S737" i="5"/>
  <c r="Q737" i="5"/>
  <c r="M737" i="5"/>
  <c r="N737" i="5" s="1"/>
  <c r="O633" i="5"/>
  <c r="S633" i="5"/>
  <c r="M633" i="5"/>
  <c r="N633" i="5" s="1"/>
  <c r="O159" i="5"/>
  <c r="S159" i="5"/>
  <c r="R159" i="5"/>
  <c r="P159" i="5"/>
  <c r="M159" i="5"/>
  <c r="N159" i="5" s="1"/>
  <c r="O638" i="5"/>
  <c r="S638" i="5"/>
  <c r="R638" i="5"/>
  <c r="M638" i="5"/>
  <c r="N638" i="5" s="1"/>
  <c r="O970" i="5"/>
  <c r="S970" i="5"/>
  <c r="R970" i="5"/>
  <c r="Q970" i="5"/>
  <c r="P970" i="5"/>
  <c r="M970" i="5"/>
  <c r="N970" i="5" s="1"/>
  <c r="O292" i="5"/>
  <c r="S292" i="5"/>
  <c r="R292" i="5"/>
  <c r="Q292" i="5"/>
  <c r="P292" i="5"/>
  <c r="M292" i="5"/>
  <c r="N292" i="5" s="1"/>
  <c r="O490" i="5"/>
  <c r="S490" i="5"/>
  <c r="P490" i="5"/>
  <c r="M490" i="5"/>
  <c r="N490" i="5" s="1"/>
  <c r="O24" i="5"/>
  <c r="S24" i="5"/>
  <c r="R24" i="5"/>
  <c r="P24" i="5"/>
  <c r="M24" i="5"/>
  <c r="N24" i="5" s="1"/>
  <c r="O196" i="5"/>
  <c r="R196" i="5"/>
  <c r="P196" i="5"/>
  <c r="M196" i="5"/>
  <c r="N196" i="5" s="1"/>
  <c r="O699" i="5"/>
  <c r="R699" i="5"/>
  <c r="Q699" i="5"/>
  <c r="P699" i="5"/>
  <c r="M699" i="5"/>
  <c r="N699" i="5" s="1"/>
  <c r="O242" i="5"/>
  <c r="R242" i="5"/>
  <c r="Q242" i="5"/>
  <c r="P242" i="5"/>
  <c r="M242" i="5"/>
  <c r="N242" i="5" s="1"/>
  <c r="O764" i="5"/>
  <c r="Q764" i="5"/>
  <c r="P764" i="5"/>
  <c r="M764" i="5"/>
  <c r="N764" i="5" s="1"/>
  <c r="O368" i="5"/>
  <c r="S368" i="5"/>
  <c r="P368" i="5"/>
  <c r="M368" i="5"/>
  <c r="N368" i="5" s="1"/>
  <c r="O435" i="5"/>
  <c r="S435" i="5"/>
  <c r="R435" i="5"/>
  <c r="P435" i="5"/>
  <c r="M435" i="5"/>
  <c r="N435" i="5" s="1"/>
  <c r="O609" i="5"/>
  <c r="S609" i="5"/>
  <c r="M609" i="5"/>
  <c r="N609" i="5" s="1"/>
  <c r="O325" i="5"/>
  <c r="S325" i="5"/>
  <c r="R325" i="5"/>
  <c r="Q325" i="5"/>
  <c r="P325" i="5"/>
  <c r="M325" i="5"/>
  <c r="N325" i="5" s="1"/>
  <c r="O284" i="5"/>
  <c r="S284" i="5"/>
  <c r="R284" i="5"/>
  <c r="Q284" i="5"/>
  <c r="P284" i="5"/>
  <c r="M284" i="5"/>
  <c r="N284" i="5" s="1"/>
  <c r="O422" i="5"/>
  <c r="S422" i="5"/>
  <c r="R422" i="5"/>
  <c r="Q422" i="5"/>
  <c r="P422" i="5"/>
  <c r="M422" i="5"/>
  <c r="N422" i="5" s="1"/>
  <c r="O449" i="5"/>
  <c r="S449" i="5"/>
  <c r="M449" i="5"/>
  <c r="N449" i="5" s="1"/>
  <c r="O778" i="5"/>
  <c r="S778" i="5"/>
  <c r="R778" i="5"/>
  <c r="M778" i="5"/>
  <c r="N778" i="5" s="1"/>
  <c r="O500" i="5"/>
  <c r="P500" i="5"/>
  <c r="M500" i="5"/>
  <c r="N500" i="5" s="1"/>
  <c r="O285" i="5"/>
  <c r="Q285" i="5"/>
  <c r="P285" i="5"/>
  <c r="M285" i="5"/>
  <c r="N285" i="5" s="1"/>
  <c r="O458" i="5"/>
  <c r="S458" i="5"/>
  <c r="Q458" i="5"/>
  <c r="P458" i="5"/>
  <c r="M458" i="5"/>
  <c r="N458" i="5" s="1"/>
  <c r="O578" i="5"/>
  <c r="R578" i="5"/>
  <c r="Q578" i="5"/>
  <c r="P578" i="5"/>
  <c r="M578" i="5"/>
  <c r="N578" i="5" s="1"/>
  <c r="O876" i="5"/>
  <c r="S876" i="5"/>
  <c r="R876" i="5"/>
  <c r="Q876" i="5"/>
  <c r="M876" i="5"/>
  <c r="N876" i="5" s="1"/>
  <c r="O144" i="5"/>
  <c r="S144" i="5"/>
  <c r="R144" i="5"/>
  <c r="M144" i="5"/>
  <c r="N144" i="5" s="1"/>
  <c r="O198" i="5"/>
  <c r="S198" i="5"/>
  <c r="M198" i="5"/>
  <c r="N198" i="5" s="1"/>
  <c r="O268" i="5"/>
  <c r="S268" i="5"/>
  <c r="R268" i="5"/>
  <c r="Q268" i="5"/>
  <c r="P268" i="5"/>
  <c r="M268" i="5"/>
  <c r="N268" i="5" s="1"/>
  <c r="O72" i="5"/>
  <c r="S72" i="5"/>
  <c r="R72" i="5"/>
  <c r="Q72" i="5"/>
  <c r="P72" i="5"/>
  <c r="M72" i="5"/>
  <c r="N72" i="5" s="1"/>
  <c r="O719" i="5"/>
  <c r="S719" i="5"/>
  <c r="R719" i="5"/>
  <c r="Q719" i="5"/>
  <c r="P719" i="5"/>
  <c r="M719" i="5"/>
  <c r="N719" i="5" s="1"/>
  <c r="O595" i="5"/>
  <c r="S595" i="5"/>
  <c r="P595" i="5"/>
  <c r="M595" i="5"/>
  <c r="N595" i="5" s="1"/>
  <c r="O632" i="5"/>
  <c r="S632" i="5"/>
  <c r="R632" i="5"/>
  <c r="M632" i="5"/>
  <c r="N632" i="5" s="1"/>
  <c r="O71" i="5"/>
  <c r="P71" i="5"/>
  <c r="M71" i="5"/>
  <c r="N71" i="5" s="1"/>
  <c r="O123" i="5"/>
  <c r="Q123" i="5"/>
  <c r="P123" i="5"/>
  <c r="M123" i="5"/>
  <c r="N123" i="5" s="1"/>
  <c r="O150" i="5"/>
  <c r="R150" i="5"/>
  <c r="Q150" i="5"/>
  <c r="P150" i="5"/>
  <c r="M150" i="5"/>
  <c r="N150" i="5" s="1"/>
  <c r="O272" i="5"/>
  <c r="R272" i="5"/>
  <c r="Q272" i="5"/>
  <c r="P272" i="5"/>
  <c r="M272" i="5"/>
  <c r="N272" i="5" s="1"/>
  <c r="O576" i="5"/>
  <c r="S576" i="5"/>
  <c r="M576" i="5"/>
  <c r="N576" i="5" s="1"/>
  <c r="O220" i="5"/>
  <c r="S220" i="5"/>
  <c r="Q220" i="5"/>
  <c r="P220" i="5"/>
  <c r="M220" i="5"/>
  <c r="N220" i="5" s="1"/>
  <c r="O531" i="5"/>
  <c r="S531" i="5"/>
  <c r="M531" i="5"/>
  <c r="N531" i="5" s="1"/>
  <c r="O221" i="5"/>
  <c r="S221" i="5"/>
  <c r="R221" i="5"/>
  <c r="Q221" i="5"/>
  <c r="P221" i="5"/>
  <c r="M221" i="5"/>
  <c r="N221" i="5" s="1"/>
  <c r="O684" i="5"/>
  <c r="S684" i="5"/>
  <c r="R684" i="5"/>
  <c r="Q684" i="5"/>
  <c r="P684" i="5"/>
  <c r="M684" i="5"/>
  <c r="N684" i="5" s="1"/>
  <c r="O612" i="5"/>
  <c r="S612" i="5"/>
  <c r="R612" i="5"/>
  <c r="Q612" i="5"/>
  <c r="P612" i="5"/>
  <c r="M612" i="5"/>
  <c r="N612" i="5" s="1"/>
  <c r="O925" i="5"/>
  <c r="S925" i="5"/>
  <c r="R925" i="5"/>
  <c r="P925" i="5"/>
  <c r="M925" i="5"/>
  <c r="N925" i="5" s="1"/>
  <c r="O995" i="5"/>
  <c r="S995" i="5"/>
  <c r="R995" i="5"/>
  <c r="P995" i="5"/>
  <c r="M995" i="5"/>
  <c r="N995" i="5" s="1"/>
  <c r="O989" i="5"/>
  <c r="M989" i="5"/>
  <c r="N989" i="5" s="1"/>
  <c r="O132" i="5"/>
  <c r="R132" i="5"/>
  <c r="Q132" i="5"/>
  <c r="P132" i="5"/>
  <c r="M132" i="5"/>
  <c r="N132" i="5" s="1"/>
  <c r="O403" i="5"/>
  <c r="Q403" i="5"/>
  <c r="P403" i="5"/>
  <c r="M403" i="5"/>
  <c r="N403" i="5" s="1"/>
  <c r="O165" i="5"/>
  <c r="R165" i="5"/>
  <c r="Q165" i="5"/>
  <c r="P165" i="5"/>
  <c r="M165" i="5"/>
  <c r="N165" i="5" s="1"/>
  <c r="O669" i="5"/>
  <c r="S669" i="5"/>
  <c r="M669" i="5"/>
  <c r="N669" i="5" s="1"/>
  <c r="O998" i="5"/>
  <c r="S998" i="5"/>
  <c r="R998" i="5"/>
  <c r="Q998" i="5"/>
  <c r="P998" i="5"/>
  <c r="M998" i="5"/>
  <c r="N998" i="5" s="1"/>
  <c r="O907" i="5"/>
  <c r="S907" i="5"/>
  <c r="M907" i="5"/>
  <c r="N907" i="5" s="1"/>
  <c r="O670" i="5"/>
  <c r="R670" i="5"/>
  <c r="Q670" i="5"/>
  <c r="P670" i="5"/>
  <c r="M670" i="5"/>
  <c r="N670" i="5" s="1"/>
  <c r="K667" i="5"/>
  <c r="Y667" i="5" s="1"/>
  <c r="K218" i="5"/>
  <c r="K470" i="5"/>
  <c r="Y470" i="5" s="1"/>
  <c r="K892" i="5"/>
  <c r="Y892" i="5" s="1"/>
  <c r="K265" i="5"/>
  <c r="Y265" i="5" s="1"/>
  <c r="K627" i="5"/>
  <c r="Y627" i="5" s="1"/>
  <c r="K337" i="5"/>
  <c r="K487" i="5"/>
  <c r="Y487" i="5" s="1"/>
  <c r="K130" i="5"/>
  <c r="Y130" i="5" s="1"/>
  <c r="K804" i="5"/>
  <c r="Y804" i="5" s="1"/>
  <c r="K717" i="5"/>
  <c r="Y717" i="5" s="1"/>
  <c r="K827" i="5"/>
  <c r="Y827" i="5" s="1"/>
  <c r="K478" i="5"/>
  <c r="Y478" i="5" s="1"/>
  <c r="K712" i="5"/>
  <c r="Y712" i="5" s="1"/>
  <c r="K84" i="5"/>
  <c r="Y84" i="5" s="1"/>
  <c r="J84" i="5"/>
  <c r="K164" i="5"/>
  <c r="Y164" i="5" s="1"/>
  <c r="J164" i="5"/>
  <c r="K666" i="5"/>
  <c r="Y666" i="5" s="1"/>
  <c r="J666" i="5"/>
  <c r="X666" i="5" s="1"/>
  <c r="K253" i="5"/>
  <c r="Y253" i="5" s="1"/>
  <c r="J253" i="5"/>
  <c r="X253" i="5" s="1"/>
  <c r="K702" i="5"/>
  <c r="Y702" i="5" s="1"/>
  <c r="J702" i="5"/>
  <c r="X702" i="5" s="1"/>
  <c r="K759" i="5"/>
  <c r="Y759" i="5" s="1"/>
  <c r="J759" i="5"/>
  <c r="X759" i="5" s="1"/>
  <c r="K660" i="5"/>
  <c r="Y660" i="5" s="1"/>
  <c r="J660" i="5"/>
  <c r="K184" i="5"/>
  <c r="Y184" i="5" s="1"/>
  <c r="J184" i="5"/>
  <c r="X184" i="5" s="1"/>
  <c r="K349" i="5"/>
  <c r="Y349" i="5" s="1"/>
  <c r="J349" i="5"/>
  <c r="K389" i="5"/>
  <c r="Y389" i="5" s="1"/>
  <c r="J389" i="5"/>
  <c r="X389" i="5" s="1"/>
  <c r="K361" i="5"/>
  <c r="Y361" i="5" s="1"/>
  <c r="J361" i="5"/>
  <c r="K188" i="5"/>
  <c r="Y188" i="5" s="1"/>
  <c r="J188" i="5"/>
  <c r="K767" i="5"/>
  <c r="Y767" i="5" s="1"/>
  <c r="J767" i="5"/>
  <c r="K73" i="5"/>
  <c r="Y73" i="5" s="1"/>
  <c r="J73" i="5"/>
  <c r="K540" i="5"/>
  <c r="J540" i="5"/>
  <c r="K644" i="5"/>
  <c r="Y644" i="5" s="1"/>
  <c r="J644" i="5"/>
  <c r="K44" i="5"/>
  <c r="Y44" i="5" s="1"/>
  <c r="J44" i="5"/>
  <c r="K174" i="5"/>
  <c r="Y174" i="5" s="1"/>
  <c r="J174" i="5"/>
  <c r="K825" i="5"/>
  <c r="Y825" i="5" s="1"/>
  <c r="J825" i="5"/>
  <c r="K29" i="5"/>
  <c r="Y29" i="5" s="1"/>
  <c r="J29" i="5"/>
  <c r="X29" i="5" s="1"/>
  <c r="K761" i="5"/>
  <c r="Y761" i="5" s="1"/>
  <c r="J761" i="5"/>
  <c r="X761" i="5" s="1"/>
  <c r="K840" i="5"/>
  <c r="Y840" i="5" s="1"/>
  <c r="J840" i="5"/>
  <c r="K656" i="5"/>
  <c r="Y656" i="5" s="1"/>
  <c r="J656" i="5"/>
  <c r="K643" i="5"/>
  <c r="Y643" i="5" s="1"/>
  <c r="J643" i="5"/>
  <c r="K844" i="5"/>
  <c r="Y844" i="5" s="1"/>
  <c r="J844" i="5"/>
  <c r="X844" i="5" s="1"/>
  <c r="K834" i="5"/>
  <c r="Y834" i="5" s="1"/>
  <c r="J834" i="5"/>
  <c r="K679" i="5"/>
  <c r="Y679" i="5" s="1"/>
  <c r="J679" i="5"/>
  <c r="K546" i="5"/>
  <c r="Y546" i="5" s="1"/>
  <c r="J546" i="5"/>
  <c r="K562" i="5"/>
  <c r="Y562" i="5" s="1"/>
  <c r="J562" i="5"/>
  <c r="K248" i="5"/>
  <c r="Y248" i="5" s="1"/>
  <c r="J248" i="5"/>
  <c r="K94" i="5"/>
  <c r="Y94" i="5" s="1"/>
  <c r="J94" i="5"/>
  <c r="X94" i="5" s="1"/>
  <c r="K782" i="5"/>
  <c r="Y782" i="5" s="1"/>
  <c r="J782" i="5"/>
  <c r="X782" i="5" s="1"/>
  <c r="K127" i="5"/>
  <c r="Y127" i="5" s="1"/>
  <c r="J127" i="5"/>
  <c r="X127" i="5" s="1"/>
  <c r="K537" i="5"/>
  <c r="Y537" i="5" s="1"/>
  <c r="J537" i="5"/>
  <c r="X537" i="5" s="1"/>
  <c r="K80" i="5"/>
  <c r="Y80" i="5" s="1"/>
  <c r="J80" i="5"/>
  <c r="X80" i="5" s="1"/>
  <c r="K592" i="5"/>
  <c r="Y592" i="5" s="1"/>
  <c r="J592" i="5"/>
  <c r="K864" i="5"/>
  <c r="Y864" i="5" s="1"/>
  <c r="J864" i="5"/>
  <c r="K483" i="5"/>
  <c r="Y483" i="5" s="1"/>
  <c r="J483" i="5"/>
  <c r="X483" i="5" s="1"/>
  <c r="K731" i="5"/>
  <c r="Y731" i="5" s="1"/>
  <c r="J731" i="5"/>
  <c r="K745" i="5"/>
  <c r="Y745" i="5" s="1"/>
  <c r="J745" i="5"/>
  <c r="X745" i="5" s="1"/>
  <c r="K728" i="5"/>
  <c r="Y728" i="5" s="1"/>
  <c r="J728" i="5"/>
  <c r="K233" i="5"/>
  <c r="Y233" i="5" s="1"/>
  <c r="J233" i="5"/>
  <c r="K945" i="5"/>
  <c r="Y945" i="5" s="1"/>
  <c r="J945" i="5"/>
  <c r="X945" i="5" s="1"/>
  <c r="K690" i="5"/>
  <c r="Y690" i="5" s="1"/>
  <c r="J690" i="5"/>
  <c r="X690" i="5" s="1"/>
  <c r="K683" i="5"/>
  <c r="Y683" i="5" s="1"/>
  <c r="J683" i="5"/>
  <c r="K35" i="5"/>
  <c r="Y35" i="5" s="1"/>
  <c r="J35" i="5"/>
  <c r="X35" i="5" s="1"/>
  <c r="K288" i="5"/>
  <c r="Y288" i="5" s="1"/>
  <c r="J288" i="5"/>
  <c r="K990" i="5"/>
  <c r="Y990" i="5" s="1"/>
  <c r="J990" i="5"/>
  <c r="K711" i="5"/>
  <c r="Y711" i="5" s="1"/>
  <c r="J711" i="5"/>
  <c r="K331" i="5"/>
  <c r="Y331" i="5" s="1"/>
  <c r="J331" i="5"/>
  <c r="K956" i="5"/>
  <c r="Y956" i="5" s="1"/>
  <c r="J956" i="5"/>
  <c r="K146" i="5"/>
  <c r="Y146" i="5" s="1"/>
  <c r="J146" i="5"/>
  <c r="K866" i="5"/>
  <c r="Y866" i="5" s="1"/>
  <c r="J866" i="5"/>
  <c r="J254" i="5"/>
  <c r="K254" i="5"/>
  <c r="Y254" i="5" s="1"/>
  <c r="J291" i="5"/>
  <c r="K291" i="5"/>
  <c r="Y291" i="5" s="1"/>
  <c r="J610" i="5"/>
  <c r="X610" i="5" s="1"/>
  <c r="K610" i="5"/>
  <c r="Y610" i="5" s="1"/>
  <c r="K65" i="5"/>
  <c r="Y65" i="5" s="1"/>
  <c r="J65" i="5"/>
  <c r="K171" i="5"/>
  <c r="Y171" i="5" s="1"/>
  <c r="J171" i="5"/>
  <c r="X171" i="5" s="1"/>
  <c r="K642" i="5"/>
  <c r="Y642" i="5" s="1"/>
  <c r="J642" i="5"/>
  <c r="X642" i="5" s="1"/>
  <c r="K5" i="5"/>
  <c r="Y5" i="5" s="1"/>
  <c r="J5" i="5"/>
  <c r="K229" i="5"/>
  <c r="Y229" i="5" s="1"/>
  <c r="J229" i="5"/>
  <c r="K204" i="5"/>
  <c r="Y204" i="5" s="1"/>
  <c r="J204" i="5"/>
  <c r="K441" i="5"/>
  <c r="Y441" i="5" s="1"/>
  <c r="J441" i="5"/>
  <c r="K232" i="5"/>
  <c r="Y232" i="5" s="1"/>
  <c r="J232" i="5"/>
  <c r="J464" i="5"/>
  <c r="K464" i="5"/>
  <c r="Y464" i="5" s="1"/>
  <c r="J885" i="5"/>
  <c r="K885" i="5"/>
  <c r="Y885" i="5" s="1"/>
  <c r="K838" i="5"/>
  <c r="Y838" i="5" s="1"/>
  <c r="J838" i="5"/>
  <c r="K476" i="5"/>
  <c r="Y476" i="5" s="1"/>
  <c r="J476" i="5"/>
  <c r="J197" i="5"/>
  <c r="K197" i="5"/>
  <c r="Y197" i="5" s="1"/>
  <c r="K20" i="5"/>
  <c r="Y20" i="5" s="1"/>
  <c r="J20" i="5"/>
  <c r="W20" i="5" s="1"/>
  <c r="L228" i="5"/>
  <c r="Z228" i="5" s="1"/>
  <c r="L357" i="5"/>
  <c r="Z357" i="5" s="1"/>
  <c r="L769" i="5"/>
  <c r="Z769" i="5" s="1"/>
  <c r="L247" i="5"/>
  <c r="Z247" i="5" s="1"/>
  <c r="L658" i="5"/>
  <c r="Z658" i="5" s="1"/>
  <c r="L981" i="5"/>
  <c r="Z981" i="5" s="1"/>
  <c r="L588" i="5"/>
  <c r="Z588" i="5" s="1"/>
  <c r="L33" i="5"/>
  <c r="Z33" i="5" s="1"/>
  <c r="L492" i="5"/>
  <c r="Z492" i="5" s="1"/>
  <c r="L489" i="5"/>
  <c r="Z489" i="5" s="1"/>
  <c r="L536" i="5"/>
  <c r="Z536" i="5" s="1"/>
  <c r="L99" i="5"/>
  <c r="Z99" i="5" s="1"/>
  <c r="L17" i="5"/>
  <c r="Z17" i="5" s="1"/>
  <c r="L317" i="5"/>
  <c r="Z317" i="5" s="1"/>
  <c r="L594" i="5"/>
  <c r="Z594" i="5" s="1"/>
  <c r="L863" i="5"/>
  <c r="Z863" i="5" s="1"/>
  <c r="L462" i="5"/>
  <c r="Z462" i="5" s="1"/>
  <c r="L239" i="5"/>
  <c r="Z239" i="5" s="1"/>
  <c r="L700" i="5"/>
  <c r="Z700" i="5" s="1"/>
  <c r="L326" i="5"/>
  <c r="Z326" i="5" s="1"/>
  <c r="L873" i="5"/>
  <c r="Z873" i="5" s="1"/>
  <c r="L685" i="5"/>
  <c r="Z685" i="5" s="1"/>
  <c r="L987" i="5"/>
  <c r="Z987" i="5" s="1"/>
  <c r="L732" i="5"/>
  <c r="Z732" i="5" s="1"/>
  <c r="L320" i="5"/>
  <c r="Z320" i="5" s="1"/>
  <c r="L903" i="5"/>
  <c r="Z903" i="5" s="1"/>
  <c r="L467" i="5"/>
  <c r="Z467" i="5" s="1"/>
  <c r="L142" i="5"/>
  <c r="Z142" i="5" s="1"/>
  <c r="L826" i="5"/>
  <c r="Z826" i="5" s="1"/>
  <c r="L26" i="5"/>
  <c r="Z26" i="5" s="1"/>
  <c r="L603" i="5"/>
  <c r="Z603" i="5" s="1"/>
  <c r="L493" i="5"/>
  <c r="Z493" i="5" s="1"/>
  <c r="L409" i="5"/>
  <c r="Z409" i="5" s="1"/>
  <c r="L108" i="5"/>
  <c r="Z108" i="5" s="1"/>
  <c r="L249" i="5"/>
  <c r="Z249" i="5" s="1"/>
  <c r="L439" i="5"/>
  <c r="Z439" i="5" s="1"/>
  <c r="L117" i="5"/>
  <c r="Z117" i="5" s="1"/>
  <c r="L914" i="5"/>
  <c r="Z914" i="5" s="1"/>
  <c r="L465" i="5"/>
  <c r="Z465" i="5" s="1"/>
  <c r="L527" i="5"/>
  <c r="Z527" i="5" s="1"/>
  <c r="L808" i="5"/>
  <c r="Z808" i="5" s="1"/>
  <c r="L513" i="5"/>
  <c r="Z513" i="5" s="1"/>
  <c r="L560" i="5"/>
  <c r="Z560" i="5" s="1"/>
  <c r="L59" i="5"/>
  <c r="Z59" i="5" s="1"/>
  <c r="L774" i="5"/>
  <c r="Z774" i="5" s="1"/>
  <c r="L457" i="5"/>
  <c r="Z457" i="5" s="1"/>
  <c r="L170" i="5"/>
  <c r="Z170" i="5" s="1"/>
  <c r="L833" i="5"/>
  <c r="Z833" i="5" s="1"/>
  <c r="L352" i="5"/>
  <c r="Z352" i="5" s="1"/>
  <c r="L60" i="5"/>
  <c r="Z60" i="5" s="1"/>
  <c r="L553" i="5"/>
  <c r="Z553" i="5" s="1"/>
  <c r="L413" i="5"/>
  <c r="Z413" i="5" s="1"/>
  <c r="L567" i="5"/>
  <c r="Z567" i="5" s="1"/>
  <c r="L997" i="5"/>
  <c r="Z997" i="5" s="1"/>
  <c r="L50" i="5"/>
  <c r="Z50" i="5" s="1"/>
  <c r="L315" i="5"/>
  <c r="Z315" i="5" s="1"/>
  <c r="L639" i="5"/>
  <c r="Z639" i="5" s="1"/>
  <c r="L739" i="5"/>
  <c r="Z739" i="5" s="1"/>
  <c r="L385" i="5"/>
  <c r="Z385" i="5" s="1"/>
  <c r="L993" i="5"/>
  <c r="Z993" i="5" s="1"/>
  <c r="L313" i="5"/>
  <c r="Z313" i="5" s="1"/>
  <c r="L122" i="5"/>
  <c r="Z122" i="5" s="1"/>
  <c r="L114" i="5"/>
  <c r="Z114" i="5" s="1"/>
  <c r="L305" i="5"/>
  <c r="Z305" i="5" s="1"/>
  <c r="L456" i="5"/>
  <c r="Z456" i="5" s="1"/>
  <c r="L211" i="5"/>
  <c r="Z211" i="5" s="1"/>
  <c r="L437" i="5"/>
  <c r="Z437" i="5" s="1"/>
  <c r="L919" i="5"/>
  <c r="Z919" i="5" s="1"/>
  <c r="L137" i="5"/>
  <c r="Z137" i="5" s="1"/>
  <c r="L653" i="5"/>
  <c r="Z653" i="5" s="1"/>
  <c r="L725" i="5"/>
  <c r="Z725" i="5" s="1"/>
  <c r="L865" i="5"/>
  <c r="Z865" i="5" s="1"/>
  <c r="L365" i="5"/>
  <c r="Z365" i="5" s="1"/>
  <c r="L134" i="5"/>
  <c r="Z134" i="5" s="1"/>
  <c r="L898" i="5"/>
  <c r="Z898" i="5" s="1"/>
  <c r="L720" i="5"/>
  <c r="Z720" i="5" s="1"/>
  <c r="L779" i="5"/>
  <c r="Z779" i="5" s="1"/>
  <c r="L942" i="5"/>
  <c r="Z942" i="5" s="1"/>
  <c r="L923" i="5"/>
  <c r="Z923" i="5" s="1"/>
  <c r="L436" i="5"/>
  <c r="Z436" i="5" s="1"/>
  <c r="L89" i="5"/>
  <c r="Z89" i="5" s="1"/>
  <c r="L715" i="5"/>
  <c r="Z715" i="5" s="1"/>
  <c r="L868" i="5"/>
  <c r="Z868" i="5" s="1"/>
  <c r="J964" i="5"/>
  <c r="J533" i="5"/>
  <c r="X533" i="5" s="1"/>
  <c r="J473" i="5"/>
  <c r="J434" i="5"/>
  <c r="J946" i="5"/>
  <c r="J244" i="5"/>
  <c r="X244" i="5" s="1"/>
  <c r="J772" i="5"/>
  <c r="J261" i="5"/>
  <c r="X261" i="5" s="1"/>
  <c r="J56" i="5"/>
  <c r="X56" i="5" s="1"/>
  <c r="J199" i="5"/>
  <c r="W199" i="5" s="1"/>
  <c r="J638" i="5"/>
  <c r="B27" i="6"/>
  <c r="D27" i="6" s="1"/>
  <c r="AA901" i="5"/>
  <c r="AB901" i="5" s="1"/>
  <c r="AA485" i="5"/>
  <c r="AB485" i="5" s="1"/>
  <c r="AA780" i="5"/>
  <c r="AB780" i="5" s="1"/>
  <c r="AA969" i="5"/>
  <c r="AB969" i="5" s="1"/>
  <c r="AA432" i="5"/>
  <c r="AA147" i="5"/>
  <c r="AB147" i="5" s="1"/>
  <c r="AA252" i="5"/>
  <c r="AB252" i="5" s="1"/>
  <c r="AA138" i="5"/>
  <c r="AB138" i="5" s="1"/>
  <c r="D4" i="4"/>
  <c r="D3" i="4"/>
  <c r="D2" i="4"/>
  <c r="S165" i="5" l="1"/>
  <c r="P778" i="5"/>
  <c r="Q614" i="5"/>
  <c r="P985" i="5"/>
  <c r="Y724" i="5"/>
  <c r="R199" i="5"/>
  <c r="Q632" i="5"/>
  <c r="R449" i="5"/>
  <c r="P56" i="5"/>
  <c r="P758" i="5"/>
  <c r="R523" i="5"/>
  <c r="S602" i="5"/>
  <c r="R121" i="5"/>
  <c r="P430" i="5"/>
  <c r="R768" i="5"/>
  <c r="Y858" i="5"/>
  <c r="S485" i="5"/>
  <c r="T485" i="5" s="1"/>
  <c r="U485" i="5" s="1"/>
  <c r="S752" i="5"/>
  <c r="R857" i="5"/>
  <c r="S391" i="5"/>
  <c r="S83" i="5"/>
  <c r="R251" i="5"/>
  <c r="X415" i="5"/>
  <c r="X203" i="5"/>
  <c r="X813" i="5"/>
  <c r="S5" i="5"/>
  <c r="X748" i="5"/>
  <c r="X905" i="5"/>
  <c r="Y134" i="5"/>
  <c r="Y60" i="5"/>
  <c r="AA60" i="5" s="1"/>
  <c r="AB60" i="5" s="1"/>
  <c r="Y914" i="5"/>
  <c r="P266" i="5"/>
  <c r="P933" i="5"/>
  <c r="S635" i="5"/>
  <c r="S298" i="5"/>
  <c r="Y198" i="5"/>
  <c r="Y119" i="5"/>
  <c r="Y922" i="5"/>
  <c r="P339" i="5"/>
  <c r="P905" i="5"/>
  <c r="S824" i="5"/>
  <c r="P999" i="5"/>
  <c r="T999" i="5" s="1"/>
  <c r="U999" i="5" s="1"/>
  <c r="X811" i="5"/>
  <c r="X251" i="5"/>
  <c r="P725" i="5"/>
  <c r="W599" i="5"/>
  <c r="W413" i="5"/>
  <c r="W596" i="5"/>
  <c r="W719" i="5"/>
  <c r="W212" i="5"/>
  <c r="AA212" i="5" s="1"/>
  <c r="AB212" i="5" s="1"/>
  <c r="W713" i="5"/>
  <c r="W961" i="5"/>
  <c r="W811" i="5"/>
  <c r="AA811" i="5" s="1"/>
  <c r="AB811" i="5" s="1"/>
  <c r="W379" i="5"/>
  <c r="AA379" i="5" s="1"/>
  <c r="AB379" i="5" s="1"/>
  <c r="W892" i="5"/>
  <c r="W647" i="5"/>
  <c r="W179" i="5"/>
  <c r="W820" i="5"/>
  <c r="W775" i="5"/>
  <c r="P587" i="5"/>
  <c r="P50" i="5"/>
  <c r="W758" i="5"/>
  <c r="W642" i="5"/>
  <c r="W581" i="5"/>
  <c r="W933" i="5"/>
  <c r="Y218" i="5"/>
  <c r="S132" i="5"/>
  <c r="S622" i="5"/>
  <c r="Y307" i="5"/>
  <c r="Y269" i="5"/>
  <c r="S447" i="5"/>
  <c r="P47" i="5"/>
  <c r="S61" i="5"/>
  <c r="X760" i="5"/>
  <c r="X984" i="5"/>
  <c r="X503" i="5"/>
  <c r="X55" i="5"/>
  <c r="X530" i="5"/>
  <c r="S990" i="5"/>
  <c r="P690" i="5"/>
  <c r="S94" i="5"/>
  <c r="S679" i="5"/>
  <c r="S218" i="5"/>
  <c r="S421" i="5"/>
  <c r="P241" i="5"/>
  <c r="P672" i="5"/>
  <c r="Q974" i="5"/>
  <c r="Y923" i="5"/>
  <c r="Y50" i="5"/>
  <c r="AA50" i="5" s="1"/>
  <c r="AB50" i="5" s="1"/>
  <c r="Y603" i="5"/>
  <c r="S884" i="5"/>
  <c r="S160" i="5"/>
  <c r="S381" i="5"/>
  <c r="Y259" i="5"/>
  <c r="S532" i="5"/>
  <c r="S986" i="5"/>
  <c r="S962" i="5"/>
  <c r="Y435" i="5"/>
  <c r="Y707" i="5"/>
  <c r="S691" i="5"/>
  <c r="S696" i="5"/>
  <c r="Y758" i="5"/>
  <c r="Y757" i="5"/>
  <c r="P895" i="5"/>
  <c r="X601" i="5"/>
  <c r="P993" i="5"/>
  <c r="Y262" i="5"/>
  <c r="P216" i="5"/>
  <c r="W605" i="5"/>
  <c r="W339" i="5"/>
  <c r="W623" i="5"/>
  <c r="W60" i="5"/>
  <c r="W769" i="5"/>
  <c r="W930" i="5"/>
  <c r="W144" i="5"/>
  <c r="AA144" i="5" s="1"/>
  <c r="W755" i="5"/>
  <c r="W82" i="5"/>
  <c r="AA82" i="5" s="1"/>
  <c r="AB82" i="5" s="1"/>
  <c r="W262" i="5"/>
  <c r="AA262" i="5" s="1"/>
  <c r="AB262" i="5" s="1"/>
  <c r="W974" i="5"/>
  <c r="W415" i="5"/>
  <c r="W214" i="5"/>
  <c r="Q890" i="5"/>
  <c r="Q262" i="5"/>
  <c r="W659" i="5"/>
  <c r="S412" i="5"/>
  <c r="T412" i="5" s="1"/>
  <c r="U412" i="5" s="1"/>
  <c r="Q81" i="5"/>
  <c r="T81" i="5" s="1"/>
  <c r="U81" i="5" s="1"/>
  <c r="P237" i="5"/>
  <c r="S922" i="5"/>
  <c r="R724" i="5"/>
  <c r="Q423" i="5"/>
  <c r="P57" i="5"/>
  <c r="Q621" i="5"/>
  <c r="P42" i="5"/>
  <c r="P95" i="5"/>
  <c r="X219" i="5"/>
  <c r="R703" i="5"/>
  <c r="S626" i="5"/>
  <c r="T626" i="5" s="1"/>
  <c r="U626" i="5" s="1"/>
  <c r="Q316" i="5"/>
  <c r="T316" i="5" s="1"/>
  <c r="U316" i="5" s="1"/>
  <c r="Q763" i="5"/>
  <c r="S201" i="5"/>
  <c r="P262" i="5"/>
  <c r="S781" i="5"/>
  <c r="Y186" i="5"/>
  <c r="Y869" i="5"/>
  <c r="Y563" i="5"/>
  <c r="Y928" i="5"/>
  <c r="S825" i="5"/>
  <c r="S540" i="5"/>
  <c r="S361" i="5"/>
  <c r="S337" i="5"/>
  <c r="S418" i="5"/>
  <c r="S988" i="5"/>
  <c r="P647" i="5"/>
  <c r="P179" i="5"/>
  <c r="S25" i="5"/>
  <c r="P354" i="5"/>
  <c r="Y773" i="5"/>
  <c r="S75" i="5"/>
  <c r="S526" i="5"/>
  <c r="S584" i="5"/>
  <c r="S503" i="5"/>
  <c r="P245" i="5"/>
  <c r="P445" i="5"/>
  <c r="S928" i="5"/>
  <c r="P856" i="5"/>
  <c r="P748" i="5"/>
  <c r="Y32" i="5"/>
  <c r="Y461" i="5"/>
  <c r="Y494" i="5"/>
  <c r="P305" i="5"/>
  <c r="P181" i="5"/>
  <c r="P930" i="5"/>
  <c r="W999" i="5"/>
  <c r="AA999" i="5" s="1"/>
  <c r="AB999" i="5" s="1"/>
  <c r="W919" i="5"/>
  <c r="W249" i="5"/>
  <c r="W449" i="5"/>
  <c r="W797" i="5"/>
  <c r="W57" i="5"/>
  <c r="W161" i="5"/>
  <c r="W626" i="5"/>
  <c r="AA626" i="5" s="1"/>
  <c r="AB626" i="5" s="1"/>
  <c r="W618" i="5"/>
  <c r="AA618" i="5" s="1"/>
  <c r="AB618" i="5" s="1"/>
  <c r="W690" i="5"/>
  <c r="W9" i="5"/>
  <c r="W309" i="5"/>
  <c r="W479" i="5"/>
  <c r="R201" i="5"/>
  <c r="T201" i="5" s="1"/>
  <c r="U201" i="5" s="1"/>
  <c r="S278" i="5"/>
  <c r="X45" i="5"/>
  <c r="P927" i="5"/>
  <c r="W266" i="5"/>
  <c r="Q843" i="5"/>
  <c r="R261" i="5"/>
  <c r="Y241" i="5"/>
  <c r="R237" i="5"/>
  <c r="S517" i="5"/>
  <c r="R57" i="5"/>
  <c r="X10" i="5"/>
  <c r="AA10" i="5" s="1"/>
  <c r="AB10" i="5" s="1"/>
  <c r="X821" i="5"/>
  <c r="AA821" i="5" s="1"/>
  <c r="AB821" i="5" s="1"/>
  <c r="S967" i="5"/>
  <c r="S257" i="5"/>
  <c r="S799" i="5"/>
  <c r="R110" i="5"/>
  <c r="S845" i="5"/>
  <c r="S554" i="5"/>
  <c r="X230" i="5"/>
  <c r="S63" i="5"/>
  <c r="X186" i="5"/>
  <c r="S127" i="5"/>
  <c r="P9" i="5"/>
  <c r="P366" i="5"/>
  <c r="P529" i="5"/>
  <c r="Y385" i="5"/>
  <c r="Y658" i="5"/>
  <c r="Y555" i="5"/>
  <c r="P309" i="5"/>
  <c r="P792" i="5"/>
  <c r="P859" i="5"/>
  <c r="Y719" i="5"/>
  <c r="AA719" i="5" s="1"/>
  <c r="AB719" i="5" s="1"/>
  <c r="Y764" i="5"/>
  <c r="Y292" i="5"/>
  <c r="P960" i="5"/>
  <c r="T960" i="5" s="1"/>
  <c r="U960" i="5" s="1"/>
  <c r="Y301" i="5"/>
  <c r="X654" i="5"/>
  <c r="Y294" i="5"/>
  <c r="S842" i="5"/>
  <c r="S173" i="5"/>
  <c r="S991" i="5"/>
  <c r="Y201" i="5"/>
  <c r="P539" i="5"/>
  <c r="P393" i="5"/>
  <c r="W584" i="5"/>
  <c r="W55" i="5"/>
  <c r="W109" i="5"/>
  <c r="W21" i="5"/>
  <c r="AA21" i="5" s="1"/>
  <c r="AB21" i="5" s="1"/>
  <c r="W242" i="5"/>
  <c r="W472" i="5"/>
  <c r="W754" i="5"/>
  <c r="AA754" i="5" s="1"/>
  <c r="AB754" i="5" s="1"/>
  <c r="W83" i="5"/>
  <c r="W184" i="5"/>
  <c r="W958" i="5"/>
  <c r="W40" i="5"/>
  <c r="W230" i="5"/>
  <c r="W813" i="5"/>
  <c r="S419" i="5"/>
  <c r="S277" i="5"/>
  <c r="T277" i="5" s="1"/>
  <c r="U277" i="5" s="1"/>
  <c r="Q57" i="5"/>
  <c r="T57" i="5" s="1"/>
  <c r="U57" i="5" s="1"/>
  <c r="R701" i="5"/>
  <c r="S837" i="5"/>
  <c r="Y550" i="5"/>
  <c r="P125" i="5"/>
  <c r="P669" i="5"/>
  <c r="S272" i="5"/>
  <c r="R595" i="5"/>
  <c r="P633" i="5"/>
  <c r="R219" i="5"/>
  <c r="X77" i="5"/>
  <c r="X547" i="5"/>
  <c r="AA547" i="5" s="1"/>
  <c r="AB547" i="5" s="1"/>
  <c r="X319" i="5"/>
  <c r="AA319" i="5" s="1"/>
  <c r="AB319" i="5" s="1"/>
  <c r="Q801" i="5"/>
  <c r="Q528" i="5"/>
  <c r="S766" i="5"/>
  <c r="Y176" i="5"/>
  <c r="R967" i="5"/>
  <c r="Q225" i="5"/>
  <c r="Q92" i="5"/>
  <c r="Y598" i="5"/>
  <c r="P544" i="5"/>
  <c r="S945" i="5"/>
  <c r="Y118" i="5"/>
  <c r="Y810" i="5"/>
  <c r="S872" i="5"/>
  <c r="S269" i="5"/>
  <c r="S366" i="5"/>
  <c r="P821" i="5"/>
  <c r="S665" i="5"/>
  <c r="P651" i="5"/>
  <c r="Y328" i="5"/>
  <c r="S351" i="5"/>
  <c r="P203" i="5"/>
  <c r="P38" i="5"/>
  <c r="P180" i="5"/>
  <c r="T180" i="5" s="1"/>
  <c r="U180" i="5" s="1"/>
  <c r="S792" i="5"/>
  <c r="P55" i="5"/>
  <c r="Y95" i="5"/>
  <c r="Y967" i="5"/>
  <c r="Y961" i="5"/>
  <c r="Y397" i="5"/>
  <c r="P919" i="5"/>
  <c r="P467" i="5"/>
  <c r="X910" i="5"/>
  <c r="W28" i="5"/>
  <c r="W445" i="5"/>
  <c r="W305" i="5"/>
  <c r="W467" i="5"/>
  <c r="W393" i="5"/>
  <c r="W167" i="5"/>
  <c r="W251" i="5"/>
  <c r="AA251" i="5" s="1"/>
  <c r="AB251" i="5" s="1"/>
  <c r="W544" i="5"/>
  <c r="W781" i="5"/>
  <c r="W745" i="5"/>
  <c r="W672" i="5"/>
  <c r="W558" i="5"/>
  <c r="W926" i="5"/>
  <c r="W985" i="5"/>
  <c r="W203" i="5"/>
  <c r="W354" i="5"/>
  <c r="R764" i="5"/>
  <c r="S743" i="5"/>
  <c r="X616" i="5"/>
  <c r="Y37" i="5"/>
  <c r="P144" i="5"/>
  <c r="Q633" i="5"/>
  <c r="S843" i="5"/>
  <c r="R15" i="5"/>
  <c r="S219" i="5"/>
  <c r="Q556" i="5"/>
  <c r="Q757" i="5"/>
  <c r="S444" i="5"/>
  <c r="T444" i="5" s="1"/>
  <c r="U444" i="5" s="1"/>
  <c r="X899" i="5"/>
  <c r="S154" i="5"/>
  <c r="R316" i="5"/>
  <c r="Q811" i="5"/>
  <c r="X543" i="5"/>
  <c r="S965" i="5"/>
  <c r="Q202" i="5"/>
  <c r="P329" i="5"/>
  <c r="S171" i="5"/>
  <c r="P35" i="5"/>
  <c r="S731" i="5"/>
  <c r="S562" i="5"/>
  <c r="X223" i="5"/>
  <c r="P657" i="5"/>
  <c r="P319" i="5"/>
  <c r="P558" i="5"/>
  <c r="S303" i="5"/>
  <c r="S281" i="5"/>
  <c r="P175" i="5"/>
  <c r="Y390" i="5"/>
  <c r="P803" i="5"/>
  <c r="P504" i="5"/>
  <c r="S662" i="5"/>
  <c r="S908" i="5"/>
  <c r="Y970" i="5"/>
  <c r="S7" i="5"/>
  <c r="P28" i="5"/>
  <c r="S55" i="5"/>
  <c r="Y713" i="5"/>
  <c r="S404" i="5"/>
  <c r="Y322" i="5"/>
  <c r="Y372" i="5"/>
  <c r="P133" i="5"/>
  <c r="W507" i="5"/>
  <c r="W530" i="5"/>
  <c r="AA530" i="5" s="1"/>
  <c r="AB530" i="5" s="1"/>
  <c r="W905" i="5"/>
  <c r="AA905" i="5" s="1"/>
  <c r="AB905" i="5" s="1"/>
  <c r="W993" i="5"/>
  <c r="W326" i="5"/>
  <c r="W994" i="5"/>
  <c r="W940" i="5"/>
  <c r="W150" i="5"/>
  <c r="W274" i="5"/>
  <c r="AA274" i="5" s="1"/>
  <c r="AB274" i="5" s="1"/>
  <c r="W88" i="5"/>
  <c r="W95" i="5"/>
  <c r="W601" i="5"/>
  <c r="W311" i="5"/>
  <c r="W366" i="5"/>
  <c r="AA366" i="5" s="1"/>
  <c r="AB366" i="5" s="1"/>
  <c r="W529" i="5"/>
  <c r="AA529" i="5" s="1"/>
  <c r="AB529" i="5" s="1"/>
  <c r="W38" i="5"/>
  <c r="W792" i="5"/>
  <c r="Q490" i="5"/>
  <c r="R922" i="5"/>
  <c r="Q95" i="5"/>
  <c r="X344" i="5"/>
  <c r="S176" i="5"/>
  <c r="P605" i="5"/>
  <c r="X199" i="5"/>
  <c r="Y540" i="5"/>
  <c r="Y337" i="5"/>
  <c r="AA337" i="5" s="1"/>
  <c r="AB337" i="5" s="1"/>
  <c r="R669" i="5"/>
  <c r="T669" i="5" s="1"/>
  <c r="U669" i="5" s="1"/>
  <c r="Q144" i="5"/>
  <c r="R285" i="5"/>
  <c r="R368" i="5"/>
  <c r="S15" i="5"/>
  <c r="R550" i="5"/>
  <c r="R801" i="5"/>
  <c r="S654" i="5"/>
  <c r="Q721" i="5"/>
  <c r="R734" i="5"/>
  <c r="Q852" i="5"/>
  <c r="S149" i="5"/>
  <c r="T149" i="5" s="1"/>
  <c r="U149" i="5" s="1"/>
  <c r="R225" i="5"/>
  <c r="T225" i="5" s="1"/>
  <c r="U225" i="5" s="1"/>
  <c r="S92" i="5"/>
  <c r="Q677" i="5"/>
  <c r="Y740" i="5"/>
  <c r="S844" i="5"/>
  <c r="P761" i="5"/>
  <c r="Q712" i="5"/>
  <c r="P958" i="5"/>
  <c r="P547" i="5"/>
  <c r="S920" i="5"/>
  <c r="P581" i="5"/>
  <c r="P899" i="5"/>
  <c r="P230" i="5"/>
  <c r="Y638" i="5"/>
  <c r="S807" i="5"/>
  <c r="S205" i="5"/>
  <c r="S563" i="5"/>
  <c r="P530" i="5"/>
  <c r="Y853" i="5"/>
  <c r="P623" i="5"/>
  <c r="S810" i="5"/>
  <c r="Y606" i="5"/>
  <c r="Y473" i="5"/>
  <c r="P994" i="5"/>
  <c r="P940" i="5"/>
  <c r="T940" i="5" s="1"/>
  <c r="U940" i="5" s="1"/>
  <c r="X707" i="5"/>
  <c r="W691" i="5"/>
  <c r="W960" i="5"/>
  <c r="W129" i="5"/>
  <c r="W50" i="5"/>
  <c r="W887" i="5"/>
  <c r="W23" i="5"/>
  <c r="AA23" i="5" s="1"/>
  <c r="AB23" i="5" s="1"/>
  <c r="W410" i="5"/>
  <c r="W504" i="5"/>
  <c r="W944" i="5"/>
  <c r="R397" i="5"/>
  <c r="R123" i="5"/>
  <c r="T123" i="5" s="1"/>
  <c r="U123" i="5" s="1"/>
  <c r="P576" i="5"/>
  <c r="S285" i="5"/>
  <c r="P449" i="5"/>
  <c r="Q24" i="5"/>
  <c r="S829" i="5"/>
  <c r="R556" i="5"/>
  <c r="Q88" i="5"/>
  <c r="Q104" i="5"/>
  <c r="Q121" i="5"/>
  <c r="Q768" i="5"/>
  <c r="S931" i="5"/>
  <c r="T931" i="5" s="1"/>
  <c r="Q360" i="5"/>
  <c r="T360" i="5" s="1"/>
  <c r="U360" i="5" s="1"/>
  <c r="S14" i="5"/>
  <c r="S455" i="5"/>
  <c r="Q251" i="5"/>
  <c r="T251" i="5" s="1"/>
  <c r="U251" i="5" s="1"/>
  <c r="Q716" i="5"/>
  <c r="S197" i="5"/>
  <c r="S80" i="5"/>
  <c r="S761" i="5"/>
  <c r="P666" i="5"/>
  <c r="P214" i="5"/>
  <c r="S52" i="5"/>
  <c r="P40" i="5"/>
  <c r="P410" i="5"/>
  <c r="Q581" i="5"/>
  <c r="Y553" i="5"/>
  <c r="P520" i="5"/>
  <c r="Q910" i="5"/>
  <c r="Y393" i="5"/>
  <c r="S726" i="5"/>
  <c r="S230" i="5"/>
  <c r="P944" i="5"/>
  <c r="Y132" i="5"/>
  <c r="Y123" i="5"/>
  <c r="Y285" i="5"/>
  <c r="P509" i="5"/>
  <c r="S530" i="5"/>
  <c r="X853" i="5"/>
  <c r="Y472" i="5"/>
  <c r="Y604" i="5"/>
  <c r="S163" i="5"/>
  <c r="S271" i="5"/>
  <c r="P413" i="5"/>
  <c r="P326" i="5"/>
  <c r="Y82" i="5"/>
  <c r="Y151" i="5"/>
  <c r="W751" i="5"/>
  <c r="W509" i="5"/>
  <c r="W856" i="5"/>
  <c r="W181" i="5"/>
  <c r="W633" i="5"/>
  <c r="W746" i="5"/>
  <c r="W519" i="5"/>
  <c r="W314" i="5"/>
  <c r="AA314" i="5" s="1"/>
  <c r="AB314" i="5" s="1"/>
  <c r="W126" i="5"/>
  <c r="W329" i="5"/>
  <c r="W666" i="5"/>
  <c r="W927" i="5"/>
  <c r="W587" i="5"/>
  <c r="W520" i="5"/>
  <c r="AA520" i="5" s="1"/>
  <c r="AB520" i="5" s="1"/>
  <c r="S353" i="5"/>
  <c r="S764" i="5"/>
  <c r="Q10" i="5"/>
  <c r="X936" i="5"/>
  <c r="X105" i="5"/>
  <c r="S178" i="5"/>
  <c r="P60" i="5"/>
  <c r="R490" i="5"/>
  <c r="R10" i="5"/>
  <c r="P632" i="5"/>
  <c r="S578" i="5"/>
  <c r="T578" i="5" s="1"/>
  <c r="U578" i="5" s="1"/>
  <c r="Q449" i="5"/>
  <c r="T449" i="5" s="1"/>
  <c r="U449" i="5" s="1"/>
  <c r="Q758" i="5"/>
  <c r="P88" i="5"/>
  <c r="R852" i="5"/>
  <c r="S136" i="5"/>
  <c r="S754" i="5"/>
  <c r="R811" i="5"/>
  <c r="Y11" i="5"/>
  <c r="S202" i="5"/>
  <c r="Q61" i="5"/>
  <c r="S240" i="5"/>
  <c r="S65" i="5"/>
  <c r="S44" i="5"/>
  <c r="S767" i="5"/>
  <c r="S913" i="5"/>
  <c r="S345" i="5"/>
  <c r="P722" i="5"/>
  <c r="S40" i="5"/>
  <c r="S935" i="5"/>
  <c r="P659" i="5"/>
  <c r="S978" i="5"/>
  <c r="P663" i="5"/>
  <c r="P813" i="5"/>
  <c r="P751" i="5"/>
  <c r="T751" i="5" s="1"/>
  <c r="U751" i="5" s="1"/>
  <c r="P186" i="5"/>
  <c r="S571" i="5"/>
  <c r="P223" i="5"/>
  <c r="Y161" i="5"/>
  <c r="Y625" i="5"/>
  <c r="P808" i="5"/>
  <c r="P594" i="5"/>
  <c r="P596" i="5"/>
  <c r="P312" i="5"/>
  <c r="P21" i="5"/>
  <c r="W125" i="5"/>
  <c r="W594" i="5"/>
  <c r="W539" i="5"/>
  <c r="AA539" i="5" s="1"/>
  <c r="AB539" i="5" s="1"/>
  <c r="W632" i="5"/>
  <c r="W707" i="5"/>
  <c r="AA707" i="5" s="1"/>
  <c r="W219" i="5"/>
  <c r="AA219" i="5" s="1"/>
  <c r="AB219" i="5" s="1"/>
  <c r="W47" i="5"/>
  <c r="W162" i="5"/>
  <c r="W722" i="5"/>
  <c r="W816" i="5"/>
  <c r="W884" i="5"/>
  <c r="W246" i="5"/>
  <c r="W180" i="5"/>
  <c r="W859" i="5"/>
  <c r="AA859" i="5" s="1"/>
  <c r="AB859" i="5" s="1"/>
  <c r="AB71" i="5"/>
  <c r="X812" i="5"/>
  <c r="X850" i="5"/>
  <c r="S615" i="5"/>
  <c r="X463" i="5"/>
  <c r="AA632" i="5"/>
  <c r="AB632" i="5" s="1"/>
  <c r="AA88" i="5"/>
  <c r="AB88" i="5" s="1"/>
  <c r="X471" i="5"/>
  <c r="X542" i="5"/>
  <c r="X442" i="5"/>
  <c r="S699" i="5"/>
  <c r="S708" i="5"/>
  <c r="T708" i="5" s="1"/>
  <c r="U708" i="5" s="1"/>
  <c r="T566" i="5"/>
  <c r="U566" i="5" s="1"/>
  <c r="X516" i="5"/>
  <c r="X141" i="5"/>
  <c r="X3" i="5"/>
  <c r="S123" i="5"/>
  <c r="S721" i="5"/>
  <c r="S901" i="5"/>
  <c r="S199" i="5"/>
  <c r="P619" i="5"/>
  <c r="S372" i="5"/>
  <c r="AA781" i="5"/>
  <c r="AB781" i="5" s="1"/>
  <c r="S793" i="5"/>
  <c r="T793" i="5" s="1"/>
  <c r="U793" i="5" s="1"/>
  <c r="AA887" i="5"/>
  <c r="AB887" i="5" s="1"/>
  <c r="AA149" i="5"/>
  <c r="AB149" i="5" s="1"/>
  <c r="AA881" i="5"/>
  <c r="AB881" i="5" s="1"/>
  <c r="AA182" i="5"/>
  <c r="AB182" i="5" s="1"/>
  <c r="S261" i="5"/>
  <c r="S10" i="5"/>
  <c r="X772" i="5"/>
  <c r="W772" i="5"/>
  <c r="X838" i="5"/>
  <c r="W838" i="5"/>
  <c r="X229" i="5"/>
  <c r="W229" i="5"/>
  <c r="X711" i="5"/>
  <c r="W711" i="5"/>
  <c r="X864" i="5"/>
  <c r="W864" i="5"/>
  <c r="X825" i="5"/>
  <c r="W825" i="5"/>
  <c r="X767" i="5"/>
  <c r="W767" i="5"/>
  <c r="X660" i="5"/>
  <c r="W660" i="5"/>
  <c r="X84" i="5"/>
  <c r="W84" i="5"/>
  <c r="X405" i="5"/>
  <c r="W405" i="5"/>
  <c r="X988" i="5"/>
  <c r="W988" i="5"/>
  <c r="X646" i="5"/>
  <c r="W646" i="5"/>
  <c r="Q550" i="5"/>
  <c r="X550" i="5"/>
  <c r="W550" i="5"/>
  <c r="X921" i="5"/>
  <c r="W921" i="5"/>
  <c r="W217" i="5"/>
  <c r="X217" i="5"/>
  <c r="X273" i="5"/>
  <c r="W273" i="5"/>
  <c r="X97" i="5"/>
  <c r="W97" i="5"/>
  <c r="X200" i="5"/>
  <c r="W200" i="5"/>
  <c r="X795" i="5"/>
  <c r="W795" i="5"/>
  <c r="X347" i="5"/>
  <c r="W347" i="5"/>
  <c r="X477" i="5"/>
  <c r="W477" i="5"/>
  <c r="X8" i="5"/>
  <c r="W8" i="5"/>
  <c r="X875" i="5"/>
  <c r="W875" i="5"/>
  <c r="X819" i="5"/>
  <c r="W819" i="5"/>
  <c r="X286" i="5"/>
  <c r="W286" i="5"/>
  <c r="X293" i="5"/>
  <c r="W293" i="5"/>
  <c r="X675" i="5"/>
  <c r="W675" i="5"/>
  <c r="X137" i="5"/>
  <c r="W137" i="5"/>
  <c r="X114" i="5"/>
  <c r="W114" i="5"/>
  <c r="X639" i="5"/>
  <c r="W639" i="5"/>
  <c r="X774" i="5"/>
  <c r="W774" i="5"/>
  <c r="X409" i="5"/>
  <c r="W409" i="5"/>
  <c r="X873" i="5"/>
  <c r="W873" i="5"/>
  <c r="Y742" i="5"/>
  <c r="X749" i="5"/>
  <c r="W749" i="5"/>
  <c r="X886" i="5"/>
  <c r="W886" i="5"/>
  <c r="X158" i="5"/>
  <c r="W158" i="5"/>
  <c r="X823" i="5"/>
  <c r="W823" i="5"/>
  <c r="X736" i="5"/>
  <c r="W736" i="5"/>
  <c r="W907" i="5"/>
  <c r="AA907" i="5" s="1"/>
  <c r="AB907" i="5" s="1"/>
  <c r="X907" i="5"/>
  <c r="W989" i="5"/>
  <c r="X989" i="5"/>
  <c r="P198" i="5"/>
  <c r="X198" i="5"/>
  <c r="W198" i="5"/>
  <c r="P609" i="5"/>
  <c r="X609" i="5"/>
  <c r="W609" i="5"/>
  <c r="Y650" i="5"/>
  <c r="AA650" i="5" s="1"/>
  <c r="AB650" i="5" s="1"/>
  <c r="X218" i="5"/>
  <c r="W218" i="5"/>
  <c r="X573" i="5"/>
  <c r="W573" i="5"/>
  <c r="X904" i="5"/>
  <c r="W904" i="5"/>
  <c r="X602" i="5"/>
  <c r="W602" i="5"/>
  <c r="X922" i="5"/>
  <c r="W922" i="5"/>
  <c r="W517" i="5"/>
  <c r="X517" i="5"/>
  <c r="X766" i="5"/>
  <c r="W766" i="5"/>
  <c r="W860" i="5"/>
  <c r="X860" i="5"/>
  <c r="W444" i="5"/>
  <c r="X444" i="5"/>
  <c r="W818" i="5"/>
  <c r="X818" i="5"/>
  <c r="Y256" i="5"/>
  <c r="Y74" i="5"/>
  <c r="Y1000" i="5"/>
  <c r="Y689" i="5"/>
  <c r="Y195" i="5"/>
  <c r="X561" i="5"/>
  <c r="W561" i="5"/>
  <c r="X796" i="5"/>
  <c r="W796" i="5"/>
  <c r="AA796" i="5" s="1"/>
  <c r="AB796" i="5" s="1"/>
  <c r="W474" i="5"/>
  <c r="AA474" i="5" s="1"/>
  <c r="AB474" i="5" s="1"/>
  <c r="X474" i="5"/>
  <c r="W466" i="5"/>
  <c r="X466" i="5"/>
  <c r="W524" i="5"/>
  <c r="X524" i="5"/>
  <c r="W750" i="5"/>
  <c r="X750" i="5"/>
  <c r="W206" i="5"/>
  <c r="X206" i="5"/>
  <c r="W976" i="5"/>
  <c r="X976" i="5"/>
  <c r="X64" i="5"/>
  <c r="W64" i="5"/>
  <c r="Y682" i="5"/>
  <c r="X20" i="5"/>
  <c r="X369" i="5"/>
  <c r="X299" i="5"/>
  <c r="X394" i="5"/>
  <c r="X75" i="5"/>
  <c r="X342" i="5"/>
  <c r="X802" i="5"/>
  <c r="X807" i="5"/>
  <c r="X7" i="5"/>
  <c r="W812" i="5"/>
  <c r="AA812" i="5" s="1"/>
  <c r="AB812" i="5" s="1"/>
  <c r="W463" i="5"/>
  <c r="W850" i="5"/>
  <c r="W267" i="5"/>
  <c r="X291" i="5"/>
  <c r="W291" i="5"/>
  <c r="X433" i="5"/>
  <c r="W433" i="5"/>
  <c r="X950" i="5"/>
  <c r="W950" i="5"/>
  <c r="X226" i="5"/>
  <c r="W226" i="5"/>
  <c r="X861" i="5"/>
  <c r="W861" i="5"/>
  <c r="X971" i="5"/>
  <c r="W971" i="5"/>
  <c r="X929" i="5"/>
  <c r="W929" i="5"/>
  <c r="X112" i="5"/>
  <c r="W112" i="5"/>
  <c r="W308" i="5"/>
  <c r="X308" i="5"/>
  <c r="X830" i="5"/>
  <c r="W830" i="5"/>
  <c r="X593" i="5"/>
  <c r="W593" i="5"/>
  <c r="X709" i="5"/>
  <c r="W709" i="5"/>
  <c r="X271" i="5"/>
  <c r="W271" i="5"/>
  <c r="X395" i="5"/>
  <c r="W395" i="5"/>
  <c r="X358" i="5"/>
  <c r="AA358" i="5" s="1"/>
  <c r="AB358" i="5" s="1"/>
  <c r="W358" i="5"/>
  <c r="X824" i="5"/>
  <c r="W824" i="5"/>
  <c r="X168" i="5"/>
  <c r="W168" i="5"/>
  <c r="X169" i="5"/>
  <c r="W169" i="5"/>
  <c r="X817" i="5"/>
  <c r="W817" i="5"/>
  <c r="Y436" i="5"/>
  <c r="Y59" i="5"/>
  <c r="X742" i="5"/>
  <c r="AA742" i="5" s="1"/>
  <c r="AB742" i="5" s="1"/>
  <c r="W742" i="5"/>
  <c r="X949" i="5"/>
  <c r="W949" i="5"/>
  <c r="X70" i="5"/>
  <c r="W70" i="5"/>
  <c r="P682" i="5"/>
  <c r="W682" i="5"/>
  <c r="X682" i="5"/>
  <c r="Y989" i="5"/>
  <c r="Q531" i="5"/>
  <c r="X531" i="5"/>
  <c r="W531" i="5"/>
  <c r="X277" i="5"/>
  <c r="W277" i="5"/>
  <c r="Y602" i="5"/>
  <c r="X360" i="5"/>
  <c r="W360" i="5"/>
  <c r="W703" i="5"/>
  <c r="X703" i="5"/>
  <c r="X348" i="5"/>
  <c r="W348" i="5"/>
  <c r="X857" i="5"/>
  <c r="W857" i="5"/>
  <c r="X316" i="5"/>
  <c r="W316" i="5"/>
  <c r="X701" i="5"/>
  <c r="W701" i="5"/>
  <c r="AA701" i="5" s="1"/>
  <c r="AB701" i="5" s="1"/>
  <c r="X783" i="5"/>
  <c r="W783" i="5"/>
  <c r="X225" i="5"/>
  <c r="W225" i="5"/>
  <c r="X515" i="5"/>
  <c r="W515" i="5"/>
  <c r="X580" i="5"/>
  <c r="W580" i="5"/>
  <c r="Y796" i="5"/>
  <c r="W6" i="5"/>
  <c r="X6" i="5"/>
  <c r="Y524" i="5"/>
  <c r="Y976" i="5"/>
  <c r="X858" i="5"/>
  <c r="W858" i="5"/>
  <c r="X514" i="5"/>
  <c r="W514" i="5"/>
  <c r="W931" i="5"/>
  <c r="W502" i="5"/>
  <c r="X947" i="5"/>
  <c r="X43" i="5"/>
  <c r="AA43" i="5" s="1"/>
  <c r="AB43" i="5" s="1"/>
  <c r="X946" i="5"/>
  <c r="W946" i="5"/>
  <c r="X5" i="5"/>
  <c r="W5" i="5"/>
  <c r="X990" i="5"/>
  <c r="W990" i="5"/>
  <c r="X233" i="5"/>
  <c r="W233" i="5"/>
  <c r="W592" i="5"/>
  <c r="X592" i="5"/>
  <c r="X248" i="5"/>
  <c r="W248" i="5"/>
  <c r="X643" i="5"/>
  <c r="W643" i="5"/>
  <c r="X174" i="5"/>
  <c r="W174" i="5"/>
  <c r="X188" i="5"/>
  <c r="W188" i="5"/>
  <c r="W79" i="5"/>
  <c r="X79" i="5"/>
  <c r="X686" i="5"/>
  <c r="W686" i="5"/>
  <c r="X565" i="5"/>
  <c r="W565" i="5"/>
  <c r="X91" i="5"/>
  <c r="W91" i="5"/>
  <c r="X176" i="5"/>
  <c r="W176" i="5"/>
  <c r="X789" i="5"/>
  <c r="W789" i="5"/>
  <c r="X589" i="5"/>
  <c r="W589" i="5"/>
  <c r="X446" i="5"/>
  <c r="W446" i="5"/>
  <c r="X370" i="5"/>
  <c r="W370" i="5"/>
  <c r="X849" i="5"/>
  <c r="W849" i="5"/>
  <c r="X351" i="5"/>
  <c r="W351" i="5"/>
  <c r="X280" i="5"/>
  <c r="W280" i="5"/>
  <c r="X674" i="5"/>
  <c r="W674" i="5"/>
  <c r="X790" i="5"/>
  <c r="W790" i="5"/>
  <c r="X598" i="5"/>
  <c r="W598" i="5"/>
  <c r="X982" i="5"/>
  <c r="W982" i="5"/>
  <c r="X962" i="5"/>
  <c r="W962" i="5"/>
  <c r="X436" i="5"/>
  <c r="W436" i="5"/>
  <c r="X134" i="5"/>
  <c r="W134" i="5"/>
  <c r="X122" i="5"/>
  <c r="W122" i="5"/>
  <c r="X315" i="5"/>
  <c r="W315" i="5"/>
  <c r="X59" i="5"/>
  <c r="W59" i="5"/>
  <c r="X914" i="5"/>
  <c r="W914" i="5"/>
  <c r="X493" i="5"/>
  <c r="W493" i="5"/>
  <c r="X903" i="5"/>
  <c r="W903" i="5"/>
  <c r="X317" i="5"/>
  <c r="W317" i="5"/>
  <c r="X33" i="5"/>
  <c r="W33" i="5"/>
  <c r="X704" i="5"/>
  <c r="W704" i="5"/>
  <c r="X681" i="5"/>
  <c r="W681" i="5"/>
  <c r="X259" i="5"/>
  <c r="W259" i="5"/>
  <c r="X302" i="5"/>
  <c r="W302" i="5"/>
  <c r="X652" i="5"/>
  <c r="W652" i="5"/>
  <c r="X321" i="5"/>
  <c r="W321" i="5"/>
  <c r="X541" i="5"/>
  <c r="W541" i="5"/>
  <c r="X846" i="5"/>
  <c r="W846" i="5"/>
  <c r="X909" i="5"/>
  <c r="W909" i="5"/>
  <c r="Y433" i="5"/>
  <c r="X995" i="5"/>
  <c r="W995" i="5"/>
  <c r="Y220" i="5"/>
  <c r="X778" i="5"/>
  <c r="W778" i="5"/>
  <c r="X435" i="5"/>
  <c r="W435" i="5"/>
  <c r="Y843" i="5"/>
  <c r="Y829" i="5"/>
  <c r="X890" i="5"/>
  <c r="W890" i="5"/>
  <c r="W756" i="5"/>
  <c r="X756" i="5"/>
  <c r="X757" i="5"/>
  <c r="W757" i="5"/>
  <c r="X300" i="5"/>
  <c r="W300" i="5"/>
  <c r="W916" i="5"/>
  <c r="X916" i="5"/>
  <c r="X614" i="5"/>
  <c r="W614" i="5"/>
  <c r="X104" i="5"/>
  <c r="W104" i="5"/>
  <c r="X423" i="5"/>
  <c r="W423" i="5"/>
  <c r="X430" i="5"/>
  <c r="W430" i="5"/>
  <c r="W621" i="5"/>
  <c r="AA621" i="5" s="1"/>
  <c r="AB621" i="5" s="1"/>
  <c r="X621" i="5"/>
  <c r="X941" i="5"/>
  <c r="W941" i="5"/>
  <c r="W771" i="5"/>
  <c r="X771" i="5"/>
  <c r="Y515" i="5"/>
  <c r="X786" i="5"/>
  <c r="W786" i="5"/>
  <c r="X677" i="5"/>
  <c r="W677" i="5"/>
  <c r="W965" i="5"/>
  <c r="X965" i="5"/>
  <c r="X586" i="5"/>
  <c r="W586" i="5"/>
  <c r="X353" i="5"/>
  <c r="W353" i="5"/>
  <c r="X934" i="5"/>
  <c r="W934" i="5"/>
  <c r="X278" i="5"/>
  <c r="W278" i="5"/>
  <c r="X338" i="5"/>
  <c r="W338" i="5"/>
  <c r="X827" i="5"/>
  <c r="W827" i="5"/>
  <c r="X804" i="5"/>
  <c r="W804" i="5"/>
  <c r="W387" i="5"/>
  <c r="W411" i="5"/>
  <c r="X885" i="5"/>
  <c r="W885" i="5"/>
  <c r="X254" i="5"/>
  <c r="W254" i="5"/>
  <c r="W355" i="5"/>
  <c r="X355" i="5"/>
  <c r="X298" i="5"/>
  <c r="W298" i="5"/>
  <c r="X738" i="5"/>
  <c r="X166" i="5"/>
  <c r="X383" i="5"/>
  <c r="X575" i="5"/>
  <c r="W575" i="5"/>
  <c r="X258" i="5"/>
  <c r="W258" i="5"/>
  <c r="X431" i="5"/>
  <c r="W431" i="5"/>
  <c r="X279" i="5"/>
  <c r="W279" i="5"/>
  <c r="X983" i="5"/>
  <c r="W983" i="5"/>
  <c r="Y365" i="5"/>
  <c r="Y313" i="5"/>
  <c r="X883" i="5"/>
  <c r="W883" i="5"/>
  <c r="X673" i="5"/>
  <c r="W673" i="5"/>
  <c r="X535" i="5"/>
  <c r="W535" i="5"/>
  <c r="Y652" i="5"/>
  <c r="Y321" i="5"/>
  <c r="Y909" i="5"/>
  <c r="W220" i="5"/>
  <c r="X220" i="5"/>
  <c r="Y778" i="5"/>
  <c r="Y514" i="5"/>
  <c r="Y649" i="5"/>
  <c r="X417" i="5"/>
  <c r="W417" i="5"/>
  <c r="X801" i="5"/>
  <c r="W801" i="5"/>
  <c r="Y430" i="5"/>
  <c r="Y621" i="5"/>
  <c r="X487" i="5"/>
  <c r="W487" i="5"/>
  <c r="W68" i="5"/>
  <c r="X68" i="5"/>
  <c r="X106" i="5"/>
  <c r="W106" i="5"/>
  <c r="X723" i="5"/>
  <c r="W723" i="5"/>
  <c r="X419" i="5"/>
  <c r="W419" i="5"/>
  <c r="X191" i="5"/>
  <c r="W191" i="5"/>
  <c r="X231" i="5"/>
  <c r="W231" i="5"/>
  <c r="X92" i="5"/>
  <c r="W92" i="5"/>
  <c r="X798" i="5"/>
  <c r="W798" i="5"/>
  <c r="W743" i="5"/>
  <c r="X743" i="5"/>
  <c r="C26" i="6"/>
  <c r="Q496" i="5"/>
  <c r="X496" i="5"/>
  <c r="W496" i="5"/>
  <c r="Z410" i="5"/>
  <c r="AA410" i="5" s="1"/>
  <c r="AB410" i="5" s="1"/>
  <c r="Q143" i="5"/>
  <c r="X143" i="5"/>
  <c r="W143" i="5"/>
  <c r="W760" i="5"/>
  <c r="W460" i="5"/>
  <c r="W46" i="5"/>
  <c r="W102" i="5"/>
  <c r="W471" i="5"/>
  <c r="W177" i="5"/>
  <c r="W222" i="5"/>
  <c r="W794" i="5"/>
  <c r="W434" i="5"/>
  <c r="X434" i="5"/>
  <c r="X473" i="5"/>
  <c r="W473" i="5"/>
  <c r="X866" i="5"/>
  <c r="W866" i="5"/>
  <c r="X288" i="5"/>
  <c r="W288" i="5"/>
  <c r="X728" i="5"/>
  <c r="W728" i="5"/>
  <c r="X562" i="5"/>
  <c r="W562" i="5"/>
  <c r="X656" i="5"/>
  <c r="W656" i="5"/>
  <c r="X44" i="5"/>
  <c r="W44" i="5"/>
  <c r="X361" i="5"/>
  <c r="W361" i="5"/>
  <c r="W418" i="5"/>
  <c r="X418" i="5"/>
  <c r="X185" i="5"/>
  <c r="W185" i="5"/>
  <c r="W872" i="5"/>
  <c r="X872" i="5"/>
  <c r="W323" i="5"/>
  <c r="X323" i="5"/>
  <c r="W52" i="5"/>
  <c r="X52" i="5"/>
  <c r="X48" i="5"/>
  <c r="W48" i="5"/>
  <c r="X851" i="5"/>
  <c r="W851" i="5"/>
  <c r="X25" i="5"/>
  <c r="W25" i="5"/>
  <c r="X665" i="5"/>
  <c r="W665" i="5"/>
  <c r="X438" i="5"/>
  <c r="W438" i="5"/>
  <c r="X85" i="5"/>
  <c r="W85" i="5"/>
  <c r="X828" i="5"/>
  <c r="W828" i="5"/>
  <c r="X726" i="5"/>
  <c r="W726" i="5"/>
  <c r="X733" i="5"/>
  <c r="W733" i="5"/>
  <c r="X2" i="5"/>
  <c r="W2" i="5"/>
  <c r="X51" i="5"/>
  <c r="W51" i="5"/>
  <c r="X4" i="5"/>
  <c r="W4" i="5"/>
  <c r="W641" i="5"/>
  <c r="X641" i="5"/>
  <c r="X630" i="5"/>
  <c r="W630" i="5"/>
  <c r="X741" i="5"/>
  <c r="W741" i="5"/>
  <c r="X694" i="5"/>
  <c r="W694" i="5"/>
  <c r="X611" i="5"/>
  <c r="W611" i="5"/>
  <c r="S306" i="5"/>
  <c r="Z306" i="5"/>
  <c r="X923" i="5"/>
  <c r="W923" i="5"/>
  <c r="X365" i="5"/>
  <c r="W365" i="5"/>
  <c r="X313" i="5"/>
  <c r="W313" i="5"/>
  <c r="X352" i="5"/>
  <c r="W352" i="5"/>
  <c r="X560" i="5"/>
  <c r="W560" i="5"/>
  <c r="X117" i="5"/>
  <c r="W117" i="5"/>
  <c r="X603" i="5"/>
  <c r="W603" i="5"/>
  <c r="X320" i="5"/>
  <c r="W320" i="5"/>
  <c r="X700" i="5"/>
  <c r="W700" i="5"/>
  <c r="X17" i="5"/>
  <c r="W17" i="5"/>
  <c r="X588" i="5"/>
  <c r="W588" i="5"/>
  <c r="X506" i="5"/>
  <c r="W506" i="5"/>
  <c r="X538" i="5"/>
  <c r="W538" i="5"/>
  <c r="X407" i="5"/>
  <c r="W407" i="5"/>
  <c r="X76" i="5"/>
  <c r="W76" i="5"/>
  <c r="X100" i="5"/>
  <c r="W100" i="5"/>
  <c r="X765" i="5"/>
  <c r="W765" i="5"/>
  <c r="AA765" i="5" s="1"/>
  <c r="AB765" i="5" s="1"/>
  <c r="X568" i="5"/>
  <c r="W568" i="5"/>
  <c r="Y576" i="5"/>
  <c r="X595" i="5"/>
  <c r="W595" i="5"/>
  <c r="X876" i="5"/>
  <c r="W876" i="5"/>
  <c r="X368" i="5"/>
  <c r="W368" i="5"/>
  <c r="X624" i="5"/>
  <c r="W624" i="5"/>
  <c r="X81" i="5"/>
  <c r="W81" i="5"/>
  <c r="W523" i="5"/>
  <c r="X523" i="5"/>
  <c r="X721" i="5"/>
  <c r="W721" i="5"/>
  <c r="X237" i="5"/>
  <c r="W237" i="5"/>
  <c r="X37" i="5"/>
  <c r="W37" i="5"/>
  <c r="X528" i="5"/>
  <c r="W528" i="5"/>
  <c r="X877" i="5"/>
  <c r="W877" i="5"/>
  <c r="X852" i="5"/>
  <c r="W852" i="5"/>
  <c r="X724" i="5"/>
  <c r="W724" i="5"/>
  <c r="W121" i="5"/>
  <c r="X121" i="5"/>
  <c r="W768" i="5"/>
  <c r="X768" i="5"/>
  <c r="Q627" i="5"/>
  <c r="X627" i="5"/>
  <c r="W627" i="5"/>
  <c r="W154" i="5"/>
  <c r="X154" i="5"/>
  <c r="P752" i="5"/>
  <c r="X752" i="5"/>
  <c r="W752" i="5"/>
  <c r="Y257" i="5"/>
  <c r="AA257" i="5" s="1"/>
  <c r="AB257" i="5" s="1"/>
  <c r="Y839" i="5"/>
  <c r="AA839" i="5" s="1"/>
  <c r="AB839" i="5" s="1"/>
  <c r="Y601" i="5"/>
  <c r="P451" i="5"/>
  <c r="X451" i="5"/>
  <c r="W451" i="5"/>
  <c r="X878" i="5"/>
  <c r="W878" i="5"/>
  <c r="X900" i="5"/>
  <c r="W900" i="5"/>
  <c r="R140" i="5"/>
  <c r="Y140" i="5"/>
  <c r="P234" i="5"/>
  <c r="X234" i="5"/>
  <c r="W234" i="5"/>
  <c r="P380" i="5"/>
  <c r="X380" i="5"/>
  <c r="W380" i="5"/>
  <c r="P13" i="5"/>
  <c r="X13" i="5"/>
  <c r="W13" i="5"/>
  <c r="P744" i="5"/>
  <c r="X744" i="5"/>
  <c r="W744" i="5"/>
  <c r="X510" i="5"/>
  <c r="W510" i="5"/>
  <c r="X178" i="5"/>
  <c r="W178" i="5"/>
  <c r="X469" i="5"/>
  <c r="W469" i="5"/>
  <c r="W984" i="5"/>
  <c r="W135" i="5"/>
  <c r="W542" i="5"/>
  <c r="W616" i="5"/>
  <c r="X773" i="5"/>
  <c r="W773" i="5"/>
  <c r="X977" i="5"/>
  <c r="X957" i="5"/>
  <c r="W957" i="5"/>
  <c r="X62" i="5"/>
  <c r="W62" i="5"/>
  <c r="X173" i="5"/>
  <c r="W173" i="5"/>
  <c r="X450" i="5"/>
  <c r="W450" i="5"/>
  <c r="X577" i="5"/>
  <c r="W577" i="5"/>
  <c r="X737" i="5"/>
  <c r="W737" i="5"/>
  <c r="X211" i="5"/>
  <c r="W211" i="5"/>
  <c r="Y239" i="5"/>
  <c r="X667" i="5"/>
  <c r="W667" i="5"/>
  <c r="X363" i="5"/>
  <c r="W363" i="5"/>
  <c r="Y568" i="5"/>
  <c r="X843" i="5"/>
  <c r="W843" i="5"/>
  <c r="W669" i="5"/>
  <c r="X669" i="5"/>
  <c r="X925" i="5"/>
  <c r="W925" i="5"/>
  <c r="X576" i="5"/>
  <c r="W576" i="5"/>
  <c r="Y876" i="5"/>
  <c r="AA876" i="5" s="1"/>
  <c r="AB876" i="5" s="1"/>
  <c r="Y469" i="5"/>
  <c r="X34" i="5"/>
  <c r="W34" i="5"/>
  <c r="Y81" i="5"/>
  <c r="W897" i="5"/>
  <c r="X897" i="5"/>
  <c r="Y721" i="5"/>
  <c r="Y528" i="5"/>
  <c r="X151" i="5"/>
  <c r="W151" i="5"/>
  <c r="Y335" i="5"/>
  <c r="X378" i="5"/>
  <c r="W378" i="5"/>
  <c r="X891" i="5"/>
  <c r="W891" i="5"/>
  <c r="X32" i="5"/>
  <c r="W32" i="5"/>
  <c r="X58" i="5"/>
  <c r="W58" i="5"/>
  <c r="X318" i="5"/>
  <c r="W318" i="5"/>
  <c r="X461" i="5"/>
  <c r="W461" i="5"/>
  <c r="X597" i="5"/>
  <c r="W597" i="5"/>
  <c r="X494" i="5"/>
  <c r="W494" i="5"/>
  <c r="X512" i="5"/>
  <c r="AA512" i="5" s="1"/>
  <c r="AB512" i="5" s="1"/>
  <c r="W512" i="5"/>
  <c r="X585" i="5"/>
  <c r="W585" i="5"/>
  <c r="X41" i="5"/>
  <c r="W41" i="5"/>
  <c r="X140" i="5"/>
  <c r="W140" i="5"/>
  <c r="X42" i="5"/>
  <c r="W42" i="5"/>
  <c r="AA42" i="5" s="1"/>
  <c r="AB42" i="5" s="1"/>
  <c r="W740" i="5"/>
  <c r="W166" i="5"/>
  <c r="X464" i="5"/>
  <c r="W464" i="5"/>
  <c r="X964" i="5"/>
  <c r="W964" i="5"/>
  <c r="X232" i="5"/>
  <c r="W232" i="5"/>
  <c r="X146" i="5"/>
  <c r="W146" i="5"/>
  <c r="X546" i="5"/>
  <c r="W546" i="5"/>
  <c r="X840" i="5"/>
  <c r="W840" i="5"/>
  <c r="X644" i="5"/>
  <c r="W644" i="5"/>
  <c r="X924" i="5"/>
  <c r="W924" i="5"/>
  <c r="W324" i="5"/>
  <c r="X324" i="5"/>
  <c r="X428" i="5"/>
  <c r="AA428" i="5" s="1"/>
  <c r="AB428" i="5" s="1"/>
  <c r="W428" i="5"/>
  <c r="X855" i="5"/>
  <c r="W855" i="5"/>
  <c r="AA855" i="5" s="1"/>
  <c r="AB855" i="5" s="1"/>
  <c r="X282" i="5"/>
  <c r="W282" i="5"/>
  <c r="X894" i="5"/>
  <c r="W894" i="5"/>
  <c r="X522" i="5"/>
  <c r="W522" i="5"/>
  <c r="X697" i="5"/>
  <c r="W697" i="5"/>
  <c r="X776" i="5"/>
  <c r="W776" i="5"/>
  <c r="X714" i="5"/>
  <c r="W714" i="5"/>
  <c r="AA714" i="5" s="1"/>
  <c r="AB714" i="5" s="1"/>
  <c r="X362" i="5"/>
  <c r="W362" i="5"/>
  <c r="X276" i="5"/>
  <c r="W276" i="5"/>
  <c r="X664" i="5"/>
  <c r="W664" i="5"/>
  <c r="X979" i="5"/>
  <c r="W979" i="5"/>
  <c r="X613" i="5"/>
  <c r="W613" i="5"/>
  <c r="X831" i="5"/>
  <c r="W831" i="5"/>
  <c r="AA831" i="5" s="1"/>
  <c r="AB831" i="5" s="1"/>
  <c r="W11" i="5"/>
  <c r="X11" i="5"/>
  <c r="X986" i="5"/>
  <c r="W986" i="5"/>
  <c r="X908" i="5"/>
  <c r="W908" i="5"/>
  <c r="X511" i="5"/>
  <c r="W511" i="5"/>
  <c r="X865" i="5"/>
  <c r="W865" i="5"/>
  <c r="Y211" i="5"/>
  <c r="X833" i="5"/>
  <c r="W833" i="5"/>
  <c r="X513" i="5"/>
  <c r="W513" i="5"/>
  <c r="X439" i="5"/>
  <c r="W439" i="5"/>
  <c r="X26" i="5"/>
  <c r="W26" i="5"/>
  <c r="X732" i="5"/>
  <c r="W732" i="5"/>
  <c r="X239" i="5"/>
  <c r="W239" i="5"/>
  <c r="X99" i="5"/>
  <c r="W99" i="5"/>
  <c r="X981" i="5"/>
  <c r="W981" i="5"/>
  <c r="Z103" i="5"/>
  <c r="AA103" i="5" s="1"/>
  <c r="AB103" i="5" s="1"/>
  <c r="W706" i="5"/>
  <c r="X706" i="5"/>
  <c r="X453" i="5"/>
  <c r="W453" i="5"/>
  <c r="X373" i="5"/>
  <c r="W373" i="5"/>
  <c r="X555" i="5"/>
  <c r="W555" i="5"/>
  <c r="X332" i="5"/>
  <c r="W332" i="5"/>
  <c r="X402" i="5"/>
  <c r="W402" i="5"/>
  <c r="X272" i="5"/>
  <c r="W272" i="5"/>
  <c r="X422" i="5"/>
  <c r="W422" i="5"/>
  <c r="X764" i="5"/>
  <c r="W764" i="5"/>
  <c r="X292" i="5"/>
  <c r="W292" i="5"/>
  <c r="X412" i="5"/>
  <c r="W412" i="5"/>
  <c r="W301" i="5"/>
  <c r="X301" i="5"/>
  <c r="X906" i="5"/>
  <c r="W906" i="5"/>
  <c r="X501" i="5"/>
  <c r="W501" i="5"/>
  <c r="W374" i="5"/>
  <c r="AA374" i="5" s="1"/>
  <c r="AB374" i="5" s="1"/>
  <c r="X374" i="5"/>
  <c r="X255" i="5"/>
  <c r="W255" i="5"/>
  <c r="X734" i="5"/>
  <c r="W734" i="5"/>
  <c r="X294" i="5"/>
  <c r="W294" i="5"/>
  <c r="X963" i="5"/>
  <c r="W963" i="5"/>
  <c r="X996" i="5"/>
  <c r="W996" i="5"/>
  <c r="X518" i="5"/>
  <c r="AA518" i="5" s="1"/>
  <c r="AB518" i="5" s="1"/>
  <c r="W518" i="5"/>
  <c r="X69" i="5"/>
  <c r="W69" i="5"/>
  <c r="W335" i="5"/>
  <c r="X335" i="5"/>
  <c r="Y891" i="5"/>
  <c r="Y58" i="5"/>
  <c r="Y306" i="5"/>
  <c r="X569" i="5"/>
  <c r="W569" i="5"/>
  <c r="W155" i="5"/>
  <c r="X155" i="5"/>
  <c r="W201" i="5"/>
  <c r="X201" i="5"/>
  <c r="W192" i="5"/>
  <c r="X192" i="5"/>
  <c r="W227" i="5"/>
  <c r="X227" i="5"/>
  <c r="W893" i="5"/>
  <c r="X893" i="5"/>
  <c r="W443" i="5"/>
  <c r="X443" i="5"/>
  <c r="W260" i="5"/>
  <c r="X260" i="5"/>
  <c r="W973" i="5"/>
  <c r="X973" i="5"/>
  <c r="X427" i="5"/>
  <c r="W427" i="5"/>
  <c r="Y240" i="5"/>
  <c r="W791" i="5"/>
  <c r="Y30" i="5"/>
  <c r="X290" i="5"/>
  <c r="W290" i="5"/>
  <c r="X869" i="5"/>
  <c r="W869" i="5"/>
  <c r="X18" i="5"/>
  <c r="W18" i="5"/>
  <c r="X696" i="5"/>
  <c r="W696" i="5"/>
  <c r="X563" i="5"/>
  <c r="W563" i="5"/>
  <c r="X928" i="5"/>
  <c r="W928" i="5"/>
  <c r="X551" i="5"/>
  <c r="W551" i="5"/>
  <c r="X480" i="5"/>
  <c r="W480" i="5"/>
  <c r="X499" i="5"/>
  <c r="W499" i="5"/>
  <c r="X111" i="5"/>
  <c r="W111" i="5"/>
  <c r="X156" i="5"/>
  <c r="W156" i="5"/>
  <c r="X414" i="5"/>
  <c r="AA414" i="5" s="1"/>
  <c r="AB414" i="5" s="1"/>
  <c r="W414" i="5"/>
  <c r="R725" i="5"/>
  <c r="Y725" i="5"/>
  <c r="X456" i="5"/>
  <c r="W456" i="5"/>
  <c r="Y826" i="5"/>
  <c r="Y706" i="5"/>
  <c r="Y332" i="5"/>
  <c r="Y402" i="5"/>
  <c r="X829" i="5"/>
  <c r="W829" i="5"/>
  <c r="W165" i="5"/>
  <c r="AA165" i="5" s="1"/>
  <c r="AB165" i="5" s="1"/>
  <c r="X165" i="5"/>
  <c r="X612" i="5"/>
  <c r="W612" i="5"/>
  <c r="Y272" i="5"/>
  <c r="Y422" i="5"/>
  <c r="Y148" i="5"/>
  <c r="Y452" i="5"/>
  <c r="X712" i="5"/>
  <c r="W712" i="5"/>
  <c r="Y906" i="5"/>
  <c r="Y734" i="5"/>
  <c r="X967" i="5"/>
  <c r="AA967" i="5" s="1"/>
  <c r="AB967" i="5" s="1"/>
  <c r="W967" i="5"/>
  <c r="W14" i="5"/>
  <c r="X14" i="5"/>
  <c r="X384" i="5"/>
  <c r="W384" i="5"/>
  <c r="X455" i="5"/>
  <c r="W455" i="5"/>
  <c r="X391" i="5"/>
  <c r="W391" i="5"/>
  <c r="X566" i="5"/>
  <c r="W566" i="5"/>
  <c r="X397" i="5"/>
  <c r="W397" i="5"/>
  <c r="X554" i="5"/>
  <c r="W554" i="5"/>
  <c r="X470" i="5"/>
  <c r="W470" i="5"/>
  <c r="X306" i="5"/>
  <c r="AA306" i="5" s="1"/>
  <c r="AB306" i="5" s="1"/>
  <c r="W306" i="5"/>
  <c r="X548" i="5"/>
  <c r="W548" i="5"/>
  <c r="Y893" i="5"/>
  <c r="Y427" i="5"/>
  <c r="X381" i="5"/>
  <c r="AA381" i="5" s="1"/>
  <c r="AB381" i="5" s="1"/>
  <c r="W381" i="5"/>
  <c r="X608" i="5"/>
  <c r="W608" i="5"/>
  <c r="W429" i="5"/>
  <c r="W516" i="5"/>
  <c r="W141" i="5"/>
  <c r="W442" i="5"/>
  <c r="W344" i="5"/>
  <c r="X638" i="5"/>
  <c r="AA638" i="5" s="1"/>
  <c r="AB638" i="5" s="1"/>
  <c r="W638" i="5"/>
  <c r="X441" i="5"/>
  <c r="W441" i="5"/>
  <c r="X65" i="5"/>
  <c r="W65" i="5"/>
  <c r="X956" i="5"/>
  <c r="W956" i="5"/>
  <c r="X683" i="5"/>
  <c r="W683" i="5"/>
  <c r="X731" i="5"/>
  <c r="W731" i="5"/>
  <c r="X679" i="5"/>
  <c r="W679" i="5"/>
  <c r="X540" i="5"/>
  <c r="W540" i="5"/>
  <c r="X349" i="5"/>
  <c r="W349" i="5"/>
  <c r="W98" i="5"/>
  <c r="X98" i="5"/>
  <c r="X345" i="5"/>
  <c r="W345" i="5"/>
  <c r="X307" i="5"/>
  <c r="W307" i="5"/>
  <c r="AA307" i="5" s="1"/>
  <c r="AB307" i="5" s="1"/>
  <c r="X269" i="5"/>
  <c r="W269" i="5"/>
  <c r="X629" i="5"/>
  <c r="W629" i="5"/>
  <c r="AA629" i="5" s="1"/>
  <c r="AB629" i="5" s="1"/>
  <c r="X27" i="5"/>
  <c r="W27" i="5"/>
  <c r="X145" i="5"/>
  <c r="W145" i="5"/>
  <c r="X631" i="5"/>
  <c r="W631" i="5"/>
  <c r="X564" i="5"/>
  <c r="W564" i="5"/>
  <c r="X814" i="5"/>
  <c r="AA814" i="5" s="1"/>
  <c r="AB814" i="5" s="1"/>
  <c r="W814" i="5"/>
  <c r="X382" i="5"/>
  <c r="W382" i="5"/>
  <c r="AA382" i="5" s="1"/>
  <c r="AB382" i="5" s="1"/>
  <c r="X310" i="5"/>
  <c r="W310" i="5"/>
  <c r="X497" i="5"/>
  <c r="W497" i="5"/>
  <c r="X236" i="5"/>
  <c r="W236" i="5"/>
  <c r="X583" i="5"/>
  <c r="W583" i="5"/>
  <c r="X655" i="5"/>
  <c r="W655" i="5"/>
  <c r="X224" i="5"/>
  <c r="W224" i="5"/>
  <c r="X235" i="5"/>
  <c r="W235" i="5"/>
  <c r="X788" i="5"/>
  <c r="W788" i="5"/>
  <c r="X943" i="5"/>
  <c r="W943" i="5"/>
  <c r="X718" i="5"/>
  <c r="W718" i="5"/>
  <c r="X777" i="5"/>
  <c r="W777" i="5"/>
  <c r="X770" i="5"/>
  <c r="W770" i="5"/>
  <c r="X552" i="5"/>
  <c r="W552" i="5"/>
  <c r="X678" i="5"/>
  <c r="W678" i="5"/>
  <c r="Z763" i="5"/>
  <c r="AA763" i="5" s="1"/>
  <c r="AB763" i="5" s="1"/>
  <c r="X661" i="5"/>
  <c r="R779" i="5"/>
  <c r="Y779" i="5"/>
  <c r="AA779" i="5" s="1"/>
  <c r="AB779" i="5" s="1"/>
  <c r="R456" i="5"/>
  <c r="Y456" i="5"/>
  <c r="X385" i="5"/>
  <c r="W385" i="5"/>
  <c r="X170" i="5"/>
  <c r="W170" i="5"/>
  <c r="X826" i="5"/>
  <c r="W826" i="5"/>
  <c r="X987" i="5"/>
  <c r="W987" i="5"/>
  <c r="X536" i="5"/>
  <c r="W536" i="5"/>
  <c r="X658" i="5"/>
  <c r="W658" i="5"/>
  <c r="Y343" i="5"/>
  <c r="X390" i="5"/>
  <c r="W390" i="5"/>
  <c r="X937" i="5"/>
  <c r="W937" i="5"/>
  <c r="X400" i="5"/>
  <c r="W400" i="5"/>
  <c r="X698" i="5"/>
  <c r="W698" i="5"/>
  <c r="X992" i="5"/>
  <c r="W992" i="5"/>
  <c r="X86" i="5"/>
  <c r="W86" i="5"/>
  <c r="X297" i="5"/>
  <c r="W297" i="5"/>
  <c r="X210" i="5"/>
  <c r="W210" i="5"/>
  <c r="X915" i="5"/>
  <c r="W915" i="5"/>
  <c r="X148" i="5"/>
  <c r="W148" i="5"/>
  <c r="W403" i="5"/>
  <c r="AA403" i="5" s="1"/>
  <c r="AB403" i="5" s="1"/>
  <c r="X403" i="5"/>
  <c r="X458" i="5"/>
  <c r="W458" i="5"/>
  <c r="X284" i="5"/>
  <c r="AA284" i="5" s="1"/>
  <c r="AB284" i="5" s="1"/>
  <c r="W284" i="5"/>
  <c r="X970" i="5"/>
  <c r="W970" i="5"/>
  <c r="X340" i="5"/>
  <c r="W340" i="5"/>
  <c r="X376" i="5"/>
  <c r="W376" i="5"/>
  <c r="X980" i="5"/>
  <c r="W980" i="5"/>
  <c r="X207" i="5"/>
  <c r="W207" i="5"/>
  <c r="X729" i="5"/>
  <c r="W729" i="5"/>
  <c r="X481" i="5"/>
  <c r="W481" i="5"/>
  <c r="W912" i="5"/>
  <c r="X912" i="5"/>
  <c r="W364" i="5"/>
  <c r="X364" i="5"/>
  <c r="Y447" i="5"/>
  <c r="AA447" i="5" s="1"/>
  <c r="AB447" i="5" s="1"/>
  <c r="W333" i="5"/>
  <c r="X333" i="5"/>
  <c r="W283" i="5"/>
  <c r="X283" i="5"/>
  <c r="W888" i="5"/>
  <c r="X888" i="5"/>
  <c r="X372" i="5"/>
  <c r="W372" i="5"/>
  <c r="X809" i="5"/>
  <c r="W809" i="5"/>
  <c r="X793" i="5"/>
  <c r="W793" i="5"/>
  <c r="X615" i="5"/>
  <c r="AA615" i="5" s="1"/>
  <c r="AB615" i="5" s="1"/>
  <c r="W615" i="5"/>
  <c r="Y152" i="5"/>
  <c r="X478" i="5"/>
  <c r="AA478" i="5" s="1"/>
  <c r="AB478" i="5" s="1"/>
  <c r="W478" i="5"/>
  <c r="X130" i="5"/>
  <c r="W130" i="5"/>
  <c r="X337" i="5"/>
  <c r="W337" i="5"/>
  <c r="X265" i="5"/>
  <c r="W265" i="5"/>
  <c r="W574" i="5"/>
  <c r="W936" i="5"/>
  <c r="AA936" i="5" s="1"/>
  <c r="AB936" i="5" s="1"/>
  <c r="W3" i="5"/>
  <c r="W205" i="5"/>
  <c r="X579" i="5"/>
  <c r="AA579" i="5" s="1"/>
  <c r="AB579" i="5" s="1"/>
  <c r="X197" i="5"/>
  <c r="W197" i="5"/>
  <c r="W600" i="5"/>
  <c r="X600" i="5"/>
  <c r="X159" i="5"/>
  <c r="W159" i="5"/>
  <c r="R564" i="5"/>
  <c r="Y564" i="5"/>
  <c r="X991" i="5"/>
  <c r="W991" i="5"/>
  <c r="X357" i="5"/>
  <c r="W357" i="5"/>
  <c r="X862" i="5"/>
  <c r="W862" i="5"/>
  <c r="X420" i="5"/>
  <c r="W420" i="5"/>
  <c r="X545" i="5"/>
  <c r="W545" i="5"/>
  <c r="X896" i="5"/>
  <c r="W896" i="5"/>
  <c r="X118" i="5"/>
  <c r="W118" i="5"/>
  <c r="X810" i="5"/>
  <c r="W810" i="5"/>
  <c r="AA810" i="5" s="1"/>
  <c r="AB810" i="5" s="1"/>
  <c r="X693" i="5"/>
  <c r="W693" i="5"/>
  <c r="Q452" i="5"/>
  <c r="X452" i="5"/>
  <c r="W452" i="5"/>
  <c r="X66" i="5"/>
  <c r="W66" i="5"/>
  <c r="Y720" i="5"/>
  <c r="Y739" i="5"/>
  <c r="Y527" i="5"/>
  <c r="Y685" i="5"/>
  <c r="X343" i="5"/>
  <c r="W343" i="5"/>
  <c r="Y698" i="5"/>
  <c r="Y210" i="5"/>
  <c r="Y915" i="5"/>
  <c r="Y403" i="5"/>
  <c r="Y458" i="5"/>
  <c r="Q240" i="5"/>
  <c r="X240" i="5"/>
  <c r="W240" i="5"/>
  <c r="Y340" i="5"/>
  <c r="Y980" i="5"/>
  <c r="Y519" i="5"/>
  <c r="AA519" i="5" s="1"/>
  <c r="AB519" i="5" s="1"/>
  <c r="X570" i="5"/>
  <c r="W570" i="5"/>
  <c r="X606" i="5"/>
  <c r="W606" i="5"/>
  <c r="X459" i="5"/>
  <c r="W459" i="5"/>
  <c r="X799" i="5"/>
  <c r="W799" i="5"/>
  <c r="X959" i="5"/>
  <c r="W959" i="5"/>
  <c r="X590" i="5"/>
  <c r="W590" i="5"/>
  <c r="X447" i="5"/>
  <c r="W447" i="5"/>
  <c r="Y615" i="5"/>
  <c r="P131" i="5"/>
  <c r="X131" i="5"/>
  <c r="W131" i="5"/>
  <c r="X557" i="5"/>
  <c r="W557" i="5"/>
  <c r="P356" i="5"/>
  <c r="X356" i="5"/>
  <c r="W356" i="5"/>
  <c r="Q687" i="5"/>
  <c r="T687" i="5" s="1"/>
  <c r="U687" i="5" s="1"/>
  <c r="X687" i="5"/>
  <c r="W687" i="5"/>
  <c r="P303" i="5"/>
  <c r="X303" i="5"/>
  <c r="W303" i="5"/>
  <c r="P367" i="5"/>
  <c r="X367" i="5"/>
  <c r="W367" i="5"/>
  <c r="AA367" i="5" s="1"/>
  <c r="AB367" i="5" s="1"/>
  <c r="W388" i="5"/>
  <c r="AA388" i="5" s="1"/>
  <c r="AB388" i="5" s="1"/>
  <c r="X911" i="5"/>
  <c r="W738" i="5"/>
  <c r="W208" i="5"/>
  <c r="AA208" i="5" s="1"/>
  <c r="AB208" i="5" s="1"/>
  <c r="X476" i="5"/>
  <c r="W476" i="5"/>
  <c r="X204" i="5"/>
  <c r="W204" i="5"/>
  <c r="X331" i="5"/>
  <c r="W331" i="5"/>
  <c r="X834" i="5"/>
  <c r="W834" i="5"/>
  <c r="AA834" i="5" s="1"/>
  <c r="AB834" i="5" s="1"/>
  <c r="X73" i="5"/>
  <c r="AA73" i="5" s="1"/>
  <c r="AB73" i="5" s="1"/>
  <c r="W73" i="5"/>
  <c r="X164" i="5"/>
  <c r="W164" i="5"/>
  <c r="AA164" i="5" s="1"/>
  <c r="AB164" i="5" s="1"/>
  <c r="X549" i="5"/>
  <c r="W549" i="5"/>
  <c r="W913" i="5"/>
  <c r="X913" i="5"/>
  <c r="W832" i="5"/>
  <c r="X832" i="5"/>
  <c r="W421" i="5"/>
  <c r="X421" i="5"/>
  <c r="X399" i="5"/>
  <c r="W399" i="5"/>
  <c r="X975" i="5"/>
  <c r="W975" i="5"/>
  <c r="AA975" i="5" s="1"/>
  <c r="AB975" i="5" s="1"/>
  <c r="X304" i="5"/>
  <c r="W304" i="5"/>
  <c r="X954" i="5"/>
  <c r="W954" i="5"/>
  <c r="P15" i="5"/>
  <c r="X15" i="5"/>
  <c r="AA15" i="5" s="1"/>
  <c r="AB15" i="5" s="1"/>
  <c r="W15" i="5"/>
  <c r="S403" i="5"/>
  <c r="Z403" i="5"/>
  <c r="X871" i="5"/>
  <c r="W871" i="5"/>
  <c r="X281" i="5"/>
  <c r="W281" i="5"/>
  <c r="X735" i="5"/>
  <c r="W735" i="5"/>
  <c r="X508" i="5"/>
  <c r="W508" i="5"/>
  <c r="X12" i="5"/>
  <c r="W12" i="5"/>
  <c r="X328" i="5"/>
  <c r="W328" i="5"/>
  <c r="X868" i="5"/>
  <c r="W868" i="5"/>
  <c r="X532" i="5"/>
  <c r="W532" i="5"/>
  <c r="X902" i="5"/>
  <c r="W902" i="5"/>
  <c r="X275" i="5"/>
  <c r="W275" i="5"/>
  <c r="X36" i="5"/>
  <c r="W36" i="5"/>
  <c r="X87" i="5"/>
  <c r="W87" i="5"/>
  <c r="X243" i="5"/>
  <c r="W243" i="5"/>
  <c r="W695" i="5"/>
  <c r="X695" i="5"/>
  <c r="X784" i="5"/>
  <c r="W784" i="5"/>
  <c r="X635" i="5"/>
  <c r="W635" i="5"/>
  <c r="X662" i="5"/>
  <c r="W662" i="5"/>
  <c r="X392" i="5"/>
  <c r="W392" i="5"/>
  <c r="AA392" i="5" s="1"/>
  <c r="AB392" i="5" s="1"/>
  <c r="X710" i="5"/>
  <c r="W710" i="5"/>
  <c r="X720" i="5"/>
  <c r="W720" i="5"/>
  <c r="X653" i="5"/>
  <c r="W653" i="5"/>
  <c r="X739" i="5"/>
  <c r="W739" i="5"/>
  <c r="X457" i="5"/>
  <c r="W457" i="5"/>
  <c r="X527" i="5"/>
  <c r="W527" i="5"/>
  <c r="X108" i="5"/>
  <c r="W108" i="5"/>
  <c r="X685" i="5"/>
  <c r="W685" i="5"/>
  <c r="X489" i="5"/>
  <c r="W489" i="5"/>
  <c r="X350" i="5"/>
  <c r="W350" i="5"/>
  <c r="X505" i="5"/>
  <c r="W505" i="5"/>
  <c r="X189" i="5"/>
  <c r="W189" i="5"/>
  <c r="X341" i="5"/>
  <c r="W341" i="5"/>
  <c r="X139" i="5"/>
  <c r="W139" i="5"/>
  <c r="X753" i="5"/>
  <c r="W753" i="5"/>
  <c r="X119" i="5"/>
  <c r="W119" i="5"/>
  <c r="W132" i="5"/>
  <c r="AA132" i="5" s="1"/>
  <c r="AB132" i="5" s="1"/>
  <c r="X132" i="5"/>
  <c r="Y221" i="5"/>
  <c r="X123" i="5"/>
  <c r="AA123" i="5" s="1"/>
  <c r="AB123" i="5" s="1"/>
  <c r="W123" i="5"/>
  <c r="X268" i="5"/>
  <c r="W268" i="5"/>
  <c r="AA268" i="5" s="1"/>
  <c r="AB268" i="5" s="1"/>
  <c r="X285" i="5"/>
  <c r="W285" i="5"/>
  <c r="W325" i="5"/>
  <c r="X325" i="5"/>
  <c r="X699" i="5"/>
  <c r="W699" i="5"/>
  <c r="X152" i="5"/>
  <c r="W152" i="5"/>
  <c r="AA152" i="5" s="1"/>
  <c r="AB152" i="5" s="1"/>
  <c r="W882" i="5"/>
  <c r="AA882" i="5" s="1"/>
  <c r="AB882" i="5" s="1"/>
  <c r="X882" i="5"/>
  <c r="X193" i="5"/>
  <c r="W193" i="5"/>
  <c r="X183" i="5"/>
  <c r="W183" i="5"/>
  <c r="X637" i="5"/>
  <c r="W637" i="5"/>
  <c r="P835" i="5"/>
  <c r="W835" i="5"/>
  <c r="X835" i="5"/>
  <c r="P296" i="5"/>
  <c r="X296" i="5"/>
  <c r="AA296" i="5" s="1"/>
  <c r="AB296" i="5" s="1"/>
  <c r="W296" i="5"/>
  <c r="X194" i="5"/>
  <c r="W194" i="5"/>
  <c r="W322" i="5"/>
  <c r="X322" i="5"/>
  <c r="W889" i="5"/>
  <c r="X889" i="5"/>
  <c r="Y799" i="5"/>
  <c r="Y590" i="5"/>
  <c r="W525" i="5"/>
  <c r="X525" i="5"/>
  <c r="W870" i="5"/>
  <c r="AA870" i="5" s="1"/>
  <c r="AB870" i="5" s="1"/>
  <c r="X870" i="5"/>
  <c r="W406" i="5"/>
  <c r="X406" i="5"/>
  <c r="W932" i="5"/>
  <c r="X932" i="5"/>
  <c r="X841" i="5"/>
  <c r="W841" i="5"/>
  <c r="X250" i="5"/>
  <c r="W250" i="5"/>
  <c r="X848" i="5"/>
  <c r="W848" i="5"/>
  <c r="S921" i="5"/>
  <c r="Z921" i="5"/>
  <c r="X837" i="5"/>
  <c r="W837" i="5"/>
  <c r="X680" i="5"/>
  <c r="W680" i="5"/>
  <c r="X640" i="5"/>
  <c r="W640" i="5"/>
  <c r="X495" i="5"/>
  <c r="W495" i="5"/>
  <c r="AA495" i="5" s="1"/>
  <c r="AB495" i="5" s="1"/>
  <c r="W45" i="5"/>
  <c r="X854" i="5"/>
  <c r="W571" i="5"/>
  <c r="AA571" i="5" s="1"/>
  <c r="AB571" i="5" s="1"/>
  <c r="X619" i="5"/>
  <c r="W619" i="5"/>
  <c r="R868" i="5"/>
  <c r="Y868" i="5"/>
  <c r="R532" i="5"/>
  <c r="Y532" i="5"/>
  <c r="S670" i="5"/>
  <c r="Z670" i="5"/>
  <c r="X270" i="5"/>
  <c r="W270" i="5"/>
  <c r="X475" i="5"/>
  <c r="W475" i="5"/>
  <c r="X939" i="5"/>
  <c r="W939" i="5"/>
  <c r="X482" i="5"/>
  <c r="W482" i="5"/>
  <c r="X645" i="5"/>
  <c r="W645" i="5"/>
  <c r="X617" i="5"/>
  <c r="W617" i="5"/>
  <c r="X336" i="5"/>
  <c r="W336" i="5"/>
  <c r="X375" i="5"/>
  <c r="W375" i="5"/>
  <c r="AA375" i="5" s="1"/>
  <c r="AB375" i="5" s="1"/>
  <c r="B29" i="6"/>
  <c r="Y639" i="5"/>
  <c r="Y774" i="5"/>
  <c r="Y873" i="5"/>
  <c r="Y357" i="5"/>
  <c r="X806" i="5"/>
  <c r="W806" i="5"/>
  <c r="Y753" i="5"/>
  <c r="X649" i="5"/>
  <c r="W649" i="5"/>
  <c r="W670" i="5"/>
  <c r="X670" i="5"/>
  <c r="X221" i="5"/>
  <c r="W221" i="5"/>
  <c r="Y835" i="5"/>
  <c r="X256" i="5"/>
  <c r="W256" i="5"/>
  <c r="X74" i="5"/>
  <c r="W74" i="5"/>
  <c r="X1000" i="5"/>
  <c r="W1000" i="5"/>
  <c r="AA1000" i="5" s="1"/>
  <c r="AB1000" i="5" s="1"/>
  <c r="X689" i="5"/>
  <c r="W689" i="5"/>
  <c r="X195" i="5"/>
  <c r="W195" i="5"/>
  <c r="X625" i="5"/>
  <c r="W625" i="5"/>
  <c r="AA625" i="5" s="1"/>
  <c r="AB625" i="5" s="1"/>
  <c r="X572" i="5"/>
  <c r="W572" i="5"/>
  <c r="X398" i="5"/>
  <c r="W398" i="5"/>
  <c r="Y870" i="5"/>
  <c r="Y250" i="5"/>
  <c r="W977" i="5"/>
  <c r="X78" i="5"/>
  <c r="W498" i="5"/>
  <c r="AA498" i="5" s="1"/>
  <c r="AB498" i="5" s="1"/>
  <c r="X952" i="5"/>
  <c r="AA507" i="5"/>
  <c r="AB507" i="5" s="1"/>
  <c r="S469" i="5"/>
  <c r="T469" i="5" s="1"/>
  <c r="U469" i="5" s="1"/>
  <c r="Q800" i="5"/>
  <c r="R721" i="5"/>
  <c r="R980" i="5"/>
  <c r="Q912" i="5"/>
  <c r="S57" i="5"/>
  <c r="R839" i="5"/>
  <c r="T839" i="5" s="1"/>
  <c r="U839" i="5" s="1"/>
  <c r="R845" i="5"/>
  <c r="S590" i="5"/>
  <c r="Q47" i="5"/>
  <c r="P240" i="5"/>
  <c r="S955" i="5"/>
  <c r="S226" i="5"/>
  <c r="S45" i="5"/>
  <c r="Q71" i="5"/>
  <c r="Q340" i="5"/>
  <c r="T340" i="5" s="1"/>
  <c r="U340" i="5" s="1"/>
  <c r="Q207" i="5"/>
  <c r="R912" i="5"/>
  <c r="R106" i="5"/>
  <c r="Q419" i="5"/>
  <c r="R191" i="5"/>
  <c r="T191" i="5" s="1"/>
  <c r="U191" i="5" s="1"/>
  <c r="Q878" i="5"/>
  <c r="T878" i="5" s="1"/>
  <c r="U878" i="5" s="1"/>
  <c r="P900" i="5"/>
  <c r="S443" i="5"/>
  <c r="R240" i="5"/>
  <c r="AA628" i="5"/>
  <c r="AB628" i="5" s="1"/>
  <c r="S324" i="5"/>
  <c r="S410" i="5"/>
  <c r="S680" i="5"/>
  <c r="AA500" i="5"/>
  <c r="AB500" i="5" s="1"/>
  <c r="S936" i="5"/>
  <c r="S850" i="5"/>
  <c r="S442" i="5"/>
  <c r="S740" i="5"/>
  <c r="Q744" i="5"/>
  <c r="S71" i="5"/>
  <c r="S897" i="5"/>
  <c r="S877" i="5"/>
  <c r="Q68" i="5"/>
  <c r="S606" i="5"/>
  <c r="T606" i="5" s="1"/>
  <c r="U606" i="5" s="1"/>
  <c r="R798" i="5"/>
  <c r="P878" i="5"/>
  <c r="Q544" i="5"/>
  <c r="S35" i="5"/>
  <c r="Q647" i="5"/>
  <c r="S985" i="5"/>
  <c r="Q67" i="5"/>
  <c r="S18" i="5"/>
  <c r="R531" i="5"/>
  <c r="T531" i="5" s="1"/>
  <c r="U531" i="5" s="1"/>
  <c r="Q622" i="5"/>
  <c r="R340" i="5"/>
  <c r="R207" i="5"/>
  <c r="Q723" i="5"/>
  <c r="Q408" i="5"/>
  <c r="P627" i="5"/>
  <c r="S598" i="5"/>
  <c r="S964" i="5"/>
  <c r="S213" i="5"/>
  <c r="AA569" i="5"/>
  <c r="AB569" i="5" s="1"/>
  <c r="R650" i="5"/>
  <c r="P550" i="5"/>
  <c r="T550" i="5" s="1"/>
  <c r="U550" i="5" s="1"/>
  <c r="R634" i="5"/>
  <c r="Q154" i="5"/>
  <c r="R419" i="5"/>
  <c r="T419" i="5" s="1"/>
  <c r="U419" i="5" s="1"/>
  <c r="S959" i="5"/>
  <c r="S232" i="5"/>
  <c r="Q187" i="5"/>
  <c r="S217" i="5"/>
  <c r="S28" i="5"/>
  <c r="S502" i="5"/>
  <c r="T502" i="5" s="1"/>
  <c r="U502" i="5" s="1"/>
  <c r="S388" i="5"/>
  <c r="S509" i="5"/>
  <c r="S867" i="5"/>
  <c r="T867" i="5" s="1"/>
  <c r="U867" i="5" s="1"/>
  <c r="S971" i="5"/>
  <c r="S223" i="5"/>
  <c r="Q120" i="5"/>
  <c r="AB432" i="5"/>
  <c r="P989" i="5"/>
  <c r="Q196" i="5"/>
  <c r="R212" i="5"/>
  <c r="R136" i="5"/>
  <c r="T136" i="5" s="1"/>
  <c r="U136" i="5" s="1"/>
  <c r="P154" i="5"/>
  <c r="T154" i="5" s="1"/>
  <c r="U154" i="5" s="1"/>
  <c r="R68" i="5"/>
  <c r="S570" i="5"/>
  <c r="R92" i="5"/>
  <c r="S548" i="5"/>
  <c r="S975" i="5"/>
  <c r="S587" i="5"/>
  <c r="P496" i="5"/>
  <c r="S342" i="5"/>
  <c r="S186" i="5"/>
  <c r="S947" i="5"/>
  <c r="AB707" i="5"/>
  <c r="S989" i="5"/>
  <c r="T392" i="5"/>
  <c r="U392" i="5" s="1"/>
  <c r="AA401" i="5"/>
  <c r="AB401" i="5" s="1"/>
  <c r="Q481" i="5"/>
  <c r="T481" i="5" s="1"/>
  <c r="U481" i="5" s="1"/>
  <c r="S724" i="5"/>
  <c r="R723" i="5"/>
  <c r="Q13" i="5"/>
  <c r="Q329" i="5"/>
  <c r="S816" i="5"/>
  <c r="S785" i="5"/>
  <c r="S741" i="5"/>
  <c r="S196" i="5"/>
  <c r="S550" i="5"/>
  <c r="R713" i="5"/>
  <c r="Q364" i="5"/>
  <c r="S227" i="5"/>
  <c r="T227" i="5" s="1"/>
  <c r="U227" i="5" s="1"/>
  <c r="S973" i="5"/>
  <c r="S146" i="5"/>
  <c r="S359" i="5"/>
  <c r="S401" i="5"/>
  <c r="S246" i="5"/>
  <c r="S542" i="5"/>
  <c r="S222" i="5"/>
  <c r="S869" i="5"/>
  <c r="S208" i="5"/>
  <c r="P907" i="5"/>
  <c r="P452" i="5"/>
  <c r="R481" i="5"/>
  <c r="S889" i="5"/>
  <c r="T455" i="5"/>
  <c r="U455" i="5" s="1"/>
  <c r="R231" i="5"/>
  <c r="R306" i="5"/>
  <c r="P143" i="5"/>
  <c r="S581" i="5"/>
  <c r="S135" i="5"/>
  <c r="S966" i="5"/>
  <c r="T966" i="5" s="1"/>
  <c r="U966" i="5" s="1"/>
  <c r="S263" i="5"/>
  <c r="S157" i="5"/>
  <c r="Q907" i="5"/>
  <c r="T907" i="5" s="1"/>
  <c r="U907" i="5" s="1"/>
  <c r="Q500" i="5"/>
  <c r="R746" i="5"/>
  <c r="Q980" i="5"/>
  <c r="T980" i="5" s="1"/>
  <c r="U980" i="5" s="1"/>
  <c r="S37" i="5"/>
  <c r="R364" i="5"/>
  <c r="R601" i="5"/>
  <c r="T601" i="5" s="1"/>
  <c r="U601" i="5" s="1"/>
  <c r="S459" i="5"/>
  <c r="Q648" i="5"/>
  <c r="S19" i="5"/>
  <c r="T19" i="5" s="1"/>
  <c r="U19" i="5" s="1"/>
  <c r="S273" i="5"/>
  <c r="S695" i="5"/>
  <c r="S11" i="5"/>
  <c r="S367" i="5"/>
  <c r="S394" i="5"/>
  <c r="S812" i="5"/>
  <c r="S874" i="5"/>
  <c r="S500" i="5"/>
  <c r="R633" i="5"/>
  <c r="T633" i="5" s="1"/>
  <c r="U633" i="5" s="1"/>
  <c r="R469" i="5"/>
  <c r="R519" i="5"/>
  <c r="T519" i="5" s="1"/>
  <c r="U519" i="5" s="1"/>
  <c r="Q106" i="5"/>
  <c r="T384" i="5"/>
  <c r="U384" i="5" s="1"/>
  <c r="Q191" i="5"/>
  <c r="Q968" i="5"/>
  <c r="T968" i="5" s="1"/>
  <c r="U968" i="5" s="1"/>
  <c r="S20" i="5"/>
  <c r="S804" i="5"/>
  <c r="S924" i="5"/>
  <c r="S580" i="5"/>
  <c r="S3" i="5"/>
  <c r="S861" i="5"/>
  <c r="S794" i="5"/>
  <c r="S661" i="5"/>
  <c r="R265" i="5"/>
  <c r="Q686" i="5"/>
  <c r="Q327" i="5"/>
  <c r="Q77" i="5"/>
  <c r="Q547" i="5"/>
  <c r="Q9" i="5"/>
  <c r="Q672" i="5"/>
  <c r="Q371" i="5"/>
  <c r="Q319" i="5"/>
  <c r="R853" i="5"/>
  <c r="T853" i="5" s="1"/>
  <c r="U853" i="5" s="1"/>
  <c r="Q604" i="5"/>
  <c r="T182" i="5"/>
  <c r="U182" i="5" s="1"/>
  <c r="T391" i="5"/>
  <c r="U391" i="5" s="1"/>
  <c r="S225" i="5"/>
  <c r="R892" i="5"/>
  <c r="R686" i="5"/>
  <c r="T686" i="5" s="1"/>
  <c r="U686" i="5" s="1"/>
  <c r="Q355" i="5"/>
  <c r="R547" i="5"/>
  <c r="S374" i="5"/>
  <c r="S734" i="5"/>
  <c r="S963" i="5"/>
  <c r="T963" i="5" s="1"/>
  <c r="U963" i="5" s="1"/>
  <c r="S518" i="5"/>
  <c r="T518" i="5" s="1"/>
  <c r="U518" i="5" s="1"/>
  <c r="Q927" i="5"/>
  <c r="P772" i="5"/>
  <c r="Q989" i="5"/>
  <c r="Q15" i="5"/>
  <c r="R692" i="5"/>
  <c r="R514" i="5"/>
  <c r="R974" i="5"/>
  <c r="Q296" i="5"/>
  <c r="Q179" i="5"/>
  <c r="Q953" i="5"/>
  <c r="Q926" i="5"/>
  <c r="Q175" i="5"/>
  <c r="R879" i="5"/>
  <c r="R496" i="5"/>
  <c r="T496" i="5" s="1"/>
  <c r="U496" i="5" s="1"/>
  <c r="T967" i="5"/>
  <c r="U967" i="5" s="1"/>
  <c r="T126" i="5"/>
  <c r="U126" i="5" s="1"/>
  <c r="R907" i="5"/>
  <c r="R403" i="5"/>
  <c r="T403" i="5" s="1"/>
  <c r="U403" i="5" s="1"/>
  <c r="P531" i="5"/>
  <c r="R989" i="5"/>
  <c r="Q198" i="5"/>
  <c r="S514" i="5"/>
  <c r="R418" i="5"/>
  <c r="R323" i="5"/>
  <c r="R52" i="5"/>
  <c r="R366" i="5"/>
  <c r="R48" i="5"/>
  <c r="R54" i="5"/>
  <c r="R851" i="5"/>
  <c r="R187" i="5"/>
  <c r="R71" i="5"/>
  <c r="R198" i="5"/>
  <c r="Q609" i="5"/>
  <c r="R737" i="5"/>
  <c r="S369" i="5"/>
  <c r="Q835" i="5"/>
  <c r="T835" i="5" s="1"/>
  <c r="U835" i="5" s="1"/>
  <c r="S110" i="5"/>
  <c r="S775" i="5"/>
  <c r="T775" i="5" s="1"/>
  <c r="U775" i="5" s="1"/>
  <c r="S150" i="5"/>
  <c r="T150" i="5" s="1"/>
  <c r="U150" i="5" s="1"/>
  <c r="R458" i="5"/>
  <c r="R500" i="5"/>
  <c r="R609" i="5"/>
  <c r="S707" i="5"/>
  <c r="Q657" i="5"/>
  <c r="R324" i="5"/>
  <c r="R522" i="5"/>
  <c r="R631" i="5"/>
  <c r="S300" i="5"/>
  <c r="T300" i="5" s="1"/>
  <c r="U300" i="5" s="1"/>
  <c r="S614" i="5"/>
  <c r="S423" i="5"/>
  <c r="T423" i="5" s="1"/>
  <c r="U423" i="5" s="1"/>
  <c r="S621" i="5"/>
  <c r="T621" i="5" s="1"/>
  <c r="U621" i="5" s="1"/>
  <c r="Q448" i="5"/>
  <c r="Q682" i="5"/>
  <c r="P152" i="5"/>
  <c r="Q152" i="5"/>
  <c r="P151" i="5"/>
  <c r="Q151" i="5"/>
  <c r="R335" i="5"/>
  <c r="Q335" i="5"/>
  <c r="P378" i="5"/>
  <c r="Q378" i="5"/>
  <c r="T378" i="5" s="1"/>
  <c r="U378" i="5" s="1"/>
  <c r="P891" i="5"/>
  <c r="T891" i="5" s="1"/>
  <c r="U891" i="5" s="1"/>
  <c r="Q891" i="5"/>
  <c r="AA101" i="5"/>
  <c r="AB101" i="5" s="1"/>
  <c r="Q101" i="5"/>
  <c r="T101" i="5" s="1"/>
  <c r="U101" i="5" s="1"/>
  <c r="Q521" i="5"/>
  <c r="T521" i="5" s="1"/>
  <c r="U521" i="5" s="1"/>
  <c r="P32" i="5"/>
  <c r="Q32" i="5"/>
  <c r="P58" i="5"/>
  <c r="Q58" i="5"/>
  <c r="P318" i="5"/>
  <c r="T318" i="5" s="1"/>
  <c r="U318" i="5" s="1"/>
  <c r="Q318" i="5"/>
  <c r="P461" i="5"/>
  <c r="Q461" i="5"/>
  <c r="T461" i="5" s="1"/>
  <c r="U461" i="5" s="1"/>
  <c r="P597" i="5"/>
  <c r="Q597" i="5"/>
  <c r="P494" i="5"/>
  <c r="Q494" i="5"/>
  <c r="P512" i="5"/>
  <c r="Q512" i="5"/>
  <c r="AA585" i="5"/>
  <c r="AB585" i="5" s="1"/>
  <c r="P585" i="5"/>
  <c r="T585" i="5" s="1"/>
  <c r="U585" i="5" s="1"/>
  <c r="Q585" i="5"/>
  <c r="P41" i="5"/>
  <c r="T41" i="5" s="1"/>
  <c r="U41" i="5" s="1"/>
  <c r="Q41" i="5"/>
  <c r="Q19" i="5"/>
  <c r="R878" i="5"/>
  <c r="R900" i="5"/>
  <c r="P140" i="5"/>
  <c r="R234" i="5"/>
  <c r="R380" i="5"/>
  <c r="R544" i="5"/>
  <c r="AA47" i="5"/>
  <c r="AB47" i="5" s="1"/>
  <c r="R47" i="5"/>
  <c r="R648" i="5"/>
  <c r="R13" i="5"/>
  <c r="R408" i="5"/>
  <c r="R744" i="5"/>
  <c r="R968" i="5"/>
  <c r="AA329" i="5"/>
  <c r="AB329" i="5" s="1"/>
  <c r="R329" i="5"/>
  <c r="S795" i="5"/>
  <c r="S347" i="5"/>
  <c r="S266" i="5"/>
  <c r="S309" i="5"/>
  <c r="S477" i="5"/>
  <c r="B26" i="6"/>
  <c r="Q20" i="5"/>
  <c r="Q171" i="5"/>
  <c r="T171" i="5" s="1"/>
  <c r="U171" i="5" s="1"/>
  <c r="Q35" i="5"/>
  <c r="Q745" i="5"/>
  <c r="Q537" i="5"/>
  <c r="Q546" i="5"/>
  <c r="Q644" i="5"/>
  <c r="Q389" i="5"/>
  <c r="Q253" i="5"/>
  <c r="R804" i="5"/>
  <c r="S242" i="5"/>
  <c r="R927" i="5"/>
  <c r="R27" i="5"/>
  <c r="P637" i="5"/>
  <c r="T637" i="5" s="1"/>
  <c r="U637" i="5" s="1"/>
  <c r="S251" i="5"/>
  <c r="S255" i="5"/>
  <c r="S294" i="5"/>
  <c r="T294" i="5" s="1"/>
  <c r="U294" i="5" s="1"/>
  <c r="S996" i="5"/>
  <c r="S42" i="5"/>
  <c r="Q380" i="5"/>
  <c r="Q935" i="5"/>
  <c r="P913" i="5"/>
  <c r="P832" i="5"/>
  <c r="P421" i="5"/>
  <c r="P399" i="5"/>
  <c r="P975" i="5"/>
  <c r="P304" i="5"/>
  <c r="P954" i="5"/>
  <c r="R143" i="5"/>
  <c r="Q183" i="5"/>
  <c r="Q880" i="5"/>
  <c r="T880" i="5" s="1"/>
  <c r="U880" i="5" s="1"/>
  <c r="R972" i="5"/>
  <c r="R246" i="5"/>
  <c r="T246" i="5" s="1"/>
  <c r="U246" i="5" s="1"/>
  <c r="R440" i="5"/>
  <c r="T440" i="5" s="1"/>
  <c r="U440" i="5" s="1"/>
  <c r="S701" i="5"/>
  <c r="T701" i="5" s="1"/>
  <c r="U701" i="5" s="1"/>
  <c r="T397" i="5"/>
  <c r="U397" i="5" s="1"/>
  <c r="R717" i="5"/>
  <c r="T717" i="5" s="1"/>
  <c r="U717" i="5" s="1"/>
  <c r="B28" i="6"/>
  <c r="AB144" i="5"/>
  <c r="Q349" i="5"/>
  <c r="R119" i="5"/>
  <c r="R832" i="5"/>
  <c r="R421" i="5"/>
  <c r="R659" i="5"/>
  <c r="R558" i="5"/>
  <c r="R533" i="5"/>
  <c r="P183" i="5"/>
  <c r="T961" i="5"/>
  <c r="U961" i="5" s="1"/>
  <c r="Q234" i="5"/>
  <c r="T234" i="5" s="1"/>
  <c r="U234" i="5" s="1"/>
  <c r="Q587" i="5"/>
  <c r="Q119" i="5"/>
  <c r="R649" i="5"/>
  <c r="T649" i="5" s="1"/>
  <c r="U649" i="5" s="1"/>
  <c r="Q96" i="5"/>
  <c r="R950" i="5"/>
  <c r="Q882" i="5"/>
  <c r="Q193" i="5"/>
  <c r="Q797" i="5"/>
  <c r="T797" i="5" s="1"/>
  <c r="U797" i="5" s="1"/>
  <c r="Q472" i="5"/>
  <c r="T472" i="5" s="1"/>
  <c r="U472" i="5" s="1"/>
  <c r="Q881" i="5"/>
  <c r="Q194" i="5"/>
  <c r="Q176" i="5"/>
  <c r="Q589" i="5"/>
  <c r="Q370" i="5"/>
  <c r="T14" i="5"/>
  <c r="U14" i="5" s="1"/>
  <c r="Q140" i="5"/>
  <c r="S900" i="5"/>
  <c r="S234" i="5"/>
  <c r="S544" i="5"/>
  <c r="S648" i="5"/>
  <c r="S408" i="5"/>
  <c r="S968" i="5"/>
  <c r="S151" i="5"/>
  <c r="R610" i="5"/>
  <c r="T610" i="5" s="1"/>
  <c r="U610" i="5" s="1"/>
  <c r="Q690" i="5"/>
  <c r="Q483" i="5"/>
  <c r="Q782" i="5"/>
  <c r="Q29" i="5"/>
  <c r="Q184" i="5"/>
  <c r="S649" i="5"/>
  <c r="R96" i="5"/>
  <c r="R426" i="5"/>
  <c r="R722" i="5"/>
  <c r="R405" i="5"/>
  <c r="R241" i="5"/>
  <c r="R40" i="5"/>
  <c r="R920" i="5"/>
  <c r="R988" i="5"/>
  <c r="R668" i="5"/>
  <c r="R646" i="5"/>
  <c r="P882" i="5"/>
  <c r="P193" i="5"/>
  <c r="P194" i="5"/>
  <c r="Q837" i="5"/>
  <c r="S757" i="5"/>
  <c r="S916" i="5"/>
  <c r="S104" i="5"/>
  <c r="T104" i="5" s="1"/>
  <c r="U104" i="5" s="1"/>
  <c r="S430" i="5"/>
  <c r="T430" i="5" s="1"/>
  <c r="U430" i="5" s="1"/>
  <c r="R486" i="5"/>
  <c r="R49" i="5"/>
  <c r="R814" i="5"/>
  <c r="R382" i="5"/>
  <c r="R491" i="5"/>
  <c r="R310" i="5"/>
  <c r="R497" i="5"/>
  <c r="R236" i="5"/>
  <c r="Q624" i="5"/>
  <c r="Q640" i="5"/>
  <c r="S64" i="5"/>
  <c r="T64" i="5" s="1"/>
  <c r="U64" i="5" s="1"/>
  <c r="S329" i="5"/>
  <c r="T329" i="5" s="1"/>
  <c r="U329" i="5" s="1"/>
  <c r="S608" i="5"/>
  <c r="S162" i="5"/>
  <c r="T162" i="5" s="1"/>
  <c r="U162" i="5" s="1"/>
  <c r="AA162" i="5"/>
  <c r="AB162" i="5" s="1"/>
  <c r="AA14" i="5"/>
  <c r="AB14" i="5" s="1"/>
  <c r="S283" i="5"/>
  <c r="T283" i="5" s="1"/>
  <c r="U283" i="5" s="1"/>
  <c r="S466" i="5"/>
  <c r="T466" i="5" s="1"/>
  <c r="U466" i="5" s="1"/>
  <c r="S888" i="5"/>
  <c r="T888" i="5" s="1"/>
  <c r="U888" i="5" s="1"/>
  <c r="S524" i="5"/>
  <c r="S13" i="5"/>
  <c r="S809" i="5"/>
  <c r="T809" i="5" s="1"/>
  <c r="U809" i="5" s="1"/>
  <c r="R976" i="5"/>
  <c r="S265" i="5"/>
  <c r="Q417" i="5"/>
  <c r="T417" i="5" s="1"/>
  <c r="S858" i="5"/>
  <c r="P506" i="5"/>
  <c r="P568" i="5"/>
  <c r="AA368" i="5"/>
  <c r="AB368" i="5" s="1"/>
  <c r="AA606" i="5"/>
  <c r="AB606" i="5" s="1"/>
  <c r="Q219" i="5"/>
  <c r="T219" i="5" s="1"/>
  <c r="U219" i="5" s="1"/>
  <c r="R590" i="5"/>
  <c r="T590" i="5" s="1"/>
  <c r="U590" i="5" s="1"/>
  <c r="S827" i="5"/>
  <c r="S143" i="5"/>
  <c r="Q134" i="5"/>
  <c r="Q122" i="5"/>
  <c r="Q914" i="5"/>
  <c r="Q317" i="5"/>
  <c r="AA417" i="5"/>
  <c r="AA841" i="5"/>
  <c r="AB841" i="5" s="1"/>
  <c r="AA37" i="5"/>
  <c r="AB37" i="5" s="1"/>
  <c r="AA412" i="5"/>
  <c r="AB412" i="5" s="1"/>
  <c r="AA995" i="5"/>
  <c r="AB995" i="5" s="1"/>
  <c r="AA925" i="5"/>
  <c r="AB925" i="5" s="1"/>
  <c r="AA612" i="5"/>
  <c r="AB612" i="5" s="1"/>
  <c r="AA743" i="5"/>
  <c r="AB743" i="5" s="1"/>
  <c r="P290" i="5"/>
  <c r="S879" i="5"/>
  <c r="S583" i="5"/>
  <c r="Q667" i="5"/>
  <c r="S974" i="5"/>
  <c r="T974" i="5" s="1"/>
  <c r="U974" i="5" s="1"/>
  <c r="AA511" i="5"/>
  <c r="AB511" i="5" s="1"/>
  <c r="S496" i="5"/>
  <c r="Q785" i="5"/>
  <c r="S495" i="5"/>
  <c r="T495" i="5" s="1"/>
  <c r="U495" i="5" s="1"/>
  <c r="Q591" i="5"/>
  <c r="Q393" i="5"/>
  <c r="AA325" i="5"/>
  <c r="AB325" i="5" s="1"/>
  <c r="AA677" i="5"/>
  <c r="AB677" i="5" s="1"/>
  <c r="AA360" i="5"/>
  <c r="AB360" i="5" s="1"/>
  <c r="AA889" i="5"/>
  <c r="AB889" i="5" s="1"/>
  <c r="R567" i="5"/>
  <c r="R170" i="5"/>
  <c r="R808" i="5"/>
  <c r="R249" i="5"/>
  <c r="R987" i="5"/>
  <c r="R462" i="5"/>
  <c r="R536" i="5"/>
  <c r="R658" i="5"/>
  <c r="AA723" i="5"/>
  <c r="AB723" i="5" s="1"/>
  <c r="AA931" i="5"/>
  <c r="AB931" i="5" s="1"/>
  <c r="AA322" i="5"/>
  <c r="AB322" i="5" s="1"/>
  <c r="AA154" i="5"/>
  <c r="AB154" i="5" s="1"/>
  <c r="AA335" i="5"/>
  <c r="AB335" i="5" s="1"/>
  <c r="S290" i="5"/>
  <c r="R70" i="5"/>
  <c r="AA609" i="5"/>
  <c r="AB609" i="5" s="1"/>
  <c r="AA647" i="5"/>
  <c r="AB647" i="5" s="1"/>
  <c r="T165" i="5"/>
  <c r="U165" i="5" s="1"/>
  <c r="T612" i="5"/>
  <c r="U612" i="5" s="1"/>
  <c r="AA684" i="5"/>
  <c r="AB684" i="5" s="1"/>
  <c r="AA150" i="5"/>
  <c r="AB150" i="5" s="1"/>
  <c r="T719" i="5"/>
  <c r="U719" i="5" s="1"/>
  <c r="T941" i="5"/>
  <c r="U941" i="5" s="1"/>
  <c r="T771" i="5"/>
  <c r="U771" i="5" s="1"/>
  <c r="T703" i="5"/>
  <c r="U703" i="5" s="1"/>
  <c r="T348" i="5"/>
  <c r="U348" i="5" s="1"/>
  <c r="T857" i="5"/>
  <c r="U857" i="5" s="1"/>
  <c r="T811" i="5"/>
  <c r="U811" i="5" s="1"/>
  <c r="T110" i="5"/>
  <c r="U110" i="5" s="1"/>
  <c r="T783" i="5"/>
  <c r="U783" i="5" s="1"/>
  <c r="T515" i="5"/>
  <c r="U515" i="5" s="1"/>
  <c r="Q894" i="5"/>
  <c r="Q903" i="5"/>
  <c r="T619" i="5"/>
  <c r="U619" i="5" s="1"/>
  <c r="AA843" i="5"/>
  <c r="AB843" i="5" s="1"/>
  <c r="T272" i="5"/>
  <c r="U272" i="5" s="1"/>
  <c r="T422" i="5"/>
  <c r="U422" i="5" s="1"/>
  <c r="T764" i="5"/>
  <c r="U764" i="5" s="1"/>
  <c r="T292" i="5"/>
  <c r="U292" i="5" s="1"/>
  <c r="AA970" i="5"/>
  <c r="AB970" i="5" s="1"/>
  <c r="T15" i="5"/>
  <c r="U15" i="5" s="1"/>
  <c r="T159" i="5"/>
  <c r="U159" i="5" s="1"/>
  <c r="AA272" i="5"/>
  <c r="AB272" i="5" s="1"/>
  <c r="Q33" i="5"/>
  <c r="T829" i="5"/>
  <c r="U829" i="5" s="1"/>
  <c r="R615" i="5"/>
  <c r="AA998" i="5"/>
  <c r="AB998" i="5" s="1"/>
  <c r="AA669" i="5"/>
  <c r="AB669" i="5" s="1"/>
  <c r="T71" i="5"/>
  <c r="U71" i="5" s="1"/>
  <c r="T609" i="5"/>
  <c r="U609" i="5" s="1"/>
  <c r="T115" i="5"/>
  <c r="U115" i="5" s="1"/>
  <c r="T252" i="5"/>
  <c r="U252" i="5" s="1"/>
  <c r="T554" i="5"/>
  <c r="U554" i="5" s="1"/>
  <c r="T843" i="5"/>
  <c r="U843" i="5" s="1"/>
  <c r="R555" i="5"/>
  <c r="S868" i="5"/>
  <c r="S249" i="5"/>
  <c r="R20" i="5"/>
  <c r="R204" i="5"/>
  <c r="R331" i="5"/>
  <c r="R233" i="5"/>
  <c r="R248" i="5"/>
  <c r="R174" i="5"/>
  <c r="AA759" i="5"/>
  <c r="AB759" i="5" s="1"/>
  <c r="R759" i="5"/>
  <c r="S715" i="5"/>
  <c r="S653" i="5"/>
  <c r="S739" i="5"/>
  <c r="S457" i="5"/>
  <c r="S108" i="5"/>
  <c r="S685" i="5"/>
  <c r="S489" i="5"/>
  <c r="Q199" i="5"/>
  <c r="T199" i="5" s="1"/>
  <c r="U199" i="5" s="1"/>
  <c r="S89" i="5"/>
  <c r="S137" i="5"/>
  <c r="S639" i="5"/>
  <c r="S774" i="5"/>
  <c r="S409" i="5"/>
  <c r="S873" i="5"/>
  <c r="S492" i="5"/>
  <c r="R197" i="5"/>
  <c r="R464" i="5"/>
  <c r="Q229" i="5"/>
  <c r="P229" i="5"/>
  <c r="Q65" i="5"/>
  <c r="P65" i="5"/>
  <c r="Q866" i="5"/>
  <c r="P866" i="5"/>
  <c r="Q711" i="5"/>
  <c r="P711" i="5"/>
  <c r="Q683" i="5"/>
  <c r="P683" i="5"/>
  <c r="Q728" i="5"/>
  <c r="P728" i="5"/>
  <c r="Q864" i="5"/>
  <c r="P864" i="5"/>
  <c r="Q127" i="5"/>
  <c r="Q562" i="5"/>
  <c r="P562" i="5"/>
  <c r="Q844" i="5"/>
  <c r="Q761" i="5"/>
  <c r="Q44" i="5"/>
  <c r="P44" i="5"/>
  <c r="Q56" i="5"/>
  <c r="AA56" i="5"/>
  <c r="AB56" i="5" s="1"/>
  <c r="S436" i="5"/>
  <c r="S919" i="5"/>
  <c r="S315" i="5"/>
  <c r="S59" i="5"/>
  <c r="T59" i="5" s="1"/>
  <c r="U59" i="5" s="1"/>
  <c r="S493" i="5"/>
  <c r="S326" i="5"/>
  <c r="S33" i="5"/>
  <c r="P197" i="5"/>
  <c r="Q197" i="5"/>
  <c r="Q464" i="5"/>
  <c r="P464" i="5"/>
  <c r="R229" i="5"/>
  <c r="R65" i="5"/>
  <c r="R866" i="5"/>
  <c r="R711" i="5"/>
  <c r="R683" i="5"/>
  <c r="R728" i="5"/>
  <c r="R864" i="5"/>
  <c r="R127" i="5"/>
  <c r="R562" i="5"/>
  <c r="R844" i="5"/>
  <c r="R761" i="5"/>
  <c r="AA761" i="5"/>
  <c r="AB761" i="5" s="1"/>
  <c r="R44" i="5"/>
  <c r="R767" i="5"/>
  <c r="R349" i="5"/>
  <c r="AA702" i="5"/>
  <c r="AB702" i="5" s="1"/>
  <c r="R702" i="5"/>
  <c r="R84" i="5"/>
  <c r="AA130" i="5"/>
  <c r="AB130" i="5" s="1"/>
  <c r="R130" i="5"/>
  <c r="T130" i="5" s="1"/>
  <c r="U130" i="5" s="1"/>
  <c r="R470" i="5"/>
  <c r="Q470" i="5"/>
  <c r="S536" i="5"/>
  <c r="Q261" i="5"/>
  <c r="AA261" i="5"/>
  <c r="AB261" i="5" s="1"/>
  <c r="S923" i="5"/>
  <c r="S437" i="5"/>
  <c r="S50" i="5"/>
  <c r="S560" i="5"/>
  <c r="S603" i="5"/>
  <c r="S700" i="5"/>
  <c r="S588" i="5"/>
  <c r="S170" i="5"/>
  <c r="Q232" i="5"/>
  <c r="Q146" i="5"/>
  <c r="R146" i="5"/>
  <c r="AA244" i="5"/>
  <c r="AB244" i="5" s="1"/>
  <c r="Q244" i="5"/>
  <c r="T244" i="5" s="1"/>
  <c r="U244" i="5" s="1"/>
  <c r="S567" i="5"/>
  <c r="S826" i="5"/>
  <c r="R476" i="5"/>
  <c r="Q610" i="5"/>
  <c r="R745" i="5"/>
  <c r="T745" i="5" s="1"/>
  <c r="U745" i="5" s="1"/>
  <c r="R643" i="5"/>
  <c r="Q946" i="5"/>
  <c r="P946" i="5"/>
  <c r="S720" i="5"/>
  <c r="S305" i="5"/>
  <c r="S413" i="5"/>
  <c r="S527" i="5"/>
  <c r="S142" i="5"/>
  <c r="S863" i="5"/>
  <c r="S247" i="5"/>
  <c r="T247" i="5" s="1"/>
  <c r="U247" i="5" s="1"/>
  <c r="S779" i="5"/>
  <c r="S456" i="5"/>
  <c r="S808" i="5"/>
  <c r="S462" i="5"/>
  <c r="S658" i="5"/>
  <c r="R232" i="5"/>
  <c r="R5" i="5"/>
  <c r="R990" i="5"/>
  <c r="R690" i="5"/>
  <c r="R592" i="5"/>
  <c r="R782" i="5"/>
  <c r="R546" i="5"/>
  <c r="R29" i="5"/>
  <c r="R644" i="5"/>
  <c r="R188" i="5"/>
  <c r="R184" i="5"/>
  <c r="T184" i="5" s="1"/>
  <c r="U184" i="5" s="1"/>
  <c r="R253" i="5"/>
  <c r="Q434" i="5"/>
  <c r="P434" i="5"/>
  <c r="S898" i="5"/>
  <c r="S114" i="5"/>
  <c r="S553" i="5"/>
  <c r="S465" i="5"/>
  <c r="S467" i="5"/>
  <c r="S594" i="5"/>
  <c r="S769" i="5"/>
  <c r="AA838" i="5"/>
  <c r="AB838" i="5" s="1"/>
  <c r="P838" i="5"/>
  <c r="Q838" i="5"/>
  <c r="Q441" i="5"/>
  <c r="P441" i="5"/>
  <c r="Q642" i="5"/>
  <c r="R291" i="5"/>
  <c r="Q956" i="5"/>
  <c r="P956" i="5"/>
  <c r="Q288" i="5"/>
  <c r="P288" i="5"/>
  <c r="Q945" i="5"/>
  <c r="Q731" i="5"/>
  <c r="P731" i="5"/>
  <c r="Q80" i="5"/>
  <c r="Q94" i="5"/>
  <c r="Q679" i="5"/>
  <c r="P679" i="5"/>
  <c r="Q656" i="5"/>
  <c r="P656" i="5"/>
  <c r="Q825" i="5"/>
  <c r="P825" i="5"/>
  <c r="Q540" i="5"/>
  <c r="P540" i="5"/>
  <c r="Q361" i="5"/>
  <c r="P361" i="5"/>
  <c r="Q660" i="5"/>
  <c r="P660" i="5"/>
  <c r="Q666" i="5"/>
  <c r="AA578" i="5"/>
  <c r="AB578" i="5" s="1"/>
  <c r="P473" i="5"/>
  <c r="T473" i="5" s="1"/>
  <c r="U473" i="5" s="1"/>
  <c r="Q473" i="5"/>
  <c r="S134" i="5"/>
  <c r="S122" i="5"/>
  <c r="S60" i="5"/>
  <c r="T60" i="5" s="1"/>
  <c r="U60" i="5" s="1"/>
  <c r="S914" i="5"/>
  <c r="S903" i="5"/>
  <c r="S317" i="5"/>
  <c r="S357" i="5"/>
  <c r="R838" i="5"/>
  <c r="R441" i="5"/>
  <c r="R642" i="5"/>
  <c r="Q291" i="5"/>
  <c r="P291" i="5"/>
  <c r="R956" i="5"/>
  <c r="R288" i="5"/>
  <c r="R945" i="5"/>
  <c r="T945" i="5" s="1"/>
  <c r="U945" i="5" s="1"/>
  <c r="R731" i="5"/>
  <c r="R80" i="5"/>
  <c r="R94" i="5"/>
  <c r="R679" i="5"/>
  <c r="R656" i="5"/>
  <c r="R825" i="5"/>
  <c r="R540" i="5"/>
  <c r="R361" i="5"/>
  <c r="R660" i="5"/>
  <c r="T660" i="5" s="1"/>
  <c r="U660" i="5" s="1"/>
  <c r="R666" i="5"/>
  <c r="Q827" i="5"/>
  <c r="R827" i="5"/>
  <c r="T827" i="5" s="1"/>
  <c r="U827" i="5" s="1"/>
  <c r="R627" i="5"/>
  <c r="Q533" i="5"/>
  <c r="S352" i="5"/>
  <c r="S320" i="5"/>
  <c r="S228" i="5"/>
  <c r="T998" i="5"/>
  <c r="U998" i="5" s="1"/>
  <c r="T995" i="5"/>
  <c r="U995" i="5" s="1"/>
  <c r="T220" i="5"/>
  <c r="U220" i="5" s="1"/>
  <c r="S365" i="5"/>
  <c r="S313" i="5"/>
  <c r="S117" i="5"/>
  <c r="S17" i="5"/>
  <c r="Q840" i="5"/>
  <c r="S385" i="5"/>
  <c r="R171" i="5"/>
  <c r="R537" i="5"/>
  <c r="R73" i="5"/>
  <c r="R164" i="5"/>
  <c r="S725" i="5"/>
  <c r="S987" i="5"/>
  <c r="P885" i="5"/>
  <c r="Q885" i="5"/>
  <c r="Q254" i="5"/>
  <c r="P254" i="5"/>
  <c r="R35" i="5"/>
  <c r="T35" i="5" s="1"/>
  <c r="U35" i="5" s="1"/>
  <c r="R483" i="5"/>
  <c r="R834" i="5"/>
  <c r="R840" i="5"/>
  <c r="R389" i="5"/>
  <c r="T389" i="5" s="1"/>
  <c r="U389" i="5" s="1"/>
  <c r="Q638" i="5"/>
  <c r="P638" i="5"/>
  <c r="T638" i="5" s="1"/>
  <c r="U638" i="5" s="1"/>
  <c r="AA989" i="5"/>
  <c r="AB989" i="5" s="1"/>
  <c r="AA127" i="5"/>
  <c r="AB127" i="5" s="1"/>
  <c r="T684" i="5"/>
  <c r="U684" i="5" s="1"/>
  <c r="T72" i="5"/>
  <c r="U72" i="5" s="1"/>
  <c r="T458" i="5"/>
  <c r="U458" i="5" s="1"/>
  <c r="T284" i="5"/>
  <c r="U284" i="5" s="1"/>
  <c r="T242" i="5"/>
  <c r="U242" i="5" s="1"/>
  <c r="T970" i="5"/>
  <c r="U970" i="5" s="1"/>
  <c r="T707" i="5"/>
  <c r="U707" i="5" s="1"/>
  <c r="T755" i="5"/>
  <c r="U755" i="5" s="1"/>
  <c r="Q772" i="5"/>
  <c r="T772" i="5" s="1"/>
  <c r="U772" i="5" s="1"/>
  <c r="T607" i="5"/>
  <c r="U607" i="5" s="1"/>
  <c r="P79" i="5"/>
  <c r="Q79" i="5"/>
  <c r="S949" i="5"/>
  <c r="S486" i="5"/>
  <c r="S886" i="5"/>
  <c r="S49" i="5"/>
  <c r="S823" i="5"/>
  <c r="S747" i="5"/>
  <c r="S270" i="5"/>
  <c r="S1001" i="5"/>
  <c r="R921" i="5"/>
  <c r="Q226" i="5"/>
  <c r="P226" i="5"/>
  <c r="R97" i="5"/>
  <c r="R85" i="5"/>
  <c r="R200" i="5"/>
  <c r="T322" i="5"/>
  <c r="U322" i="5" s="1"/>
  <c r="T889" i="5"/>
  <c r="U889" i="5" s="1"/>
  <c r="T887" i="5"/>
  <c r="U887" i="5" s="1"/>
  <c r="T570" i="5"/>
  <c r="U570" i="5" s="1"/>
  <c r="T754" i="5"/>
  <c r="U754" i="5" s="1"/>
  <c r="T39" i="5"/>
  <c r="U39" i="5" s="1"/>
  <c r="T459" i="5"/>
  <c r="U459" i="5" s="1"/>
  <c r="T799" i="5"/>
  <c r="U799" i="5" s="1"/>
  <c r="T959" i="5"/>
  <c r="U959" i="5" s="1"/>
  <c r="T83" i="5"/>
  <c r="U83" i="5" s="1"/>
  <c r="Q328" i="5"/>
  <c r="P328" i="5"/>
  <c r="Q868" i="5"/>
  <c r="P868" i="5"/>
  <c r="P362" i="5"/>
  <c r="Q362" i="5"/>
  <c r="Q351" i="5"/>
  <c r="P351" i="5"/>
  <c r="T351" i="5" s="1"/>
  <c r="U351" i="5" s="1"/>
  <c r="Q803" i="5"/>
  <c r="Q664" i="5"/>
  <c r="P664" i="5"/>
  <c r="Q230" i="5"/>
  <c r="Q275" i="5"/>
  <c r="P275" i="5"/>
  <c r="Q613" i="5"/>
  <c r="P613" i="5"/>
  <c r="T613" i="5" s="1"/>
  <c r="U613" i="5" s="1"/>
  <c r="Q790" i="5"/>
  <c r="P790" i="5"/>
  <c r="Q87" i="5"/>
  <c r="P87" i="5"/>
  <c r="Q22" i="5"/>
  <c r="Q116" i="5"/>
  <c r="Q396" i="5"/>
  <c r="Q831" i="5"/>
  <c r="P831" i="5"/>
  <c r="Q598" i="5"/>
  <c r="P598" i="5"/>
  <c r="Q784" i="5"/>
  <c r="P784" i="5"/>
  <c r="Q354" i="5"/>
  <c r="Q792" i="5"/>
  <c r="Q662" i="5"/>
  <c r="T662" i="5" s="1"/>
  <c r="U662" i="5" s="1"/>
  <c r="P662" i="5"/>
  <c r="Q908" i="5"/>
  <c r="P908" i="5"/>
  <c r="R367" i="5"/>
  <c r="Q367" i="5"/>
  <c r="P791" i="5"/>
  <c r="Q791" i="5"/>
  <c r="R394" i="5"/>
  <c r="T394" i="5" s="1"/>
  <c r="U394" i="5" s="1"/>
  <c r="R46" i="5"/>
  <c r="R917" i="5"/>
  <c r="Q807" i="5"/>
  <c r="P807" i="5"/>
  <c r="T807" i="5" s="1"/>
  <c r="U807" i="5" s="1"/>
  <c r="R177" i="5"/>
  <c r="R574" i="5"/>
  <c r="R186" i="5"/>
  <c r="R542" i="5"/>
  <c r="R222" i="5"/>
  <c r="R966" i="5"/>
  <c r="R503" i="5"/>
  <c r="R740" i="5"/>
  <c r="R18" i="5"/>
  <c r="R153" i="5"/>
  <c r="R267" i="5"/>
  <c r="R696" i="5"/>
  <c r="R854" i="5"/>
  <c r="R411" i="5"/>
  <c r="R928" i="5"/>
  <c r="R856" i="5"/>
  <c r="AA610" i="5"/>
  <c r="AB610" i="5" s="1"/>
  <c r="AA767" i="5"/>
  <c r="AB767" i="5" s="1"/>
  <c r="T666" i="5"/>
  <c r="U666" i="5" s="1"/>
  <c r="T265" i="5"/>
  <c r="U265" i="5" s="1"/>
  <c r="AA892" i="5"/>
  <c r="AB892" i="5" s="1"/>
  <c r="R667" i="5"/>
  <c r="Q1001" i="5"/>
  <c r="R223" i="5"/>
  <c r="R762" i="5"/>
  <c r="R709" i="5"/>
  <c r="Q661" i="5"/>
  <c r="P661" i="5"/>
  <c r="R125" i="5"/>
  <c r="R748" i="5"/>
  <c r="R420" i="5"/>
  <c r="T420" i="5" s="1"/>
  <c r="U420" i="5" s="1"/>
  <c r="R957" i="5"/>
  <c r="R905" i="5"/>
  <c r="R53" i="5"/>
  <c r="R488" i="5"/>
  <c r="R358" i="5"/>
  <c r="R896" i="5"/>
  <c r="R173" i="5"/>
  <c r="R404" i="5"/>
  <c r="R810" i="5"/>
  <c r="R450" i="5"/>
  <c r="AA450" i="5"/>
  <c r="AB450" i="5" s="1"/>
  <c r="R169" i="5"/>
  <c r="R107" i="5"/>
  <c r="Q913" i="5"/>
  <c r="Q185" i="5"/>
  <c r="Q722" i="5"/>
  <c r="P405" i="5"/>
  <c r="AA558" i="5"/>
  <c r="AB558" i="5" s="1"/>
  <c r="S942" i="5"/>
  <c r="S211" i="5"/>
  <c r="S997" i="5"/>
  <c r="S513" i="5"/>
  <c r="S26" i="5"/>
  <c r="S239" i="5"/>
  <c r="S981" i="5"/>
  <c r="Q209" i="5"/>
  <c r="S535" i="5"/>
  <c r="S930" i="5"/>
  <c r="S238" i="5"/>
  <c r="S652" i="5"/>
  <c r="S541" i="5"/>
  <c r="S909" i="5"/>
  <c r="S328" i="5"/>
  <c r="Q98" i="5"/>
  <c r="Q269" i="5"/>
  <c r="AA269" i="5"/>
  <c r="AB269" i="5" s="1"/>
  <c r="Q27" i="5"/>
  <c r="P27" i="5"/>
  <c r="Q646" i="5"/>
  <c r="T646" i="5" s="1"/>
  <c r="U646" i="5" s="1"/>
  <c r="P646" i="5"/>
  <c r="T193" i="5"/>
  <c r="U193" i="5" s="1"/>
  <c r="T881" i="5"/>
  <c r="U881" i="5" s="1"/>
  <c r="T183" i="5"/>
  <c r="U183" i="5" s="1"/>
  <c r="T604" i="5"/>
  <c r="U604" i="5" s="1"/>
  <c r="T95" i="5"/>
  <c r="U95" i="5" s="1"/>
  <c r="R600" i="5"/>
  <c r="R549" i="5"/>
  <c r="R985" i="5"/>
  <c r="R520" i="5"/>
  <c r="Q451" i="5"/>
  <c r="R451" i="5"/>
  <c r="R495" i="5"/>
  <c r="S30" i="5"/>
  <c r="R362" i="5"/>
  <c r="R351" i="5"/>
  <c r="R803" i="5"/>
  <c r="R664" i="5"/>
  <c r="R230" i="5"/>
  <c r="R275" i="5"/>
  <c r="R613" i="5"/>
  <c r="R790" i="5"/>
  <c r="R87" i="5"/>
  <c r="R22" i="5"/>
  <c r="R116" i="5"/>
  <c r="R396" i="5"/>
  <c r="R831" i="5"/>
  <c r="R598" i="5"/>
  <c r="R784" i="5"/>
  <c r="R354" i="5"/>
  <c r="R792" i="5"/>
  <c r="T792" i="5" s="1"/>
  <c r="U792" i="5" s="1"/>
  <c r="R662" i="5"/>
  <c r="R908" i="5"/>
  <c r="T447" i="5"/>
  <c r="U447" i="5" s="1"/>
  <c r="T901" i="5"/>
  <c r="U901" i="5" s="1"/>
  <c r="T63" i="5"/>
  <c r="U63" i="5" s="1"/>
  <c r="T333" i="5"/>
  <c r="U333" i="5" s="1"/>
  <c r="T372" i="5"/>
  <c r="U372" i="5" s="1"/>
  <c r="T781" i="5"/>
  <c r="U781" i="5" s="1"/>
  <c r="R791" i="5"/>
  <c r="P394" i="5"/>
  <c r="Q394" i="5"/>
  <c r="Q46" i="5"/>
  <c r="P46" i="5"/>
  <c r="AA46" i="5"/>
  <c r="AB46" i="5" s="1"/>
  <c r="AA917" i="5"/>
  <c r="AB917" i="5" s="1"/>
  <c r="Q917" i="5"/>
  <c r="R807" i="5"/>
  <c r="Q177" i="5"/>
  <c r="P177" i="5"/>
  <c r="T177" i="5" s="1"/>
  <c r="U177" i="5" s="1"/>
  <c r="AA177" i="5"/>
  <c r="AB177" i="5" s="1"/>
  <c r="P574" i="5"/>
  <c r="T574" i="5" s="1"/>
  <c r="U574" i="5" s="1"/>
  <c r="Q574" i="5"/>
  <c r="AA186" i="5"/>
  <c r="AB186" i="5" s="1"/>
  <c r="Q186" i="5"/>
  <c r="Q542" i="5"/>
  <c r="P542" i="5"/>
  <c r="Q222" i="5"/>
  <c r="P222" i="5"/>
  <c r="Q966" i="5"/>
  <c r="Q503" i="5"/>
  <c r="Q740" i="5"/>
  <c r="P740" i="5"/>
  <c r="Q18" i="5"/>
  <c r="P18" i="5"/>
  <c r="Q153" i="5"/>
  <c r="Q267" i="5"/>
  <c r="T267" i="5" s="1"/>
  <c r="U267" i="5" s="1"/>
  <c r="P267" i="5"/>
  <c r="Q696" i="5"/>
  <c r="P696" i="5"/>
  <c r="P854" i="5"/>
  <c r="Q854" i="5"/>
  <c r="Q411" i="5"/>
  <c r="P411" i="5"/>
  <c r="T411" i="5" s="1"/>
  <c r="U411" i="5" s="1"/>
  <c r="Q928" i="5"/>
  <c r="P928" i="5"/>
  <c r="T928" i="5" s="1"/>
  <c r="U928" i="5" s="1"/>
  <c r="AA856" i="5"/>
  <c r="AB856" i="5" s="1"/>
  <c r="Q856" i="5"/>
  <c r="AA204" i="5"/>
  <c r="AB204" i="5" s="1"/>
  <c r="AA690" i="5"/>
  <c r="AB690" i="5" s="1"/>
  <c r="AA483" i="5"/>
  <c r="AB483" i="5" s="1"/>
  <c r="AA782" i="5"/>
  <c r="AB782" i="5" s="1"/>
  <c r="Q702" i="5"/>
  <c r="Q337" i="5"/>
  <c r="R1001" i="5"/>
  <c r="Q223" i="5"/>
  <c r="T223" i="5" s="1"/>
  <c r="U223" i="5" s="1"/>
  <c r="Q762" i="5"/>
  <c r="Q709" i="5"/>
  <c r="P709" i="5"/>
  <c r="R661" i="5"/>
  <c r="Q125" i="5"/>
  <c r="Q748" i="5"/>
  <c r="T748" i="5" s="1"/>
  <c r="U748" i="5" s="1"/>
  <c r="AA748" i="5"/>
  <c r="AB748" i="5" s="1"/>
  <c r="Q420" i="5"/>
  <c r="P420" i="5"/>
  <c r="Q957" i="5"/>
  <c r="P957" i="5"/>
  <c r="AA957" i="5"/>
  <c r="AB957" i="5" s="1"/>
  <c r="Q905" i="5"/>
  <c r="Q53" i="5"/>
  <c r="T53" i="5" s="1"/>
  <c r="U53" i="5" s="1"/>
  <c r="Q488" i="5"/>
  <c r="Q358" i="5"/>
  <c r="P358" i="5"/>
  <c r="Q896" i="5"/>
  <c r="P896" i="5"/>
  <c r="Q173" i="5"/>
  <c r="P173" i="5"/>
  <c r="Q404" i="5"/>
  <c r="Q810" i="5"/>
  <c r="P810" i="5"/>
  <c r="Q450" i="5"/>
  <c r="P450" i="5"/>
  <c r="Q169" i="5"/>
  <c r="P169" i="5"/>
  <c r="Q107" i="5"/>
  <c r="R991" i="5"/>
  <c r="R913" i="5"/>
  <c r="P924" i="5"/>
  <c r="R327" i="5"/>
  <c r="T327" i="5" s="1"/>
  <c r="U327" i="5" s="1"/>
  <c r="P345" i="5"/>
  <c r="R185" i="5"/>
  <c r="Q955" i="5"/>
  <c r="Q405" i="5"/>
  <c r="P428" i="5"/>
  <c r="AA371" i="5"/>
  <c r="AB371" i="5" s="1"/>
  <c r="Q659" i="5"/>
  <c r="Q529" i="5"/>
  <c r="Q416" i="5"/>
  <c r="S363" i="5"/>
  <c r="S538" i="5"/>
  <c r="S407" i="5"/>
  <c r="S76" i="5"/>
  <c r="S765" i="5"/>
  <c r="S21" i="5"/>
  <c r="T21" i="5" s="1"/>
  <c r="U21" i="5" s="1"/>
  <c r="R448" i="5"/>
  <c r="R587" i="5"/>
  <c r="R581" i="5"/>
  <c r="T581" i="5" s="1"/>
  <c r="U581" i="5" s="1"/>
  <c r="AA581" i="5"/>
  <c r="AB581" i="5" s="1"/>
  <c r="R303" i="5"/>
  <c r="Q303" i="5"/>
  <c r="AA377" i="5"/>
  <c r="AB377" i="5" s="1"/>
  <c r="R377" i="5"/>
  <c r="Q281" i="5"/>
  <c r="T281" i="5" s="1"/>
  <c r="U281" i="5" s="1"/>
  <c r="P281" i="5"/>
  <c r="Q697" i="5"/>
  <c r="P697" i="5"/>
  <c r="Q978" i="5"/>
  <c r="Q776" i="5"/>
  <c r="P776" i="5"/>
  <c r="P789" i="5"/>
  <c r="Q508" i="5"/>
  <c r="P508" i="5"/>
  <c r="Q820" i="5"/>
  <c r="P446" i="5"/>
  <c r="T446" i="5" s="1"/>
  <c r="U446" i="5" s="1"/>
  <c r="Q425" i="5"/>
  <c r="R298" i="5"/>
  <c r="AA807" i="5"/>
  <c r="AB807" i="5" s="1"/>
  <c r="P5" i="5"/>
  <c r="P990" i="5"/>
  <c r="P233" i="5"/>
  <c r="P592" i="5"/>
  <c r="P248" i="5"/>
  <c r="P643" i="5"/>
  <c r="P174" i="5"/>
  <c r="P188" i="5"/>
  <c r="T188" i="5" s="1"/>
  <c r="U188" i="5" s="1"/>
  <c r="AA717" i="5"/>
  <c r="AB717" i="5" s="1"/>
  <c r="Q924" i="5"/>
  <c r="R345" i="5"/>
  <c r="P355" i="5"/>
  <c r="Q399" i="5"/>
  <c r="R955" i="5"/>
  <c r="Q428" i="5"/>
  <c r="AA9" i="5"/>
  <c r="AB9" i="5" s="1"/>
  <c r="P855" i="5"/>
  <c r="Q920" i="5"/>
  <c r="R894" i="5"/>
  <c r="Q54" i="5"/>
  <c r="AA668" i="5"/>
  <c r="AB668" i="5" s="1"/>
  <c r="Q821" i="5"/>
  <c r="T821" i="5" s="1"/>
  <c r="U821" i="5" s="1"/>
  <c r="AA879" i="5"/>
  <c r="AB879" i="5" s="1"/>
  <c r="AA440" i="5"/>
  <c r="AB440" i="5" s="1"/>
  <c r="AA29" i="5"/>
  <c r="AB29" i="5" s="1"/>
  <c r="S791" i="5"/>
  <c r="S181" i="5"/>
  <c r="S453" i="5"/>
  <c r="S484" i="5"/>
  <c r="S539" i="5"/>
  <c r="T539" i="5" s="1"/>
  <c r="U539" i="5" s="1"/>
  <c r="S332" i="5"/>
  <c r="S402" i="5"/>
  <c r="T212" i="5"/>
  <c r="U212" i="5" s="1"/>
  <c r="T800" i="5"/>
  <c r="U800" i="5" s="1"/>
  <c r="T376" i="5"/>
  <c r="U376" i="5" s="1"/>
  <c r="T713" i="5"/>
  <c r="U713" i="5" s="1"/>
  <c r="T729" i="5"/>
  <c r="U729" i="5" s="1"/>
  <c r="T634" i="5"/>
  <c r="U634" i="5" s="1"/>
  <c r="T912" i="5"/>
  <c r="U912" i="5" s="1"/>
  <c r="T364" i="5"/>
  <c r="U364" i="5" s="1"/>
  <c r="T90" i="5"/>
  <c r="U90" i="5" s="1"/>
  <c r="R179" i="5"/>
  <c r="T179" i="5" s="1"/>
  <c r="U179" i="5" s="1"/>
  <c r="R281" i="5"/>
  <c r="R697" i="5"/>
  <c r="R821" i="5"/>
  <c r="R978" i="5"/>
  <c r="R776" i="5"/>
  <c r="R789" i="5"/>
  <c r="R508" i="5"/>
  <c r="T508" i="5" s="1"/>
  <c r="U508" i="5" s="1"/>
  <c r="R820" i="5"/>
  <c r="R446" i="5"/>
  <c r="R425" i="5"/>
  <c r="Q178" i="5"/>
  <c r="R178" i="5"/>
  <c r="Q795" i="5"/>
  <c r="T795" i="5" s="1"/>
  <c r="U795" i="5" s="1"/>
  <c r="P795" i="5"/>
  <c r="Q655" i="5"/>
  <c r="P655" i="5"/>
  <c r="AA726" i="5"/>
  <c r="AB726" i="5" s="1"/>
  <c r="P726" i="5"/>
  <c r="Q266" i="5"/>
  <c r="Q224" i="5"/>
  <c r="P224" i="5"/>
  <c r="Q2" i="5"/>
  <c r="T2" i="5" s="1"/>
  <c r="U2" i="5" s="1"/>
  <c r="P2" i="5"/>
  <c r="Q477" i="5"/>
  <c r="P477" i="5"/>
  <c r="Q235" i="5"/>
  <c r="P235" i="5"/>
  <c r="Q51" i="5"/>
  <c r="P51" i="5"/>
  <c r="Q8" i="5"/>
  <c r="P8" i="5"/>
  <c r="Q943" i="5"/>
  <c r="P943" i="5"/>
  <c r="Q641" i="5"/>
  <c r="T641" i="5" s="1"/>
  <c r="U641" i="5" s="1"/>
  <c r="P641" i="5"/>
  <c r="Q875" i="5"/>
  <c r="P875" i="5"/>
  <c r="T875" i="5" s="1"/>
  <c r="U875" i="5" s="1"/>
  <c r="Q813" i="5"/>
  <c r="Q741" i="5"/>
  <c r="P741" i="5"/>
  <c r="Q286" i="5"/>
  <c r="P286" i="5"/>
  <c r="Q770" i="5"/>
  <c r="P770" i="5"/>
  <c r="Q944" i="5"/>
  <c r="T944" i="5" s="1"/>
  <c r="U944" i="5" s="1"/>
  <c r="Q675" i="5"/>
  <c r="T675" i="5" s="1"/>
  <c r="U675" i="5" s="1"/>
  <c r="P675" i="5"/>
  <c r="Q678" i="5"/>
  <c r="P678" i="5"/>
  <c r="T306" i="5"/>
  <c r="U306" i="5" s="1"/>
  <c r="T569" i="5"/>
  <c r="U569" i="5" s="1"/>
  <c r="T548" i="5"/>
  <c r="U548" i="5" s="1"/>
  <c r="T155" i="5"/>
  <c r="U155" i="5" s="1"/>
  <c r="T192" i="5"/>
  <c r="U192" i="5" s="1"/>
  <c r="T893" i="5"/>
  <c r="U893" i="5" s="1"/>
  <c r="T443" i="5"/>
  <c r="U443" i="5" s="1"/>
  <c r="T260" i="5"/>
  <c r="U260" i="5" s="1"/>
  <c r="T973" i="5"/>
  <c r="U973" i="5" s="1"/>
  <c r="T427" i="5"/>
  <c r="U427" i="5" s="1"/>
  <c r="T682" i="5"/>
  <c r="U682" i="5" s="1"/>
  <c r="Q299" i="5"/>
  <c r="P299" i="5"/>
  <c r="AA299" i="5"/>
  <c r="AB299" i="5" s="1"/>
  <c r="Q460" i="5"/>
  <c r="P460" i="5"/>
  <c r="R751" i="5"/>
  <c r="R802" i="5"/>
  <c r="R918" i="5"/>
  <c r="T918" i="5" s="1"/>
  <c r="U918" i="5" s="1"/>
  <c r="R671" i="5"/>
  <c r="R463" i="5"/>
  <c r="R135" i="5"/>
  <c r="R3" i="5"/>
  <c r="R861" i="5"/>
  <c r="R960" i="5"/>
  <c r="R867" i="5"/>
  <c r="R971" i="5"/>
  <c r="R947" i="5"/>
  <c r="R344" i="5"/>
  <c r="R112" i="5"/>
  <c r="R445" i="5"/>
  <c r="T445" i="5" s="1"/>
  <c r="U445" i="5" s="1"/>
  <c r="R977" i="5"/>
  <c r="R830" i="5"/>
  <c r="R911" i="5"/>
  <c r="T911" i="5" s="1"/>
  <c r="U911" i="5" s="1"/>
  <c r="R730" i="5"/>
  <c r="Q5" i="5"/>
  <c r="Q990" i="5"/>
  <c r="Q233" i="5"/>
  <c r="Q592" i="5"/>
  <c r="Q248" i="5"/>
  <c r="T248" i="5" s="1"/>
  <c r="U248" i="5" s="1"/>
  <c r="Q643" i="5"/>
  <c r="Q174" i="5"/>
  <c r="Q188" i="5"/>
  <c r="Q759" i="5"/>
  <c r="R478" i="5"/>
  <c r="R337" i="5"/>
  <c r="R218" i="5"/>
  <c r="Q715" i="5"/>
  <c r="P78" i="5"/>
  <c r="Q78" i="5"/>
  <c r="R295" i="5"/>
  <c r="R738" i="5"/>
  <c r="Q727" i="5"/>
  <c r="R346" i="5"/>
  <c r="R383" i="5"/>
  <c r="R475" i="5"/>
  <c r="R424" i="5"/>
  <c r="R822" i="5"/>
  <c r="R482" i="5"/>
  <c r="R111" i="5"/>
  <c r="R258" i="5"/>
  <c r="R645" i="5"/>
  <c r="R623" i="5"/>
  <c r="R279" i="5"/>
  <c r="R336" i="5"/>
  <c r="R999" i="5"/>
  <c r="R109" i="5"/>
  <c r="R129" i="5"/>
  <c r="R416" i="5"/>
  <c r="R924" i="5"/>
  <c r="AA98" i="5"/>
  <c r="AB98" i="5" s="1"/>
  <c r="AA418" i="5"/>
  <c r="AB418" i="5" s="1"/>
  <c r="R355" i="5"/>
  <c r="R399" i="5"/>
  <c r="P872" i="5"/>
  <c r="Q975" i="5"/>
  <c r="R428" i="5"/>
  <c r="Q241" i="5"/>
  <c r="T241" i="5" s="1"/>
  <c r="U241" i="5" s="1"/>
  <c r="Q855" i="5"/>
  <c r="Q40" i="5"/>
  <c r="Q282" i="5"/>
  <c r="Q954" i="5"/>
  <c r="R25" i="5"/>
  <c r="R438" i="5"/>
  <c r="T925" i="5"/>
  <c r="U925" i="5" s="1"/>
  <c r="T576" i="5"/>
  <c r="U576" i="5" s="1"/>
  <c r="T595" i="5"/>
  <c r="U595" i="5" s="1"/>
  <c r="T876" i="5"/>
  <c r="U876" i="5" s="1"/>
  <c r="T368" i="5"/>
  <c r="U368" i="5" s="1"/>
  <c r="T490" i="5"/>
  <c r="U490" i="5" s="1"/>
  <c r="T737" i="5"/>
  <c r="U737" i="5" s="1"/>
  <c r="T511" i="5"/>
  <c r="U511" i="5" s="1"/>
  <c r="T692" i="5"/>
  <c r="U692" i="5" s="1"/>
  <c r="T148" i="5"/>
  <c r="U148" i="5" s="1"/>
  <c r="T119" i="5"/>
  <c r="U119" i="5" s="1"/>
  <c r="T452" i="5"/>
  <c r="U452" i="5" s="1"/>
  <c r="S66" i="5"/>
  <c r="S343" i="5"/>
  <c r="S937" i="5"/>
  <c r="S698" i="5"/>
  <c r="S86" i="5"/>
  <c r="S297" i="5"/>
  <c r="S915" i="5"/>
  <c r="P894" i="5"/>
  <c r="Q91" i="5"/>
  <c r="T91" i="5" s="1"/>
  <c r="U91" i="5" s="1"/>
  <c r="P91" i="5"/>
  <c r="R608" i="5"/>
  <c r="Q608" i="5"/>
  <c r="T32" i="5"/>
  <c r="U32" i="5" s="1"/>
  <c r="T597" i="5"/>
  <c r="U597" i="5" s="1"/>
  <c r="R795" i="5"/>
  <c r="R655" i="5"/>
  <c r="R726" i="5"/>
  <c r="R266" i="5"/>
  <c r="R224" i="5"/>
  <c r="AA2" i="5"/>
  <c r="AB2" i="5" s="1"/>
  <c r="R2" i="5"/>
  <c r="R477" i="5"/>
  <c r="R235" i="5"/>
  <c r="R51" i="5"/>
  <c r="R8" i="5"/>
  <c r="R943" i="5"/>
  <c r="R641" i="5"/>
  <c r="R875" i="5"/>
  <c r="R813" i="5"/>
  <c r="T813" i="5" s="1"/>
  <c r="U813" i="5" s="1"/>
  <c r="R741" i="5"/>
  <c r="R286" i="5"/>
  <c r="R770" i="5"/>
  <c r="R944" i="5"/>
  <c r="R675" i="5"/>
  <c r="R678" i="5"/>
  <c r="R964" i="5"/>
  <c r="R299" i="5"/>
  <c r="R460" i="5"/>
  <c r="Q751" i="5"/>
  <c r="Q802" i="5"/>
  <c r="P802" i="5"/>
  <c r="Q918" i="5"/>
  <c r="Q671" i="5"/>
  <c r="Q463" i="5"/>
  <c r="P463" i="5"/>
  <c r="Q135" i="5"/>
  <c r="P135" i="5"/>
  <c r="Q3" i="5"/>
  <c r="P3" i="5"/>
  <c r="Q861" i="5"/>
  <c r="P861" i="5"/>
  <c r="AA960" i="5"/>
  <c r="AB960" i="5" s="1"/>
  <c r="Q960" i="5"/>
  <c r="Q867" i="5"/>
  <c r="Q971" i="5"/>
  <c r="P971" i="5"/>
  <c r="Q947" i="5"/>
  <c r="P947" i="5"/>
  <c r="Q344" i="5"/>
  <c r="P344" i="5"/>
  <c r="Q112" i="5"/>
  <c r="P112" i="5"/>
  <c r="Q445" i="5"/>
  <c r="Q977" i="5"/>
  <c r="P977" i="5"/>
  <c r="Q830" i="5"/>
  <c r="P830" i="5"/>
  <c r="Q911" i="5"/>
  <c r="P911" i="5"/>
  <c r="Q730" i="5"/>
  <c r="R885" i="5"/>
  <c r="R254" i="5"/>
  <c r="T866" i="5"/>
  <c r="U866" i="5" s="1"/>
  <c r="P767" i="5"/>
  <c r="P84" i="5"/>
  <c r="T478" i="5"/>
  <c r="U478" i="5" s="1"/>
  <c r="R715" i="5"/>
  <c r="R78" i="5"/>
  <c r="AA295" i="5"/>
  <c r="AB295" i="5" s="1"/>
  <c r="Q295" i="5"/>
  <c r="Q738" i="5"/>
  <c r="P738" i="5"/>
  <c r="R727" i="5"/>
  <c r="Q346" i="5"/>
  <c r="T346" i="5" s="1"/>
  <c r="U346" i="5" s="1"/>
  <c r="Q383" i="5"/>
  <c r="T383" i="5" s="1"/>
  <c r="U383" i="5" s="1"/>
  <c r="P383" i="5"/>
  <c r="P475" i="5"/>
  <c r="Q475" i="5"/>
  <c r="T475" i="5" s="1"/>
  <c r="U475" i="5" s="1"/>
  <c r="AA424" i="5"/>
  <c r="AB424" i="5" s="1"/>
  <c r="Q424" i="5"/>
  <c r="T424" i="5" s="1"/>
  <c r="U424" i="5" s="1"/>
  <c r="Q822" i="5"/>
  <c r="AA822" i="5"/>
  <c r="AB822" i="5" s="1"/>
  <c r="P482" i="5"/>
  <c r="Q482" i="5"/>
  <c r="Q111" i="5"/>
  <c r="P111" i="5"/>
  <c r="Q258" i="5"/>
  <c r="T258" i="5" s="1"/>
  <c r="U258" i="5" s="1"/>
  <c r="P258" i="5"/>
  <c r="P645" i="5"/>
  <c r="Q645" i="5"/>
  <c r="T645" i="5" s="1"/>
  <c r="U645" i="5" s="1"/>
  <c r="AA623" i="5"/>
  <c r="AB623" i="5" s="1"/>
  <c r="Q623" i="5"/>
  <c r="T623" i="5" s="1"/>
  <c r="U623" i="5" s="1"/>
  <c r="Q279" i="5"/>
  <c r="P279" i="5"/>
  <c r="AA279" i="5"/>
  <c r="AB279" i="5" s="1"/>
  <c r="P336" i="5"/>
  <c r="Q336" i="5"/>
  <c r="Q999" i="5"/>
  <c r="Q109" i="5"/>
  <c r="T109" i="5" s="1"/>
  <c r="U109" i="5" s="1"/>
  <c r="AA129" i="5"/>
  <c r="AB129" i="5" s="1"/>
  <c r="Q129" i="5"/>
  <c r="R657" i="5"/>
  <c r="Q958" i="5"/>
  <c r="Q426" i="5"/>
  <c r="T426" i="5" s="1"/>
  <c r="U426" i="5" s="1"/>
  <c r="AA327" i="5"/>
  <c r="AB327" i="5" s="1"/>
  <c r="Q872" i="5"/>
  <c r="R975" i="5"/>
  <c r="R855" i="5"/>
  <c r="R282" i="5"/>
  <c r="AA143" i="5"/>
  <c r="AB143" i="5" s="1"/>
  <c r="AA974" i="5"/>
  <c r="AB974" i="5" s="1"/>
  <c r="AA179" i="5"/>
  <c r="AB179" i="5" s="1"/>
  <c r="AA246" i="5"/>
  <c r="AB246" i="5" s="1"/>
  <c r="Q726" i="5"/>
  <c r="S350" i="5"/>
  <c r="S93" i="5"/>
  <c r="S705" i="5"/>
  <c r="S189" i="5"/>
  <c r="S596" i="5"/>
  <c r="S216" i="5"/>
  <c r="S393" i="5"/>
  <c r="R454" i="5"/>
  <c r="T454" i="5" s="1"/>
  <c r="U454" i="5" s="1"/>
  <c r="AA454" i="5"/>
  <c r="AB454" i="5" s="1"/>
  <c r="R91" i="5"/>
  <c r="T301" i="5"/>
  <c r="U301" i="5" s="1"/>
  <c r="T654" i="5"/>
  <c r="U654" i="5" s="1"/>
  <c r="T906" i="5"/>
  <c r="U906" i="5" s="1"/>
  <c r="T501" i="5"/>
  <c r="U501" i="5" s="1"/>
  <c r="T969" i="5"/>
  <c r="U969" i="5" s="1"/>
  <c r="T374" i="5"/>
  <c r="U374" i="5" s="1"/>
  <c r="T255" i="5"/>
  <c r="U255" i="5" s="1"/>
  <c r="T734" i="5"/>
  <c r="U734" i="5" s="1"/>
  <c r="T996" i="5"/>
  <c r="U996" i="5" s="1"/>
  <c r="T42" i="5"/>
  <c r="U42" i="5" s="1"/>
  <c r="P631" i="5"/>
  <c r="Q631" i="5"/>
  <c r="Q899" i="5"/>
  <c r="Q217" i="5"/>
  <c r="P217" i="5"/>
  <c r="Q814" i="5"/>
  <c r="P814" i="5"/>
  <c r="Q815" i="5"/>
  <c r="AA815" i="5"/>
  <c r="AB815" i="5" s="1"/>
  <c r="Q273" i="5"/>
  <c r="P273" i="5"/>
  <c r="Q491" i="5"/>
  <c r="Q438" i="5"/>
  <c r="P438" i="5"/>
  <c r="Q805" i="5"/>
  <c r="Q497" i="5"/>
  <c r="P497" i="5"/>
  <c r="Q828" i="5"/>
  <c r="P828" i="5"/>
  <c r="Q651" i="5"/>
  <c r="R381" i="5"/>
  <c r="Q381" i="5"/>
  <c r="T381" i="5" s="1"/>
  <c r="U381" i="5" s="1"/>
  <c r="AA113" i="5"/>
  <c r="AB113" i="5" s="1"/>
  <c r="R113" i="5"/>
  <c r="T113" i="5" s="1"/>
  <c r="U113" i="5" s="1"/>
  <c r="R131" i="5"/>
  <c r="Q131" i="5"/>
  <c r="AA775" i="5"/>
  <c r="AB775" i="5" s="1"/>
  <c r="R775" i="5"/>
  <c r="Q680" i="5"/>
  <c r="R680" i="5"/>
  <c r="R209" i="5"/>
  <c r="T140" i="5"/>
  <c r="U140" i="5" s="1"/>
  <c r="T744" i="5"/>
  <c r="U744" i="5" s="1"/>
  <c r="Q583" i="5"/>
  <c r="AA445" i="5"/>
  <c r="AB445" i="5" s="1"/>
  <c r="AA35" i="5"/>
  <c r="AB35" i="5" s="1"/>
  <c r="AA745" i="5"/>
  <c r="AB745" i="5" s="1"/>
  <c r="Q767" i="5"/>
  <c r="AA389" i="5"/>
  <c r="AB389" i="5" s="1"/>
  <c r="Q84" i="5"/>
  <c r="R712" i="5"/>
  <c r="R487" i="5"/>
  <c r="T487" i="5" s="1"/>
  <c r="U487" i="5" s="1"/>
  <c r="T667" i="5"/>
  <c r="U667" i="5" s="1"/>
  <c r="S657" i="5"/>
  <c r="R958" i="5"/>
  <c r="R872" i="5"/>
  <c r="P323" i="5"/>
  <c r="Q304" i="5"/>
  <c r="P48" i="5"/>
  <c r="AA972" i="5"/>
  <c r="AB972" i="5" s="1"/>
  <c r="R706" i="5"/>
  <c r="T632" i="5"/>
  <c r="U632" i="5" s="1"/>
  <c r="T144" i="5"/>
  <c r="U144" i="5" s="1"/>
  <c r="T778" i="5"/>
  <c r="U778" i="5" s="1"/>
  <c r="T435" i="5"/>
  <c r="U435" i="5" s="1"/>
  <c r="T24" i="5"/>
  <c r="U24" i="5" s="1"/>
  <c r="T773" i="5"/>
  <c r="U773" i="5" s="1"/>
  <c r="T650" i="5"/>
  <c r="U650" i="5" s="1"/>
  <c r="T862" i="5"/>
  <c r="U862" i="5" s="1"/>
  <c r="T746" i="5"/>
  <c r="U746" i="5" s="1"/>
  <c r="T622" i="5"/>
  <c r="U622" i="5" s="1"/>
  <c r="S742" i="5"/>
  <c r="S70" i="5"/>
  <c r="S749" i="5"/>
  <c r="S994" i="5"/>
  <c r="S158" i="5"/>
  <c r="S736" i="5"/>
  <c r="S940" i="5"/>
  <c r="AA359" i="5"/>
  <c r="AB359" i="5" s="1"/>
  <c r="AA955" i="5"/>
  <c r="AB955" i="5" s="1"/>
  <c r="AA214" i="5"/>
  <c r="AB214" i="5" s="1"/>
  <c r="AA672" i="5"/>
  <c r="AB672" i="5" s="1"/>
  <c r="AA128" i="5"/>
  <c r="AB128" i="5" s="1"/>
  <c r="R557" i="5"/>
  <c r="Q557" i="5"/>
  <c r="R217" i="5"/>
  <c r="R273" i="5"/>
  <c r="R805" i="5"/>
  <c r="R828" i="5"/>
  <c r="R651" i="5"/>
  <c r="T68" i="5"/>
  <c r="U68" i="5" s="1"/>
  <c r="T257" i="5"/>
  <c r="U257" i="5" s="1"/>
  <c r="T723" i="5"/>
  <c r="U723" i="5" s="1"/>
  <c r="T845" i="5"/>
  <c r="U845" i="5" s="1"/>
  <c r="T231" i="5"/>
  <c r="U231" i="5" s="1"/>
  <c r="T92" i="5"/>
  <c r="U92" i="5" s="1"/>
  <c r="T798" i="5"/>
  <c r="U798" i="5" s="1"/>
  <c r="P849" i="5"/>
  <c r="Q849" i="5"/>
  <c r="Q532" i="5"/>
  <c r="P532" i="5"/>
  <c r="Q276" i="5"/>
  <c r="P276" i="5"/>
  <c r="Q280" i="5"/>
  <c r="P280" i="5"/>
  <c r="Q902" i="5"/>
  <c r="P902" i="5"/>
  <c r="Q979" i="5"/>
  <c r="P979" i="5"/>
  <c r="Q674" i="5"/>
  <c r="P674" i="5"/>
  <c r="Q36" i="5"/>
  <c r="P36" i="5"/>
  <c r="Q190" i="5"/>
  <c r="Q180" i="5"/>
  <c r="Q243" i="5"/>
  <c r="P243" i="5"/>
  <c r="Q663" i="5"/>
  <c r="Q479" i="5"/>
  <c r="T479" i="5" s="1"/>
  <c r="U479" i="5" s="1"/>
  <c r="AA695" i="5"/>
  <c r="AB695" i="5" s="1"/>
  <c r="Q695" i="5"/>
  <c r="P695" i="5"/>
  <c r="Q11" i="5"/>
  <c r="P11" i="5"/>
  <c r="Q982" i="5"/>
  <c r="P982" i="5"/>
  <c r="AA635" i="5"/>
  <c r="AB635" i="5" s="1"/>
  <c r="Q635" i="5"/>
  <c r="P635" i="5"/>
  <c r="Q986" i="5"/>
  <c r="P986" i="5"/>
  <c r="Q962" i="5"/>
  <c r="P962" i="5"/>
  <c r="Q951" i="5"/>
  <c r="P583" i="5"/>
  <c r="R760" i="5"/>
  <c r="R691" i="5"/>
  <c r="R342" i="5"/>
  <c r="R471" i="5"/>
  <c r="R526" i="5"/>
  <c r="R812" i="5"/>
  <c r="R984" i="5"/>
  <c r="R584" i="5"/>
  <c r="R850" i="5"/>
  <c r="R442" i="5"/>
  <c r="R509" i="5"/>
  <c r="R869" i="5"/>
  <c r="R157" i="5"/>
  <c r="R387" i="5"/>
  <c r="R245" i="5"/>
  <c r="R55" i="5"/>
  <c r="R205" i="5"/>
  <c r="R563" i="5"/>
  <c r="R530" i="5"/>
  <c r="R571" i="5"/>
  <c r="R551" i="5"/>
  <c r="Q476" i="5"/>
  <c r="P204" i="5"/>
  <c r="P331" i="5"/>
  <c r="T331" i="5" s="1"/>
  <c r="U331" i="5" s="1"/>
  <c r="AA537" i="5"/>
  <c r="AB537" i="5" s="1"/>
  <c r="P834" i="5"/>
  <c r="P73" i="5"/>
  <c r="P164" i="5"/>
  <c r="Q605" i="5"/>
  <c r="R842" i="5"/>
  <c r="T842" i="5" s="1"/>
  <c r="U842" i="5" s="1"/>
  <c r="R213" i="5"/>
  <c r="R498" i="5"/>
  <c r="R271" i="5"/>
  <c r="R208" i="5"/>
  <c r="R339" i="5"/>
  <c r="R895" i="5"/>
  <c r="R16" i="5"/>
  <c r="R62" i="5"/>
  <c r="R395" i="5"/>
  <c r="R545" i="5"/>
  <c r="R938" i="5"/>
  <c r="R824" i="5"/>
  <c r="R118" i="5"/>
  <c r="R688" i="5"/>
  <c r="R168" i="5"/>
  <c r="R693" i="5"/>
  <c r="R577" i="5"/>
  <c r="R817" i="5"/>
  <c r="P369" i="5"/>
  <c r="P686" i="5"/>
  <c r="AA924" i="5"/>
  <c r="AB924" i="5" s="1"/>
  <c r="Q832" i="5"/>
  <c r="T832" i="5" s="1"/>
  <c r="U832" i="5" s="1"/>
  <c r="Q359" i="5"/>
  <c r="P950" i="5"/>
  <c r="Q323" i="5"/>
  <c r="Q214" i="5"/>
  <c r="P52" i="5"/>
  <c r="R304" i="5"/>
  <c r="Q454" i="5"/>
  <c r="AA920" i="5"/>
  <c r="AB920" i="5" s="1"/>
  <c r="Q48" i="5"/>
  <c r="R319" i="5"/>
  <c r="T319" i="5" s="1"/>
  <c r="U319" i="5" s="1"/>
  <c r="AA659" i="5"/>
  <c r="AB659" i="5" s="1"/>
  <c r="Q128" i="5"/>
  <c r="R899" i="5"/>
  <c r="Q964" i="5"/>
  <c r="P964" i="5"/>
  <c r="S865" i="5"/>
  <c r="S993" i="5"/>
  <c r="S833" i="5"/>
  <c r="T833" i="5" s="1"/>
  <c r="U833" i="5" s="1"/>
  <c r="S439" i="5"/>
  <c r="S732" i="5"/>
  <c r="S99" i="5"/>
  <c r="Q600" i="5"/>
  <c r="P600" i="5"/>
  <c r="AA600" i="5"/>
  <c r="AB600" i="5" s="1"/>
  <c r="S673" i="5"/>
  <c r="S681" i="5"/>
  <c r="S259" i="5"/>
  <c r="S302" i="5"/>
  <c r="S321" i="5"/>
  <c r="S846" i="5"/>
  <c r="S433" i="5"/>
  <c r="Q345" i="5"/>
  <c r="Q307" i="5"/>
  <c r="Q629" i="5"/>
  <c r="Q145" i="5"/>
  <c r="P145" i="5"/>
  <c r="AA187" i="5"/>
  <c r="AB187" i="5" s="1"/>
  <c r="T556" i="5"/>
  <c r="U556" i="5" s="1"/>
  <c r="T897" i="5"/>
  <c r="U897" i="5" s="1"/>
  <c r="T523" i="5"/>
  <c r="U523" i="5" s="1"/>
  <c r="T721" i="5"/>
  <c r="U721" i="5" s="1"/>
  <c r="T237" i="5"/>
  <c r="U237" i="5" s="1"/>
  <c r="T37" i="5"/>
  <c r="U37" i="5" s="1"/>
  <c r="T528" i="5"/>
  <c r="U528" i="5" s="1"/>
  <c r="T877" i="5"/>
  <c r="U877" i="5" s="1"/>
  <c r="T852" i="5"/>
  <c r="U852" i="5" s="1"/>
  <c r="T724" i="5"/>
  <c r="U724" i="5" s="1"/>
  <c r="T121" i="5"/>
  <c r="U121" i="5" s="1"/>
  <c r="T768" i="5"/>
  <c r="U768" i="5" s="1"/>
  <c r="AA899" i="5"/>
  <c r="AB899" i="5" s="1"/>
  <c r="AA858" i="5"/>
  <c r="AB858" i="5" s="1"/>
  <c r="R858" i="5"/>
  <c r="Q858" i="5"/>
  <c r="R338" i="5"/>
  <c r="Q338" i="5"/>
  <c r="AA67" i="5"/>
  <c r="AB67" i="5" s="1"/>
  <c r="R67" i="5"/>
  <c r="R330" i="5"/>
  <c r="T330" i="5" s="1"/>
  <c r="U330" i="5" s="1"/>
  <c r="R946" i="5"/>
  <c r="AA910" i="5"/>
  <c r="AB910" i="5" s="1"/>
  <c r="R910" i="5"/>
  <c r="R849" i="5"/>
  <c r="R276" i="5"/>
  <c r="R280" i="5"/>
  <c r="R902" i="5"/>
  <c r="R979" i="5"/>
  <c r="AA674" i="5"/>
  <c r="AB674" i="5" s="1"/>
  <c r="R674" i="5"/>
  <c r="R36" i="5"/>
  <c r="R190" i="5"/>
  <c r="T190" i="5" s="1"/>
  <c r="U190" i="5" s="1"/>
  <c r="R180" i="5"/>
  <c r="R243" i="5"/>
  <c r="R663" i="5"/>
  <c r="T663" i="5" s="1"/>
  <c r="U663" i="5" s="1"/>
  <c r="AA479" i="5"/>
  <c r="AB479" i="5" s="1"/>
  <c r="R479" i="5"/>
  <c r="R695" i="5"/>
  <c r="R11" i="5"/>
  <c r="R982" i="5"/>
  <c r="R635" i="5"/>
  <c r="R986" i="5"/>
  <c r="R962" i="5"/>
  <c r="R951" i="5"/>
  <c r="T951" i="5" s="1"/>
  <c r="U951" i="5" s="1"/>
  <c r="T716" i="5"/>
  <c r="U716" i="5" s="1"/>
  <c r="T763" i="5"/>
  <c r="U763" i="5" s="1"/>
  <c r="T743" i="5"/>
  <c r="U743" i="5" s="1"/>
  <c r="T677" i="5"/>
  <c r="U677" i="5" s="1"/>
  <c r="T965" i="5"/>
  <c r="U965" i="5" s="1"/>
  <c r="T787" i="5"/>
  <c r="U787" i="5" s="1"/>
  <c r="T202" i="5"/>
  <c r="U202" i="5" s="1"/>
  <c r="T262" i="5"/>
  <c r="U262" i="5" s="1"/>
  <c r="T61" i="5"/>
  <c r="U61" i="5" s="1"/>
  <c r="T586" i="5"/>
  <c r="U586" i="5" s="1"/>
  <c r="T353" i="5"/>
  <c r="U353" i="5" s="1"/>
  <c r="T934" i="5"/>
  <c r="U934" i="5" s="1"/>
  <c r="T278" i="5"/>
  <c r="U278" i="5" s="1"/>
  <c r="Q760" i="5"/>
  <c r="P760" i="5"/>
  <c r="T760" i="5" s="1"/>
  <c r="U760" i="5" s="1"/>
  <c r="AA691" i="5"/>
  <c r="AB691" i="5" s="1"/>
  <c r="Q691" i="5"/>
  <c r="Q342" i="5"/>
  <c r="P342" i="5"/>
  <c r="Q471" i="5"/>
  <c r="P471" i="5"/>
  <c r="Q526" i="5"/>
  <c r="T526" i="5" s="1"/>
  <c r="U526" i="5" s="1"/>
  <c r="Q812" i="5"/>
  <c r="P812" i="5"/>
  <c r="Q984" i="5"/>
  <c r="P984" i="5"/>
  <c r="Q584" i="5"/>
  <c r="T584" i="5" s="1"/>
  <c r="U584" i="5" s="1"/>
  <c r="Q850" i="5"/>
  <c r="P850" i="5"/>
  <c r="AA850" i="5"/>
  <c r="AB850" i="5" s="1"/>
  <c r="P442" i="5"/>
  <c r="Q442" i="5"/>
  <c r="Q509" i="5"/>
  <c r="Q869" i="5"/>
  <c r="P869" i="5"/>
  <c r="AA157" i="5"/>
  <c r="AB157" i="5" s="1"/>
  <c r="Q157" i="5"/>
  <c r="Q387" i="5"/>
  <c r="P387" i="5"/>
  <c r="T387" i="5" s="1"/>
  <c r="U387" i="5" s="1"/>
  <c r="Q245" i="5"/>
  <c r="Q55" i="5"/>
  <c r="T55" i="5" s="1"/>
  <c r="U55" i="5" s="1"/>
  <c r="Q205" i="5"/>
  <c r="P205" i="5"/>
  <c r="Q563" i="5"/>
  <c r="P563" i="5"/>
  <c r="Q530" i="5"/>
  <c r="T530" i="5" s="1"/>
  <c r="U530" i="5" s="1"/>
  <c r="Q571" i="5"/>
  <c r="T571" i="5" s="1"/>
  <c r="U571" i="5" s="1"/>
  <c r="P571" i="5"/>
  <c r="Q551" i="5"/>
  <c r="P551" i="5"/>
  <c r="AA551" i="5"/>
  <c r="AB551" i="5" s="1"/>
  <c r="P476" i="5"/>
  <c r="Q204" i="5"/>
  <c r="Q331" i="5"/>
  <c r="AA233" i="5"/>
  <c r="AB233" i="5" s="1"/>
  <c r="AA592" i="5"/>
  <c r="AB592" i="5" s="1"/>
  <c r="Q834" i="5"/>
  <c r="Q73" i="5"/>
  <c r="Q164" i="5"/>
  <c r="R605" i="5"/>
  <c r="Q842" i="5"/>
  <c r="AA842" i="5"/>
  <c r="AB842" i="5" s="1"/>
  <c r="AA213" i="5"/>
  <c r="AB213" i="5" s="1"/>
  <c r="Q213" i="5"/>
  <c r="Q498" i="5"/>
  <c r="P498" i="5"/>
  <c r="Q271" i="5"/>
  <c r="P271" i="5"/>
  <c r="Q208" i="5"/>
  <c r="P208" i="5"/>
  <c r="Q339" i="5"/>
  <c r="AA339" i="5"/>
  <c r="AB339" i="5" s="1"/>
  <c r="Q895" i="5"/>
  <c r="AA895" i="5"/>
  <c r="AB895" i="5" s="1"/>
  <c r="AA16" i="5"/>
  <c r="AB16" i="5" s="1"/>
  <c r="Q16" i="5"/>
  <c r="Q62" i="5"/>
  <c r="P62" i="5"/>
  <c r="T62" i="5" s="1"/>
  <c r="U62" i="5" s="1"/>
  <c r="Q395" i="5"/>
  <c r="P395" i="5"/>
  <c r="Q545" i="5"/>
  <c r="P545" i="5"/>
  <c r="Q938" i="5"/>
  <c r="Q824" i="5"/>
  <c r="P824" i="5"/>
  <c r="Q118" i="5"/>
  <c r="P118" i="5"/>
  <c r="Q688" i="5"/>
  <c r="Q168" i="5"/>
  <c r="P168" i="5"/>
  <c r="AA693" i="5"/>
  <c r="AB693" i="5" s="1"/>
  <c r="Q693" i="5"/>
  <c r="P693" i="5"/>
  <c r="Q577" i="5"/>
  <c r="P577" i="5"/>
  <c r="Q817" i="5"/>
  <c r="P817" i="5"/>
  <c r="AA817" i="5"/>
  <c r="AB817" i="5" s="1"/>
  <c r="Q369" i="5"/>
  <c r="T958" i="5"/>
  <c r="U958" i="5" s="1"/>
  <c r="R359" i="5"/>
  <c r="Q950" i="5"/>
  <c r="AA355" i="5"/>
  <c r="AB355" i="5" s="1"/>
  <c r="R214" i="5"/>
  <c r="AA241" i="5"/>
  <c r="AB241" i="5" s="1"/>
  <c r="Q52" i="5"/>
  <c r="AA40" i="5"/>
  <c r="AB40" i="5" s="1"/>
  <c r="Q366" i="5"/>
  <c r="AA54" i="5"/>
  <c r="AB54" i="5" s="1"/>
  <c r="T448" i="5"/>
  <c r="U448" i="5" s="1"/>
  <c r="R128" i="5"/>
  <c r="Q558" i="5"/>
  <c r="T558" i="5" s="1"/>
  <c r="U558" i="5" s="1"/>
  <c r="R647" i="5"/>
  <c r="R665" i="5"/>
  <c r="Q446" i="5"/>
  <c r="Q549" i="5"/>
  <c r="P549" i="5"/>
  <c r="S836" i="5"/>
  <c r="S506" i="5"/>
  <c r="S386" i="5"/>
  <c r="S264" i="5"/>
  <c r="S100" i="5"/>
  <c r="S568" i="5"/>
  <c r="S704" i="5"/>
  <c r="R935" i="5"/>
  <c r="R145" i="5"/>
  <c r="AA145" i="5"/>
  <c r="AB145" i="5" s="1"/>
  <c r="R529" i="5"/>
  <c r="AA816" i="5"/>
  <c r="AB816" i="5" s="1"/>
  <c r="R816" i="5"/>
  <c r="AA19" i="5"/>
  <c r="AB19" i="5" s="1"/>
  <c r="R19" i="5"/>
  <c r="R69" i="5"/>
  <c r="Q69" i="5"/>
  <c r="P871" i="5"/>
  <c r="Q871" i="5"/>
  <c r="Q735" i="5"/>
  <c r="P735" i="5"/>
  <c r="P176" i="5"/>
  <c r="Q215" i="5"/>
  <c r="Q714" i="5"/>
  <c r="P714" i="5"/>
  <c r="P589" i="5"/>
  <c r="Q12" i="5"/>
  <c r="P12" i="5"/>
  <c r="P370" i="5"/>
  <c r="AA330" i="5"/>
  <c r="AB330" i="5" s="1"/>
  <c r="AA946" i="5"/>
  <c r="AB946" i="5" s="1"/>
  <c r="AA190" i="5"/>
  <c r="AB190" i="5" s="1"/>
  <c r="AA951" i="5"/>
  <c r="AB951" i="5" s="1"/>
  <c r="T94" i="5"/>
  <c r="U94" i="5" s="1"/>
  <c r="P349" i="5"/>
  <c r="R369" i="5"/>
  <c r="AA657" i="5"/>
  <c r="AB657" i="5" s="1"/>
  <c r="P418" i="5"/>
  <c r="P324" i="5"/>
  <c r="T927" i="5"/>
  <c r="U927" i="5" s="1"/>
  <c r="R77" i="5"/>
  <c r="AA872" i="5"/>
  <c r="AB872" i="5" s="1"/>
  <c r="P307" i="5"/>
  <c r="T307" i="5" s="1"/>
  <c r="U307" i="5" s="1"/>
  <c r="AA448" i="5"/>
  <c r="AB448" i="5" s="1"/>
  <c r="Q410" i="5"/>
  <c r="AA303" i="5"/>
  <c r="AB303" i="5" s="1"/>
  <c r="R884" i="5"/>
  <c r="Q160" i="5"/>
  <c r="S429" i="5"/>
  <c r="Q742" i="5"/>
  <c r="P742" i="5"/>
  <c r="R582" i="5"/>
  <c r="Q363" i="5"/>
  <c r="P363" i="5"/>
  <c r="Q70" i="5"/>
  <c r="P70" i="5"/>
  <c r="T70" i="5" s="1"/>
  <c r="U70" i="5" s="1"/>
  <c r="R390" i="5"/>
  <c r="R538" i="5"/>
  <c r="R749" i="5"/>
  <c r="R400" i="5"/>
  <c r="R407" i="5"/>
  <c r="R994" i="5"/>
  <c r="R992" i="5"/>
  <c r="R76" i="5"/>
  <c r="R158" i="5"/>
  <c r="R468" i="5"/>
  <c r="R765" i="5"/>
  <c r="R736" i="5"/>
  <c r="R210" i="5"/>
  <c r="R21" i="5"/>
  <c r="R940" i="5"/>
  <c r="R270" i="5"/>
  <c r="Q985" i="5"/>
  <c r="AA985" i="5"/>
  <c r="AB985" i="5" s="1"/>
  <c r="S706" i="5"/>
  <c r="S124" i="5"/>
  <c r="S373" i="5"/>
  <c r="S555" i="5"/>
  <c r="S133" i="5"/>
  <c r="S312" i="5"/>
  <c r="S79" i="5"/>
  <c r="AA958" i="5"/>
  <c r="AB958" i="5" s="1"/>
  <c r="AA185" i="5"/>
  <c r="AB185" i="5" s="1"/>
  <c r="AA722" i="5"/>
  <c r="AB722" i="5" s="1"/>
  <c r="T758" i="5"/>
  <c r="U758" i="5" s="1"/>
  <c r="T801" i="5"/>
  <c r="U801" i="5" s="1"/>
  <c r="T890" i="5"/>
  <c r="U890" i="5" s="1"/>
  <c r="T756" i="5"/>
  <c r="U756" i="5" s="1"/>
  <c r="T88" i="5"/>
  <c r="U88" i="5" s="1"/>
  <c r="T757" i="5"/>
  <c r="U757" i="5" s="1"/>
  <c r="T916" i="5"/>
  <c r="U916" i="5" s="1"/>
  <c r="T614" i="5"/>
  <c r="U614" i="5" s="1"/>
  <c r="R871" i="5"/>
  <c r="R953" i="5"/>
  <c r="T953" i="5" s="1"/>
  <c r="U953" i="5" s="1"/>
  <c r="AA160" i="5"/>
  <c r="AB160" i="5" s="1"/>
  <c r="R160" i="5"/>
  <c r="R735" i="5"/>
  <c r="R926" i="5"/>
  <c r="R176" i="5"/>
  <c r="R215" i="5"/>
  <c r="R714" i="5"/>
  <c r="R589" i="5"/>
  <c r="R12" i="5"/>
  <c r="R175" i="5"/>
  <c r="R370" i="5"/>
  <c r="T370" i="5" s="1"/>
  <c r="U370" i="5" s="1"/>
  <c r="R624" i="5"/>
  <c r="R34" i="5"/>
  <c r="R785" i="5"/>
  <c r="R837" i="5"/>
  <c r="AA640" i="5"/>
  <c r="AB640" i="5" s="1"/>
  <c r="R640" i="5"/>
  <c r="Q543" i="5"/>
  <c r="Q347" i="5"/>
  <c r="P347" i="5"/>
  <c r="Q415" i="5"/>
  <c r="Q733" i="5"/>
  <c r="P733" i="5"/>
  <c r="Q309" i="5"/>
  <c r="Q203" i="5"/>
  <c r="Q38" i="5"/>
  <c r="Q504" i="5"/>
  <c r="Q788" i="5"/>
  <c r="P788" i="5"/>
  <c r="Q4" i="5"/>
  <c r="P4" i="5"/>
  <c r="Q933" i="5"/>
  <c r="Q718" i="5"/>
  <c r="P718" i="5"/>
  <c r="Q630" i="5"/>
  <c r="P630" i="5"/>
  <c r="Q819" i="5"/>
  <c r="P819" i="5"/>
  <c r="Q777" i="5"/>
  <c r="P777" i="5"/>
  <c r="T777" i="5" s="1"/>
  <c r="U777" i="5" s="1"/>
  <c r="Q694" i="5"/>
  <c r="P694" i="5"/>
  <c r="Q293" i="5"/>
  <c r="P293" i="5"/>
  <c r="Q552" i="5"/>
  <c r="P552" i="5"/>
  <c r="Q611" i="5"/>
  <c r="P611" i="5"/>
  <c r="Q859" i="5"/>
  <c r="T103" i="5"/>
  <c r="U103" i="5" s="1"/>
  <c r="T796" i="5"/>
  <c r="U796" i="5" s="1"/>
  <c r="T6" i="5"/>
  <c r="U6" i="5" s="1"/>
  <c r="T31" i="5"/>
  <c r="U31" i="5" s="1"/>
  <c r="T474" i="5"/>
  <c r="U474" i="5" s="1"/>
  <c r="T780" i="5"/>
  <c r="U780" i="5" s="1"/>
  <c r="T147" i="5"/>
  <c r="U147" i="5" s="1"/>
  <c r="T524" i="5"/>
  <c r="U524" i="5" s="1"/>
  <c r="T750" i="5"/>
  <c r="U750" i="5" s="1"/>
  <c r="T206" i="5"/>
  <c r="U206" i="5" s="1"/>
  <c r="T976" i="5"/>
  <c r="U976" i="5" s="1"/>
  <c r="Q290" i="5"/>
  <c r="R516" i="5"/>
  <c r="R75" i="5"/>
  <c r="AA102" i="5"/>
  <c r="AB102" i="5" s="1"/>
  <c r="R102" i="5"/>
  <c r="R141" i="5"/>
  <c r="R7" i="5"/>
  <c r="R636" i="5"/>
  <c r="R936" i="5"/>
  <c r="R28" i="5"/>
  <c r="R502" i="5"/>
  <c r="R388" i="5"/>
  <c r="R263" i="5"/>
  <c r="R794" i="5"/>
  <c r="R45" i="5"/>
  <c r="R929" i="5"/>
  <c r="R172" i="5"/>
  <c r="R616" i="5"/>
  <c r="T616" i="5" s="1"/>
  <c r="U616" i="5" s="1"/>
  <c r="R308" i="5"/>
  <c r="R43" i="5"/>
  <c r="R105" i="5"/>
  <c r="R593" i="5"/>
  <c r="R480" i="5"/>
  <c r="R163" i="5"/>
  <c r="R579" i="5"/>
  <c r="R620" i="5"/>
  <c r="R166" i="5"/>
  <c r="R952" i="5"/>
  <c r="R334" i="5"/>
  <c r="R534" i="5"/>
  <c r="R939" i="5"/>
  <c r="R499" i="5"/>
  <c r="R575" i="5"/>
  <c r="R599" i="5"/>
  <c r="R156" i="5"/>
  <c r="R431" i="5"/>
  <c r="R617" i="5"/>
  <c r="R414" i="5"/>
  <c r="R983" i="5"/>
  <c r="R375" i="5"/>
  <c r="R559" i="5"/>
  <c r="R874" i="5"/>
  <c r="T874" i="5" s="1"/>
  <c r="U874" i="5" s="1"/>
  <c r="AA874" i="5"/>
  <c r="AB874" i="5" s="1"/>
  <c r="AA426" i="5"/>
  <c r="AB426" i="5" s="1"/>
  <c r="Q418" i="5"/>
  <c r="Q421" i="5"/>
  <c r="T421" i="5" s="1"/>
  <c r="U421" i="5" s="1"/>
  <c r="Q324" i="5"/>
  <c r="AA927" i="5"/>
  <c r="AB927" i="5" s="1"/>
  <c r="R307" i="5"/>
  <c r="R410" i="5"/>
  <c r="R436" i="5"/>
  <c r="R720" i="5"/>
  <c r="R865" i="5"/>
  <c r="R919" i="5"/>
  <c r="R305" i="5"/>
  <c r="R993" i="5"/>
  <c r="R315" i="5"/>
  <c r="R413" i="5"/>
  <c r="R833" i="5"/>
  <c r="R59" i="5"/>
  <c r="R527" i="5"/>
  <c r="R439" i="5"/>
  <c r="T439" i="5" s="1"/>
  <c r="U439" i="5" s="1"/>
  <c r="R493" i="5"/>
  <c r="R142" i="5"/>
  <c r="R732" i="5"/>
  <c r="AA326" i="5"/>
  <c r="AB326" i="5" s="1"/>
  <c r="R326" i="5"/>
  <c r="R863" i="5"/>
  <c r="R99" i="5"/>
  <c r="R33" i="5"/>
  <c r="AA247" i="5"/>
  <c r="AB247" i="5" s="1"/>
  <c r="R247" i="5"/>
  <c r="AA697" i="5"/>
  <c r="AB697" i="5" s="1"/>
  <c r="Q789" i="5"/>
  <c r="T789" i="5" s="1"/>
  <c r="U789" i="5" s="1"/>
  <c r="T670" i="5"/>
  <c r="U670" i="5" s="1"/>
  <c r="T132" i="5"/>
  <c r="U132" i="5" s="1"/>
  <c r="T221" i="5"/>
  <c r="U221" i="5" s="1"/>
  <c r="T268" i="5"/>
  <c r="U268" i="5" s="1"/>
  <c r="T285" i="5"/>
  <c r="U285" i="5" s="1"/>
  <c r="T325" i="5"/>
  <c r="U325" i="5" s="1"/>
  <c r="T699" i="5"/>
  <c r="U699" i="5" s="1"/>
  <c r="T56" i="5"/>
  <c r="U56" i="5" s="1"/>
  <c r="T261" i="5"/>
  <c r="U261" i="5" s="1"/>
  <c r="T274" i="5"/>
  <c r="U274" i="5" s="1"/>
  <c r="T10" i="5"/>
  <c r="U10" i="5" s="1"/>
  <c r="Q520" i="5"/>
  <c r="T520" i="5" s="1"/>
  <c r="U520" i="5" s="1"/>
  <c r="S582" i="5"/>
  <c r="S390" i="5"/>
  <c r="S400" i="5"/>
  <c r="S992" i="5"/>
  <c r="S468" i="5"/>
  <c r="S210" i="5"/>
  <c r="S120" i="5"/>
  <c r="P282" i="5"/>
  <c r="T282" i="5" s="1"/>
  <c r="U282" i="5" s="1"/>
  <c r="AA282" i="5"/>
  <c r="AB282" i="5" s="1"/>
  <c r="P522" i="5"/>
  <c r="Q565" i="5"/>
  <c r="P565" i="5"/>
  <c r="R356" i="5"/>
  <c r="AA687" i="5"/>
  <c r="AB687" i="5" s="1"/>
  <c r="R687" i="5"/>
  <c r="Q298" i="5"/>
  <c r="P298" i="5"/>
  <c r="AA953" i="5"/>
  <c r="AB953" i="5" s="1"/>
  <c r="AA735" i="5"/>
  <c r="AB735" i="5" s="1"/>
  <c r="AA175" i="5"/>
  <c r="AB175" i="5" s="1"/>
  <c r="AA785" i="5"/>
  <c r="AB785" i="5" s="1"/>
  <c r="T628" i="5"/>
  <c r="U628" i="5" s="1"/>
  <c r="T161" i="5"/>
  <c r="U161" i="5" s="1"/>
  <c r="T138" i="5"/>
  <c r="U138" i="5" s="1"/>
  <c r="T314" i="5"/>
  <c r="U314" i="5" s="1"/>
  <c r="T948" i="5"/>
  <c r="U948" i="5" s="1"/>
  <c r="T256" i="5"/>
  <c r="U256" i="5" s="1"/>
  <c r="T74" i="5"/>
  <c r="U74" i="5" s="1"/>
  <c r="T1000" i="5"/>
  <c r="U1000" i="5" s="1"/>
  <c r="T432" i="5"/>
  <c r="U432" i="5" s="1"/>
  <c r="T689" i="5"/>
  <c r="U689" i="5" s="1"/>
  <c r="T195" i="5"/>
  <c r="U195" i="5" s="1"/>
  <c r="T625" i="5"/>
  <c r="U625" i="5" s="1"/>
  <c r="T618" i="5"/>
  <c r="U618" i="5" s="1"/>
  <c r="T572" i="5"/>
  <c r="U572" i="5" s="1"/>
  <c r="R543" i="5"/>
  <c r="T543" i="5" s="1"/>
  <c r="U543" i="5" s="1"/>
  <c r="R347" i="5"/>
  <c r="R415" i="5"/>
  <c r="R733" i="5"/>
  <c r="R309" i="5"/>
  <c r="R203" i="5"/>
  <c r="R38" i="5"/>
  <c r="R504" i="5"/>
  <c r="R788" i="5"/>
  <c r="R4" i="5"/>
  <c r="R933" i="5"/>
  <c r="R718" i="5"/>
  <c r="R630" i="5"/>
  <c r="R819" i="5"/>
  <c r="R777" i="5"/>
  <c r="R694" i="5"/>
  <c r="R293" i="5"/>
  <c r="R552" i="5"/>
  <c r="R611" i="5"/>
  <c r="R859" i="5"/>
  <c r="T859" i="5" s="1"/>
  <c r="U859" i="5" s="1"/>
  <c r="AA516" i="5"/>
  <c r="AB516" i="5" s="1"/>
  <c r="P516" i="5"/>
  <c r="Q516" i="5"/>
  <c r="Q75" i="5"/>
  <c r="P75" i="5"/>
  <c r="Q102" i="5"/>
  <c r="P102" i="5"/>
  <c r="Q141" i="5"/>
  <c r="P141" i="5"/>
  <c r="Q7" i="5"/>
  <c r="P7" i="5"/>
  <c r="AA636" i="5"/>
  <c r="AB636" i="5" s="1"/>
  <c r="Q636" i="5"/>
  <c r="T636" i="5" s="1"/>
  <c r="U636" i="5" s="1"/>
  <c r="Q936" i="5"/>
  <c r="P936" i="5"/>
  <c r="Q28" i="5"/>
  <c r="AA28" i="5"/>
  <c r="AB28" i="5" s="1"/>
  <c r="Q502" i="5"/>
  <c r="P502" i="5"/>
  <c r="Q388" i="5"/>
  <c r="P388" i="5"/>
  <c r="Q263" i="5"/>
  <c r="Q794" i="5"/>
  <c r="P794" i="5"/>
  <c r="Q45" i="5"/>
  <c r="P45" i="5"/>
  <c r="Q929" i="5"/>
  <c r="P929" i="5"/>
  <c r="AA172" i="5"/>
  <c r="AB172" i="5" s="1"/>
  <c r="Q172" i="5"/>
  <c r="Q616" i="5"/>
  <c r="P616" i="5"/>
  <c r="Q308" i="5"/>
  <c r="P308" i="5"/>
  <c r="Q43" i="5"/>
  <c r="P43" i="5"/>
  <c r="Q105" i="5"/>
  <c r="Q593" i="5"/>
  <c r="P593" i="5"/>
  <c r="P20" i="5"/>
  <c r="P232" i="5"/>
  <c r="T232" i="5" s="1"/>
  <c r="U232" i="5" s="1"/>
  <c r="P146" i="5"/>
  <c r="T146" i="5" s="1"/>
  <c r="U146" i="5" s="1"/>
  <c r="T690" i="5"/>
  <c r="U690" i="5" s="1"/>
  <c r="T483" i="5"/>
  <c r="U483" i="5" s="1"/>
  <c r="P546" i="5"/>
  <c r="P840" i="5"/>
  <c r="T29" i="5"/>
  <c r="U29" i="5" s="1"/>
  <c r="P644" i="5"/>
  <c r="T644" i="5" s="1"/>
  <c r="U644" i="5" s="1"/>
  <c r="T892" i="5"/>
  <c r="U892" i="5" s="1"/>
  <c r="Q710" i="5"/>
  <c r="P710" i="5"/>
  <c r="P480" i="5"/>
  <c r="Q480" i="5"/>
  <c r="Q163" i="5"/>
  <c r="T163" i="5" s="1"/>
  <c r="U163" i="5" s="1"/>
  <c r="AA163" i="5"/>
  <c r="AB163" i="5" s="1"/>
  <c r="P579" i="5"/>
  <c r="Q579" i="5"/>
  <c r="T579" i="5" s="1"/>
  <c r="U579" i="5" s="1"/>
  <c r="Q620" i="5"/>
  <c r="T620" i="5" s="1"/>
  <c r="U620" i="5" s="1"/>
  <c r="Q166" i="5"/>
  <c r="P166" i="5"/>
  <c r="P952" i="5"/>
  <c r="Q952" i="5"/>
  <c r="AA334" i="5"/>
  <c r="AB334" i="5" s="1"/>
  <c r="Q334" i="5"/>
  <c r="Q534" i="5"/>
  <c r="P939" i="5"/>
  <c r="Q939" i="5"/>
  <c r="Q499" i="5"/>
  <c r="P499" i="5"/>
  <c r="Q575" i="5"/>
  <c r="P575" i="5"/>
  <c r="AA599" i="5"/>
  <c r="AB599" i="5" s="1"/>
  <c r="Q599" i="5"/>
  <c r="T599" i="5" s="1"/>
  <c r="U599" i="5" s="1"/>
  <c r="Q156" i="5"/>
  <c r="P156" i="5"/>
  <c r="Q431" i="5"/>
  <c r="P431" i="5"/>
  <c r="T431" i="5" s="1"/>
  <c r="U431" i="5" s="1"/>
  <c r="P617" i="5"/>
  <c r="Q617" i="5"/>
  <c r="Q414" i="5"/>
  <c r="P414" i="5"/>
  <c r="T414" i="5" s="1"/>
  <c r="U414" i="5" s="1"/>
  <c r="Q983" i="5"/>
  <c r="P983" i="5"/>
  <c r="P375" i="5"/>
  <c r="Q375" i="5"/>
  <c r="AA559" i="5"/>
  <c r="AB559" i="5" s="1"/>
  <c r="Q559" i="5"/>
  <c r="T559" i="5" s="1"/>
  <c r="U559" i="5" s="1"/>
  <c r="P98" i="5"/>
  <c r="P269" i="5"/>
  <c r="P629" i="5"/>
  <c r="AA304" i="5"/>
  <c r="AB304" i="5" s="1"/>
  <c r="R371" i="5"/>
  <c r="T371" i="5" s="1"/>
  <c r="U371" i="5" s="1"/>
  <c r="P988" i="5"/>
  <c r="Q522" i="5"/>
  <c r="Q668" i="5"/>
  <c r="T668" i="5" s="1"/>
  <c r="U668" i="5" s="1"/>
  <c r="P851" i="5"/>
  <c r="R401" i="5"/>
  <c r="T401" i="5" s="1"/>
  <c r="U401" i="5" s="1"/>
  <c r="P436" i="5"/>
  <c r="Q436" i="5"/>
  <c r="Q720" i="5"/>
  <c r="P720" i="5"/>
  <c r="Q865" i="5"/>
  <c r="P865" i="5"/>
  <c r="T865" i="5" s="1"/>
  <c r="U865" i="5" s="1"/>
  <c r="Q919" i="5"/>
  <c r="T919" i="5" s="1"/>
  <c r="U919" i="5" s="1"/>
  <c r="Q305" i="5"/>
  <c r="Q993" i="5"/>
  <c r="AA993" i="5"/>
  <c r="AB993" i="5" s="1"/>
  <c r="P315" i="5"/>
  <c r="Q315" i="5"/>
  <c r="Q413" i="5"/>
  <c r="Q833" i="5"/>
  <c r="P833" i="5"/>
  <c r="P59" i="5"/>
  <c r="Q59" i="5"/>
  <c r="Q527" i="5"/>
  <c r="P527" i="5"/>
  <c r="Q439" i="5"/>
  <c r="P439" i="5"/>
  <c r="P493" i="5"/>
  <c r="Q493" i="5"/>
  <c r="Q377" i="5"/>
  <c r="R815" i="5"/>
  <c r="Q433" i="5"/>
  <c r="P433" i="5"/>
  <c r="S806" i="5"/>
  <c r="S505" i="5"/>
  <c r="S591" i="5"/>
  <c r="S341" i="5"/>
  <c r="S139" i="5"/>
  <c r="S753" i="5"/>
  <c r="S883" i="5"/>
  <c r="R954" i="5"/>
  <c r="R565" i="5"/>
  <c r="T573" i="5"/>
  <c r="U573" i="5" s="1"/>
  <c r="T904" i="5"/>
  <c r="U904" i="5" s="1"/>
  <c r="T602" i="5"/>
  <c r="U602" i="5" s="1"/>
  <c r="T167" i="5"/>
  <c r="U167" i="5" s="1"/>
  <c r="T922" i="5"/>
  <c r="U922" i="5" s="1"/>
  <c r="T676" i="5"/>
  <c r="U676" i="5" s="1"/>
  <c r="T517" i="5"/>
  <c r="U517" i="5" s="1"/>
  <c r="T287" i="5"/>
  <c r="U287" i="5" s="1"/>
  <c r="T766" i="5"/>
  <c r="U766" i="5" s="1"/>
  <c r="T860" i="5"/>
  <c r="U860" i="5" s="1"/>
  <c r="T818" i="5"/>
  <c r="U818" i="5" s="1"/>
  <c r="Q228" i="5"/>
  <c r="Q884" i="5"/>
  <c r="AA884" i="5"/>
  <c r="AB884" i="5" s="1"/>
  <c r="P921" i="5"/>
  <c r="Q921" i="5"/>
  <c r="Q564" i="5"/>
  <c r="P564" i="5"/>
  <c r="Q25" i="5"/>
  <c r="P25" i="5"/>
  <c r="R226" i="5"/>
  <c r="Q382" i="5"/>
  <c r="P382" i="5"/>
  <c r="Q665" i="5"/>
  <c r="P665" i="5"/>
  <c r="Q97" i="5"/>
  <c r="P97" i="5"/>
  <c r="Q310" i="5"/>
  <c r="P310" i="5"/>
  <c r="Q85" i="5"/>
  <c r="P85" i="5"/>
  <c r="Q200" i="5"/>
  <c r="P200" i="5"/>
  <c r="Q236" i="5"/>
  <c r="P236" i="5"/>
  <c r="Q398" i="5"/>
  <c r="R398" i="5"/>
  <c r="Q561" i="5"/>
  <c r="R561" i="5"/>
  <c r="T561" i="5" s="1"/>
  <c r="U561" i="5" s="1"/>
  <c r="Q580" i="5"/>
  <c r="R580" i="5"/>
  <c r="Q786" i="5"/>
  <c r="R786" i="5"/>
  <c r="AA510" i="5"/>
  <c r="AB510" i="5" s="1"/>
  <c r="R510" i="5"/>
  <c r="R434" i="5"/>
  <c r="Q991" i="5"/>
  <c r="P991" i="5"/>
  <c r="AA733" i="5"/>
  <c r="AB733" i="5" s="1"/>
  <c r="AA38" i="5"/>
  <c r="AB38" i="5" s="1"/>
  <c r="AA777" i="5"/>
  <c r="AB777" i="5" s="1"/>
  <c r="T507" i="5"/>
  <c r="U507" i="5" s="1"/>
  <c r="T525" i="5"/>
  <c r="U525" i="5" s="1"/>
  <c r="T870" i="5"/>
  <c r="U870" i="5" s="1"/>
  <c r="T82" i="5"/>
  <c r="U82" i="5" s="1"/>
  <c r="T406" i="5"/>
  <c r="U406" i="5" s="1"/>
  <c r="T932" i="5"/>
  <c r="U932" i="5" s="1"/>
  <c r="T23" i="5"/>
  <c r="U23" i="5" s="1"/>
  <c r="T379" i="5"/>
  <c r="U379" i="5" s="1"/>
  <c r="T289" i="5"/>
  <c r="U289" i="5" s="1"/>
  <c r="T841" i="5"/>
  <c r="U841" i="5" s="1"/>
  <c r="T250" i="5"/>
  <c r="U250" i="5" s="1"/>
  <c r="T311" i="5"/>
  <c r="U311" i="5" s="1"/>
  <c r="T848" i="5"/>
  <c r="U848" i="5" s="1"/>
  <c r="P357" i="5"/>
  <c r="Q357" i="5"/>
  <c r="Q270" i="5"/>
  <c r="P270" i="5"/>
  <c r="R710" i="5"/>
  <c r="AA686" i="5"/>
  <c r="AB686" i="5" s="1"/>
  <c r="R98" i="5"/>
  <c r="P185" i="5"/>
  <c r="T185" i="5" s="1"/>
  <c r="U185" i="5" s="1"/>
  <c r="AA77" i="5"/>
  <c r="AB77" i="5" s="1"/>
  <c r="R269" i="5"/>
  <c r="R9" i="5"/>
  <c r="R629" i="5"/>
  <c r="R672" i="5"/>
  <c r="Q988" i="5"/>
  <c r="Q851" i="5"/>
  <c r="Q356" i="5"/>
  <c r="Q34" i="5"/>
  <c r="T34" i="5" s="1"/>
  <c r="U34" i="5" s="1"/>
  <c r="AA496" i="5"/>
  <c r="AB496" i="5" s="1"/>
  <c r="R402" i="5"/>
  <c r="C27" i="6"/>
  <c r="T697" i="5"/>
  <c r="U697" i="5" s="1"/>
  <c r="Q883" i="5"/>
  <c r="P883" i="5"/>
  <c r="R742" i="5"/>
  <c r="Q582" i="5"/>
  <c r="R363" i="5"/>
  <c r="Q390" i="5"/>
  <c r="P390" i="5"/>
  <c r="T390" i="5" s="1"/>
  <c r="U390" i="5" s="1"/>
  <c r="Q538" i="5"/>
  <c r="Q749" i="5"/>
  <c r="P749" i="5"/>
  <c r="Q400" i="5"/>
  <c r="P400" i="5"/>
  <c r="Q407" i="5"/>
  <c r="AA994" i="5"/>
  <c r="AB994" i="5" s="1"/>
  <c r="Q994" i="5"/>
  <c r="Q992" i="5"/>
  <c r="P992" i="5"/>
  <c r="AA76" i="5"/>
  <c r="AB76" i="5" s="1"/>
  <c r="Q76" i="5"/>
  <c r="T76" i="5" s="1"/>
  <c r="U76" i="5" s="1"/>
  <c r="Q158" i="5"/>
  <c r="P158" i="5"/>
  <c r="Q468" i="5"/>
  <c r="Q765" i="5"/>
  <c r="Q736" i="5"/>
  <c r="P736" i="5"/>
  <c r="Q210" i="5"/>
  <c r="P210" i="5"/>
  <c r="Q21" i="5"/>
  <c r="Q940" i="5"/>
  <c r="T415" i="5"/>
  <c r="U415" i="5" s="1"/>
  <c r="T463" i="5"/>
  <c r="U463" i="5" s="1"/>
  <c r="T503" i="5"/>
  <c r="U503" i="5" s="1"/>
  <c r="AA191" i="5"/>
  <c r="AB191" i="5" s="1"/>
  <c r="AA554" i="5"/>
  <c r="AB554" i="5" s="1"/>
  <c r="Q60" i="5"/>
  <c r="T388" i="5"/>
  <c r="U388" i="5" s="1"/>
  <c r="P407" i="5"/>
  <c r="Q142" i="5"/>
  <c r="Q732" i="5"/>
  <c r="P732" i="5"/>
  <c r="AA863" i="5"/>
  <c r="AB863" i="5" s="1"/>
  <c r="Q863" i="5"/>
  <c r="T863" i="5" s="1"/>
  <c r="U863" i="5" s="1"/>
  <c r="Q99" i="5"/>
  <c r="P99" i="5"/>
  <c r="P33" i="5"/>
  <c r="T815" i="5"/>
  <c r="U815" i="5" s="1"/>
  <c r="T434" i="5"/>
  <c r="U434" i="5" s="1"/>
  <c r="P429" i="5"/>
  <c r="T276" i="5"/>
  <c r="U276" i="5" s="1"/>
  <c r="T664" i="5"/>
  <c r="U664" i="5" s="1"/>
  <c r="T263" i="5"/>
  <c r="U263" i="5" s="1"/>
  <c r="T730" i="5"/>
  <c r="U730" i="5" s="1"/>
  <c r="AA573" i="5"/>
  <c r="AB573" i="5" s="1"/>
  <c r="AA340" i="5"/>
  <c r="AB340" i="5" s="1"/>
  <c r="AA897" i="5"/>
  <c r="AB897" i="5" s="1"/>
  <c r="AA904" i="5"/>
  <c r="AB904" i="5" s="1"/>
  <c r="AA721" i="5"/>
  <c r="AB721" i="5" s="1"/>
  <c r="R453" i="5"/>
  <c r="T955" i="5"/>
  <c r="U955" i="5" s="1"/>
  <c r="T894" i="5"/>
  <c r="U894" i="5" s="1"/>
  <c r="T522" i="5"/>
  <c r="U522" i="5" s="1"/>
  <c r="R769" i="5"/>
  <c r="R429" i="5"/>
  <c r="R673" i="5"/>
  <c r="R806" i="5"/>
  <c r="Q681" i="5"/>
  <c r="P681" i="5"/>
  <c r="Q505" i="5"/>
  <c r="P505" i="5"/>
  <c r="P453" i="5"/>
  <c r="AA453" i="5"/>
  <c r="AB453" i="5" s="1"/>
  <c r="Q453" i="5"/>
  <c r="Q259" i="5"/>
  <c r="P259" i="5"/>
  <c r="AA484" i="5"/>
  <c r="AB484" i="5" s="1"/>
  <c r="Q484" i="5"/>
  <c r="Q302" i="5"/>
  <c r="P302" i="5"/>
  <c r="Q341" i="5"/>
  <c r="P341" i="5"/>
  <c r="Q539" i="5"/>
  <c r="Q321" i="5"/>
  <c r="P321" i="5"/>
  <c r="Q139" i="5"/>
  <c r="P139" i="5"/>
  <c r="P332" i="5"/>
  <c r="Q332" i="5"/>
  <c r="Q846" i="5"/>
  <c r="P846" i="5"/>
  <c r="Q753" i="5"/>
  <c r="P753" i="5"/>
  <c r="P402" i="5"/>
  <c r="Q402" i="5"/>
  <c r="R433" i="5"/>
  <c r="T433" i="5" s="1"/>
  <c r="U433" i="5" s="1"/>
  <c r="R328" i="5"/>
  <c r="T691" i="5"/>
  <c r="U691" i="5" s="1"/>
  <c r="T917" i="5"/>
  <c r="U917" i="5" s="1"/>
  <c r="R133" i="5"/>
  <c r="Q30" i="5"/>
  <c r="R923" i="5"/>
  <c r="R898" i="5"/>
  <c r="T898" i="5" s="1"/>
  <c r="U898" i="5" s="1"/>
  <c r="Q437" i="5"/>
  <c r="R114" i="5"/>
  <c r="R385" i="5"/>
  <c r="AA385" i="5"/>
  <c r="AB385" i="5" s="1"/>
  <c r="R50" i="5"/>
  <c r="R553" i="5"/>
  <c r="R560" i="5"/>
  <c r="R465" i="5"/>
  <c r="R603" i="5"/>
  <c r="R467" i="5"/>
  <c r="R700" i="5"/>
  <c r="R594" i="5"/>
  <c r="R588" i="5"/>
  <c r="T624" i="5"/>
  <c r="U624" i="5" s="1"/>
  <c r="Q673" i="5"/>
  <c r="P673" i="5"/>
  <c r="Q806" i="5"/>
  <c r="P806" i="5"/>
  <c r="T806" i="5" s="1"/>
  <c r="U806" i="5" s="1"/>
  <c r="AA181" i="5"/>
  <c r="AB181" i="5" s="1"/>
  <c r="Q181" i="5"/>
  <c r="R681" i="5"/>
  <c r="R505" i="5"/>
  <c r="R259" i="5"/>
  <c r="R591" i="5"/>
  <c r="R302" i="5"/>
  <c r="R341" i="5"/>
  <c r="R321" i="5"/>
  <c r="R139" i="5"/>
  <c r="R846" i="5"/>
  <c r="R753" i="5"/>
  <c r="T298" i="5"/>
  <c r="U298" i="5" s="1"/>
  <c r="P76" i="5"/>
  <c r="R312" i="5"/>
  <c r="T54" i="5"/>
  <c r="U54" i="5" s="1"/>
  <c r="T529" i="5"/>
  <c r="U529" i="5" s="1"/>
  <c r="Q769" i="5"/>
  <c r="P923" i="5"/>
  <c r="Q923" i="5"/>
  <c r="Q898" i="5"/>
  <c r="Q725" i="5"/>
  <c r="AA437" i="5"/>
  <c r="AB437" i="5" s="1"/>
  <c r="R437" i="5"/>
  <c r="Q114" i="5"/>
  <c r="P114" i="5"/>
  <c r="Q385" i="5"/>
  <c r="P385" i="5"/>
  <c r="T385" i="5" s="1"/>
  <c r="U385" i="5" s="1"/>
  <c r="Q50" i="5"/>
  <c r="Q553" i="5"/>
  <c r="Q170" i="5"/>
  <c r="P170" i="5"/>
  <c r="Q560" i="5"/>
  <c r="P560" i="5"/>
  <c r="Q465" i="5"/>
  <c r="Q249" i="5"/>
  <c r="T249" i="5" s="1"/>
  <c r="U249" i="5" s="1"/>
  <c r="Q603" i="5"/>
  <c r="P603" i="5"/>
  <c r="Q467" i="5"/>
  <c r="T467" i="5" s="1"/>
  <c r="U467" i="5" s="1"/>
  <c r="Q987" i="5"/>
  <c r="P987" i="5"/>
  <c r="Q700" i="5"/>
  <c r="P700" i="5"/>
  <c r="Q594" i="5"/>
  <c r="Q536" i="5"/>
  <c r="P536" i="5"/>
  <c r="T536" i="5" s="1"/>
  <c r="U536" i="5" s="1"/>
  <c r="Q588" i="5"/>
  <c r="P588" i="5"/>
  <c r="R357" i="5"/>
  <c r="S67" i="5"/>
  <c r="S847" i="5"/>
  <c r="R704" i="5"/>
  <c r="R124" i="5"/>
  <c r="R484" i="5"/>
  <c r="AA725" i="5"/>
  <c r="AB725" i="5" s="1"/>
  <c r="T910" i="5"/>
  <c r="U910" i="5" s="1"/>
  <c r="Q847" i="5"/>
  <c r="AA847" i="5"/>
  <c r="AB847" i="5" s="1"/>
  <c r="Q836" i="5"/>
  <c r="R949" i="5"/>
  <c r="R343" i="5"/>
  <c r="Q506" i="5"/>
  <c r="Q486" i="5"/>
  <c r="T486" i="5" s="1"/>
  <c r="U486" i="5" s="1"/>
  <c r="Q937" i="5"/>
  <c r="P937" i="5"/>
  <c r="Q386" i="5"/>
  <c r="Q886" i="5"/>
  <c r="P886" i="5"/>
  <c r="Q698" i="5"/>
  <c r="P698" i="5"/>
  <c r="Q264" i="5"/>
  <c r="AA49" i="5"/>
  <c r="AB49" i="5" s="1"/>
  <c r="Q49" i="5"/>
  <c r="Q86" i="5"/>
  <c r="P86" i="5"/>
  <c r="Q100" i="5"/>
  <c r="Q823" i="5"/>
  <c r="P823" i="5"/>
  <c r="Q297" i="5"/>
  <c r="P297" i="5"/>
  <c r="Q568" i="5"/>
  <c r="Q747" i="5"/>
  <c r="Q915" i="5"/>
  <c r="P915" i="5"/>
  <c r="T674" i="5"/>
  <c r="U674" i="5" s="1"/>
  <c r="T116" i="5"/>
  <c r="U116" i="5" s="1"/>
  <c r="T598" i="5"/>
  <c r="U598" i="5" s="1"/>
  <c r="T982" i="5"/>
  <c r="U982" i="5" s="1"/>
  <c r="T172" i="5"/>
  <c r="U172" i="5" s="1"/>
  <c r="T856" i="5"/>
  <c r="U856" i="5" s="1"/>
  <c r="AA169" i="5"/>
  <c r="AB169" i="5" s="1"/>
  <c r="T355" i="5"/>
  <c r="U355" i="5" s="1"/>
  <c r="T672" i="5"/>
  <c r="U672" i="5" s="1"/>
  <c r="T69" i="5"/>
  <c r="U69" i="5" s="1"/>
  <c r="Q66" i="5"/>
  <c r="P66" i="5"/>
  <c r="Q942" i="5"/>
  <c r="R134" i="5"/>
  <c r="R653" i="5"/>
  <c r="Q211" i="5"/>
  <c r="P211" i="5"/>
  <c r="R122" i="5"/>
  <c r="R739" i="5"/>
  <c r="R997" i="5"/>
  <c r="R60" i="5"/>
  <c r="R457" i="5"/>
  <c r="R513" i="5"/>
  <c r="R914" i="5"/>
  <c r="R108" i="5"/>
  <c r="R26" i="5"/>
  <c r="T26" i="5" s="1"/>
  <c r="U26" i="5" s="1"/>
  <c r="R903" i="5"/>
  <c r="R685" i="5"/>
  <c r="R239" i="5"/>
  <c r="R317" i="5"/>
  <c r="R489" i="5"/>
  <c r="R981" i="5"/>
  <c r="R228" i="5"/>
  <c r="R847" i="5"/>
  <c r="R836" i="5"/>
  <c r="Q949" i="5"/>
  <c r="P949" i="5"/>
  <c r="Q343" i="5"/>
  <c r="P343" i="5"/>
  <c r="R506" i="5"/>
  <c r="R937" i="5"/>
  <c r="R386" i="5"/>
  <c r="R886" i="5"/>
  <c r="R698" i="5"/>
  <c r="R264" i="5"/>
  <c r="R86" i="5"/>
  <c r="R100" i="5"/>
  <c r="R823" i="5"/>
  <c r="R297" i="5"/>
  <c r="R568" i="5"/>
  <c r="R747" i="5"/>
  <c r="R915" i="5"/>
  <c r="P765" i="5"/>
  <c r="R66" i="5"/>
  <c r="R942" i="5"/>
  <c r="P134" i="5"/>
  <c r="Q653" i="5"/>
  <c r="P653" i="5"/>
  <c r="T653" i="5" s="1"/>
  <c r="U653" i="5" s="1"/>
  <c r="R211" i="5"/>
  <c r="P122" i="5"/>
  <c r="Q739" i="5"/>
  <c r="P739" i="5"/>
  <c r="Q997" i="5"/>
  <c r="Q457" i="5"/>
  <c r="P457" i="5"/>
  <c r="Q513" i="5"/>
  <c r="P513" i="5"/>
  <c r="P914" i="5"/>
  <c r="Q108" i="5"/>
  <c r="P108" i="5"/>
  <c r="Q26" i="5"/>
  <c r="P26" i="5"/>
  <c r="AA26" i="5"/>
  <c r="AB26" i="5" s="1"/>
  <c r="AA903" i="5"/>
  <c r="AB903" i="5" s="1"/>
  <c r="P903" i="5"/>
  <c r="Q685" i="5"/>
  <c r="P685" i="5"/>
  <c r="Q239" i="5"/>
  <c r="P239" i="5"/>
  <c r="P317" i="5"/>
  <c r="Q489" i="5"/>
  <c r="P489" i="5"/>
  <c r="Q981" i="5"/>
  <c r="P981" i="5"/>
  <c r="T215" i="5"/>
  <c r="U215" i="5" s="1"/>
  <c r="T12" i="5"/>
  <c r="U12" i="5" s="1"/>
  <c r="T209" i="5"/>
  <c r="U209" i="5" s="1"/>
  <c r="AA86" i="5"/>
  <c r="AB86" i="5" s="1"/>
  <c r="T347" i="5"/>
  <c r="U347" i="5" s="1"/>
  <c r="T504" i="5"/>
  <c r="U504" i="5" s="1"/>
  <c r="T819" i="5"/>
  <c r="U819" i="5" s="1"/>
  <c r="T293" i="5"/>
  <c r="U293" i="5" s="1"/>
  <c r="AA30" i="5"/>
  <c r="AB30" i="5" s="1"/>
  <c r="Q326" i="5"/>
  <c r="Q429" i="5"/>
  <c r="R373" i="5"/>
  <c r="R539" i="5"/>
  <c r="R79" i="5"/>
  <c r="T920" i="5"/>
  <c r="U920" i="5" s="1"/>
  <c r="T557" i="5"/>
  <c r="U557" i="5" s="1"/>
  <c r="T533" i="5"/>
  <c r="U533" i="5" s="1"/>
  <c r="Q350" i="5"/>
  <c r="P350" i="5"/>
  <c r="P706" i="5"/>
  <c r="Q706" i="5"/>
  <c r="R535" i="5"/>
  <c r="R93" i="5"/>
  <c r="AA124" i="5"/>
  <c r="AB124" i="5" s="1"/>
  <c r="Q124" i="5"/>
  <c r="Q930" i="5"/>
  <c r="Q705" i="5"/>
  <c r="P373" i="5"/>
  <c r="Q373" i="5"/>
  <c r="Q238" i="5"/>
  <c r="Q189" i="5"/>
  <c r="P189" i="5"/>
  <c r="P555" i="5"/>
  <c r="Q555" i="5"/>
  <c r="Q652" i="5"/>
  <c r="P652" i="5"/>
  <c r="Q596" i="5"/>
  <c r="AA133" i="5"/>
  <c r="AB133" i="5" s="1"/>
  <c r="Q133" i="5"/>
  <c r="T133" i="5" s="1"/>
  <c r="U133" i="5" s="1"/>
  <c r="Q541" i="5"/>
  <c r="P541" i="5"/>
  <c r="Q216" i="5"/>
  <c r="AA312" i="5"/>
  <c r="AB312" i="5" s="1"/>
  <c r="Q312" i="5"/>
  <c r="Q909" i="5"/>
  <c r="P909" i="5"/>
  <c r="R120" i="5"/>
  <c r="AA120" i="5"/>
  <c r="AB120" i="5" s="1"/>
  <c r="T141" i="5"/>
  <c r="U141" i="5" s="1"/>
  <c r="T157" i="5"/>
  <c r="U157" i="5" s="1"/>
  <c r="AA336" i="5"/>
  <c r="AB336" i="5" s="1"/>
  <c r="R89" i="5"/>
  <c r="Q779" i="5"/>
  <c r="R365" i="5"/>
  <c r="R137" i="5"/>
  <c r="Q456" i="5"/>
  <c r="P456" i="5"/>
  <c r="R313" i="5"/>
  <c r="R639" i="5"/>
  <c r="R352" i="5"/>
  <c r="R774" i="5"/>
  <c r="R117" i="5"/>
  <c r="R409" i="5"/>
  <c r="R826" i="5"/>
  <c r="R320" i="5"/>
  <c r="R873" i="5"/>
  <c r="R17" i="5"/>
  <c r="R492" i="5"/>
  <c r="T382" i="5"/>
  <c r="U382" i="5" s="1"/>
  <c r="T491" i="5"/>
  <c r="U491" i="5" s="1"/>
  <c r="T879" i="5"/>
  <c r="U879" i="5" s="1"/>
  <c r="T972" i="5"/>
  <c r="U972" i="5" s="1"/>
  <c r="T178" i="5"/>
  <c r="U178" i="5" s="1"/>
  <c r="R350" i="5"/>
  <c r="Q535" i="5"/>
  <c r="P535" i="5"/>
  <c r="Q93" i="5"/>
  <c r="R930" i="5"/>
  <c r="R705" i="5"/>
  <c r="R238" i="5"/>
  <c r="R189" i="5"/>
  <c r="R652" i="5"/>
  <c r="R596" i="5"/>
  <c r="R541" i="5"/>
  <c r="R216" i="5"/>
  <c r="AA216" i="5"/>
  <c r="AB216" i="5" s="1"/>
  <c r="R909" i="5"/>
  <c r="R393" i="5"/>
  <c r="AA393" i="5"/>
  <c r="AB393" i="5" s="1"/>
  <c r="T532" i="5"/>
  <c r="U532" i="5" s="1"/>
  <c r="T87" i="5"/>
  <c r="U87" i="5" s="1"/>
  <c r="T396" i="5"/>
  <c r="U396" i="5" s="1"/>
  <c r="T695" i="5"/>
  <c r="U695" i="5" s="1"/>
  <c r="R181" i="5"/>
  <c r="R332" i="5"/>
  <c r="Q89" i="5"/>
  <c r="Q365" i="5"/>
  <c r="P365" i="5"/>
  <c r="AA137" i="5"/>
  <c r="AB137" i="5" s="1"/>
  <c r="Q137" i="5"/>
  <c r="P137" i="5"/>
  <c r="Q313" i="5"/>
  <c r="P313" i="5"/>
  <c r="Q639" i="5"/>
  <c r="P639" i="5"/>
  <c r="Q567" i="5"/>
  <c r="T567" i="5" s="1"/>
  <c r="U567" i="5" s="1"/>
  <c r="Q352" i="5"/>
  <c r="P352" i="5"/>
  <c r="Q774" i="5"/>
  <c r="P774" i="5"/>
  <c r="Q808" i="5"/>
  <c r="AA808" i="5"/>
  <c r="AB808" i="5" s="1"/>
  <c r="Q117" i="5"/>
  <c r="P117" i="5"/>
  <c r="Q409" i="5"/>
  <c r="P409" i="5"/>
  <c r="Q826" i="5"/>
  <c r="P826" i="5"/>
  <c r="Q320" i="5"/>
  <c r="P320" i="5"/>
  <c r="Q873" i="5"/>
  <c r="P873" i="5"/>
  <c r="Q462" i="5"/>
  <c r="Q17" i="5"/>
  <c r="P17" i="5"/>
  <c r="Q492" i="5"/>
  <c r="Q658" i="5"/>
  <c r="P658" i="5"/>
  <c r="Q704" i="5"/>
  <c r="P704" i="5"/>
  <c r="R883" i="5"/>
  <c r="T471" i="5"/>
  <c r="U471" i="5" s="1"/>
  <c r="AA301" i="5"/>
  <c r="AB301" i="5" s="1"/>
  <c r="P538" i="5"/>
  <c r="P100" i="5"/>
  <c r="AA277" i="5"/>
  <c r="AB277" i="5" s="1"/>
  <c r="AA800" i="5"/>
  <c r="AB800" i="5" s="1"/>
  <c r="AA602" i="5"/>
  <c r="AB602" i="5" s="1"/>
  <c r="AA237" i="5"/>
  <c r="AB237" i="5" s="1"/>
  <c r="AA922" i="5"/>
  <c r="AB922" i="5" s="1"/>
  <c r="AA713" i="5"/>
  <c r="AB713" i="5" s="1"/>
  <c r="AA517" i="5"/>
  <c r="AB517" i="5" s="1"/>
  <c r="AA729" i="5"/>
  <c r="AB729" i="5" s="1"/>
  <c r="AA634" i="5"/>
  <c r="AB634" i="5" s="1"/>
  <c r="AA121" i="5"/>
  <c r="AB121" i="5" s="1"/>
  <c r="AA768" i="5"/>
  <c r="AB768" i="5" s="1"/>
  <c r="T942" i="5"/>
  <c r="U942" i="5" s="1"/>
  <c r="T993" i="5"/>
  <c r="U993" i="5" s="1"/>
  <c r="T895" i="5"/>
  <c r="U895" i="5" s="1"/>
  <c r="T905" i="5"/>
  <c r="U905" i="5" s="1"/>
  <c r="AA716" i="5"/>
  <c r="AB716" i="5" s="1"/>
  <c r="AA202" i="5"/>
  <c r="AB202" i="5" s="1"/>
  <c r="AA311" i="5"/>
  <c r="AB311" i="5" s="1"/>
  <c r="AA278" i="5"/>
  <c r="AB278" i="5" s="1"/>
  <c r="AA801" i="5"/>
  <c r="AB801" i="5" s="1"/>
  <c r="AA853" i="5"/>
  <c r="AB853" i="5" s="1"/>
  <c r="AA472" i="5"/>
  <c r="AB472" i="5" s="1"/>
  <c r="AA757" i="5"/>
  <c r="AB757" i="5" s="1"/>
  <c r="AA183" i="5"/>
  <c r="AB183" i="5" s="1"/>
  <c r="AA916" i="5"/>
  <c r="AB916" i="5" s="1"/>
  <c r="AA294" i="5"/>
  <c r="AB294" i="5" s="1"/>
  <c r="AA104" i="5"/>
  <c r="AB104" i="5" s="1"/>
  <c r="AA604" i="5"/>
  <c r="AB604" i="5" s="1"/>
  <c r="AA996" i="5"/>
  <c r="AB996" i="5" s="1"/>
  <c r="AA430" i="5"/>
  <c r="AB430" i="5" s="1"/>
  <c r="AA880" i="5"/>
  <c r="AB880" i="5" s="1"/>
  <c r="AA90" i="5"/>
  <c r="AB90" i="5" s="1"/>
  <c r="AA32" i="5"/>
  <c r="AB32" i="5" s="1"/>
  <c r="AA318" i="5"/>
  <c r="AB318" i="5" s="1"/>
  <c r="AA83" i="5"/>
  <c r="AB83" i="5" s="1"/>
  <c r="T436" i="5"/>
  <c r="U436" i="5" s="1"/>
  <c r="T129" i="5"/>
  <c r="U129" i="5" s="1"/>
  <c r="AA708" i="5"/>
  <c r="AB708" i="5" s="1"/>
  <c r="T765" i="5"/>
  <c r="U765" i="5" s="1"/>
  <c r="AA167" i="5"/>
  <c r="AB167" i="5" s="1"/>
  <c r="AA676" i="5"/>
  <c r="AB676" i="5" s="1"/>
  <c r="AA207" i="5"/>
  <c r="AB207" i="5" s="1"/>
  <c r="AA877" i="5"/>
  <c r="AB877" i="5" s="1"/>
  <c r="AA287" i="5"/>
  <c r="AB287" i="5" s="1"/>
  <c r="AA481" i="5"/>
  <c r="AB481" i="5" s="1"/>
  <c r="AA724" i="5"/>
  <c r="AB724" i="5" s="1"/>
  <c r="AA860" i="5"/>
  <c r="AB860" i="5" s="1"/>
  <c r="AA912" i="5"/>
  <c r="AB912" i="5" s="1"/>
  <c r="AA57" i="5"/>
  <c r="AB57" i="5" s="1"/>
  <c r="AA818" i="5"/>
  <c r="AB818" i="5" s="1"/>
  <c r="T810" i="5"/>
  <c r="U810" i="5" s="1"/>
  <c r="T107" i="5"/>
  <c r="U107" i="5" s="1"/>
  <c r="T416" i="5"/>
  <c r="U416" i="5" s="1"/>
  <c r="AA384" i="5"/>
  <c r="AB384" i="5" s="1"/>
  <c r="AA126" i="5"/>
  <c r="AB126" i="5" s="1"/>
  <c r="AA845" i="5"/>
  <c r="AB845" i="5" s="1"/>
  <c r="AA136" i="5"/>
  <c r="AB136" i="5" s="1"/>
  <c r="T295" i="5"/>
  <c r="U295" i="5" s="1"/>
  <c r="T334" i="5"/>
  <c r="U334" i="5" s="1"/>
  <c r="T499" i="5"/>
  <c r="U499" i="5" s="1"/>
  <c r="T991" i="5"/>
  <c r="U991" i="5" s="1"/>
  <c r="T413" i="5"/>
  <c r="U413" i="5" s="1"/>
  <c r="AA787" i="5"/>
  <c r="AB787" i="5" s="1"/>
  <c r="AA289" i="5"/>
  <c r="AB289" i="5" s="1"/>
  <c r="AA193" i="5"/>
  <c r="AB193" i="5" s="1"/>
  <c r="AA654" i="5"/>
  <c r="AB654" i="5" s="1"/>
  <c r="AA890" i="5"/>
  <c r="AB890" i="5" s="1"/>
  <c r="AA797" i="5"/>
  <c r="AB797" i="5" s="1"/>
  <c r="AA501" i="5"/>
  <c r="AB501" i="5" s="1"/>
  <c r="AA637" i="5"/>
  <c r="AB637" i="5" s="1"/>
  <c r="AA734" i="5"/>
  <c r="AB734" i="5" s="1"/>
  <c r="AA423" i="5"/>
  <c r="AB423" i="5" s="1"/>
  <c r="AA194" i="5"/>
  <c r="AB194" i="5" s="1"/>
  <c r="T823" i="5"/>
  <c r="U823" i="5" s="1"/>
  <c r="T270" i="5"/>
  <c r="U270" i="5" s="1"/>
  <c r="T605" i="5"/>
  <c r="U605" i="5" s="1"/>
  <c r="T762" i="5"/>
  <c r="U762" i="5" s="1"/>
  <c r="T125" i="5"/>
  <c r="U125" i="5" s="1"/>
  <c r="T339" i="5"/>
  <c r="U339" i="5" s="1"/>
  <c r="T938" i="5"/>
  <c r="U938" i="5" s="1"/>
  <c r="AA521" i="5"/>
  <c r="AB521" i="5" s="1"/>
  <c r="AA494" i="5"/>
  <c r="AB494" i="5" s="1"/>
  <c r="T30" i="5"/>
  <c r="U30" i="5" s="1"/>
  <c r="T725" i="5"/>
  <c r="U725" i="5" s="1"/>
  <c r="T808" i="5"/>
  <c r="U808" i="5" s="1"/>
  <c r="T987" i="5"/>
  <c r="U987" i="5" s="1"/>
  <c r="T563" i="5"/>
  <c r="U563" i="5" s="1"/>
  <c r="T577" i="5"/>
  <c r="U577" i="5" s="1"/>
  <c r="AA234" i="5"/>
  <c r="AB234" i="5" s="1"/>
  <c r="AA888" i="5"/>
  <c r="AB888" i="5" s="1"/>
  <c r="T393" i="5"/>
  <c r="U393" i="5" s="1"/>
  <c r="AA242" i="5"/>
  <c r="AB242" i="5" s="1"/>
  <c r="AA490" i="5"/>
  <c r="AB490" i="5" s="1"/>
  <c r="AA199" i="5"/>
  <c r="AB199" i="5" s="1"/>
  <c r="AA622" i="5"/>
  <c r="AB622" i="5" s="1"/>
  <c r="AA115" i="5"/>
  <c r="AB115" i="5" s="1"/>
  <c r="AA692" i="5"/>
  <c r="AB692" i="5" s="1"/>
  <c r="AA607" i="5"/>
  <c r="AB607" i="5" s="1"/>
  <c r="AA633" i="5"/>
  <c r="AB633" i="5" s="1"/>
  <c r="AA755" i="5"/>
  <c r="AB755" i="5" s="1"/>
  <c r="AA449" i="5"/>
  <c r="AB449" i="5" s="1"/>
  <c r="AA737" i="5"/>
  <c r="AB737" i="5" s="1"/>
  <c r="AA196" i="5"/>
  <c r="AB196" i="5" s="1"/>
  <c r="AA773" i="5"/>
  <c r="AB773" i="5" s="1"/>
  <c r="AA619" i="5"/>
  <c r="AB619" i="5" s="1"/>
  <c r="AA514" i="5"/>
  <c r="AB514" i="5" s="1"/>
  <c r="AA746" i="5"/>
  <c r="AB746" i="5" s="1"/>
  <c r="AA24" i="5"/>
  <c r="AB24" i="5" s="1"/>
  <c r="U931" i="5" l="1"/>
  <c r="D6" i="7"/>
  <c r="D7" i="7" s="1"/>
  <c r="T752" i="5"/>
  <c r="U752" i="5" s="1"/>
  <c r="T899" i="5"/>
  <c r="U899" i="5" s="1"/>
  <c r="T984" i="5"/>
  <c r="U984" i="5" s="1"/>
  <c r="T40" i="5"/>
  <c r="U40" i="5" s="1"/>
  <c r="AA68" i="5"/>
  <c r="AB68" i="5" s="1"/>
  <c r="AA804" i="5"/>
  <c r="AB804" i="5" s="1"/>
  <c r="AA941" i="5"/>
  <c r="AB941" i="5" s="1"/>
  <c r="AA6" i="5"/>
  <c r="AB6" i="5" s="1"/>
  <c r="AA316" i="5"/>
  <c r="AB316" i="5" s="1"/>
  <c r="T546" i="5"/>
  <c r="U546" i="5" s="1"/>
  <c r="AA218" i="5"/>
  <c r="AB218" i="5" s="1"/>
  <c r="T930" i="5"/>
  <c r="U930" i="5" s="1"/>
  <c r="T124" i="5"/>
  <c r="U124" i="5" s="1"/>
  <c r="T356" i="5"/>
  <c r="U356" i="5" s="1"/>
  <c r="T794" i="5"/>
  <c r="U794" i="5" s="1"/>
  <c r="T7" i="5"/>
  <c r="U7" i="5" s="1"/>
  <c r="T290" i="5"/>
  <c r="U290" i="5" s="1"/>
  <c r="T77" i="5"/>
  <c r="U77" i="5" s="1"/>
  <c r="T647" i="5"/>
  <c r="U647" i="5" s="1"/>
  <c r="AA793" i="5"/>
  <c r="AB793" i="5" s="1"/>
  <c r="AA961" i="5"/>
  <c r="AB961" i="5" s="1"/>
  <c r="T273" i="5"/>
  <c r="U273" i="5" s="1"/>
  <c r="T836" i="5"/>
  <c r="U836" i="5" s="1"/>
  <c r="T591" i="5"/>
  <c r="U591" i="5" s="1"/>
  <c r="T408" i="5"/>
  <c r="U408" i="5" s="1"/>
  <c r="T47" i="5"/>
  <c r="U47" i="5" s="1"/>
  <c r="T542" i="5"/>
  <c r="U542" i="5" s="1"/>
  <c r="T186" i="5"/>
  <c r="U186" i="5" s="1"/>
  <c r="T196" i="5"/>
  <c r="U196" i="5" s="1"/>
  <c r="T187" i="5"/>
  <c r="U187" i="5" s="1"/>
  <c r="T544" i="5"/>
  <c r="U544" i="5" s="1"/>
  <c r="T106" i="5"/>
  <c r="U106" i="5" s="1"/>
  <c r="AA590" i="5"/>
  <c r="AB590" i="5" s="1"/>
  <c r="AA835" i="5"/>
  <c r="AB835" i="5" s="1"/>
  <c r="AA699" i="5"/>
  <c r="AB699" i="5" s="1"/>
  <c r="AA832" i="5"/>
  <c r="AB832" i="5" s="1"/>
  <c r="AA331" i="5"/>
  <c r="AB331" i="5" s="1"/>
  <c r="AA459" i="5"/>
  <c r="AB459" i="5" s="1"/>
  <c r="AA631" i="5"/>
  <c r="AB631" i="5" s="1"/>
  <c r="AA345" i="5"/>
  <c r="AB345" i="5" s="1"/>
  <c r="AA260" i="5"/>
  <c r="AB260" i="5" s="1"/>
  <c r="AA373" i="5"/>
  <c r="AB373" i="5" s="1"/>
  <c r="AA732" i="5"/>
  <c r="AB732" i="5" s="1"/>
  <c r="AA178" i="5"/>
  <c r="AB178" i="5" s="1"/>
  <c r="T702" i="5"/>
  <c r="U702" i="5" s="1"/>
  <c r="T642" i="5"/>
  <c r="U642" i="5" s="1"/>
  <c r="T648" i="5"/>
  <c r="U648" i="5" s="1"/>
  <c r="AA601" i="5"/>
  <c r="AB601" i="5" s="1"/>
  <c r="AA95" i="5"/>
  <c r="AB95" i="5" s="1"/>
  <c r="AA758" i="5"/>
  <c r="AB758" i="5" s="1"/>
  <c r="T264" i="5"/>
  <c r="U264" i="5" s="1"/>
  <c r="T534" i="5"/>
  <c r="U534" i="5" s="1"/>
  <c r="T985" i="5"/>
  <c r="U985" i="5" s="1"/>
  <c r="T194" i="5"/>
  <c r="U194" i="5" s="1"/>
  <c r="T96" i="5"/>
  <c r="U96" i="5" s="1"/>
  <c r="AA248" i="5"/>
  <c r="AB248" i="5" s="1"/>
  <c r="T342" i="5"/>
  <c r="U342" i="5" s="1"/>
  <c r="T11" i="5"/>
  <c r="U11" i="5" s="1"/>
  <c r="T902" i="5"/>
  <c r="U902" i="5" s="1"/>
  <c r="T48" i="5"/>
  <c r="U48" i="5" s="1"/>
  <c r="T822" i="5"/>
  <c r="U822" i="5" s="1"/>
  <c r="T489" i="5"/>
  <c r="U489" i="5" s="1"/>
  <c r="T99" i="5"/>
  <c r="U99" i="5" s="1"/>
  <c r="T377" i="5"/>
  <c r="U377" i="5" s="1"/>
  <c r="T305" i="5"/>
  <c r="U305" i="5" s="1"/>
  <c r="T366" i="5"/>
  <c r="U366" i="5" s="1"/>
  <c r="T5" i="5"/>
  <c r="U5" i="5" s="1"/>
  <c r="T296" i="5"/>
  <c r="U296" i="5" s="1"/>
  <c r="T547" i="5"/>
  <c r="U547" i="5" s="1"/>
  <c r="AA161" i="5"/>
  <c r="AB161" i="5" s="1"/>
  <c r="T230" i="5"/>
  <c r="U230" i="5" s="1"/>
  <c r="T954" i="5"/>
  <c r="U954" i="5" s="1"/>
  <c r="T851" i="5"/>
  <c r="U851" i="5" s="1"/>
  <c r="T245" i="5"/>
  <c r="U245" i="5" s="1"/>
  <c r="AA976" i="5"/>
  <c r="AB976" i="5" s="1"/>
  <c r="T785" i="5"/>
  <c r="U785" i="5" s="1"/>
  <c r="T380" i="5"/>
  <c r="U380" i="5" s="1"/>
  <c r="T118" i="5"/>
  <c r="U118" i="5" s="1"/>
  <c r="T213" i="5"/>
  <c r="U213" i="5" s="1"/>
  <c r="T551" i="5"/>
  <c r="U551" i="5" s="1"/>
  <c r="T608" i="5"/>
  <c r="U608" i="5" s="1"/>
  <c r="T236" i="5"/>
  <c r="U236" i="5" s="1"/>
  <c r="T837" i="5"/>
  <c r="U837" i="5" s="1"/>
  <c r="T335" i="5"/>
  <c r="U335" i="5" s="1"/>
  <c r="T594" i="5"/>
  <c r="U594" i="5" s="1"/>
  <c r="T950" i="5"/>
  <c r="U950" i="5" s="1"/>
  <c r="T512" i="5"/>
  <c r="U512" i="5" s="1"/>
  <c r="T943" i="5"/>
  <c r="U943" i="5" s="1"/>
  <c r="T207" i="5"/>
  <c r="U207" i="5" s="1"/>
  <c r="T688" i="5"/>
  <c r="U688" i="5" s="1"/>
  <c r="T16" i="5"/>
  <c r="U16" i="5" s="1"/>
  <c r="T498" i="5"/>
  <c r="U498" i="5" s="1"/>
  <c r="T112" i="5"/>
  <c r="U112" i="5" s="1"/>
  <c r="T3" i="5"/>
  <c r="U3" i="5" s="1"/>
  <c r="T22" i="5"/>
  <c r="U22" i="5" s="1"/>
  <c r="T97" i="5"/>
  <c r="U97" i="5" s="1"/>
  <c r="T761" i="5"/>
  <c r="U761" i="5" s="1"/>
  <c r="T33" i="5"/>
  <c r="U33" i="5" s="1"/>
  <c r="T630" i="5"/>
  <c r="U630" i="5" s="1"/>
  <c r="T722" i="5"/>
  <c r="U722" i="5" s="1"/>
  <c r="T488" i="5"/>
  <c r="U488" i="5" s="1"/>
  <c r="T152" i="5"/>
  <c r="U152" i="5" s="1"/>
  <c r="T89" i="5"/>
  <c r="U89" i="5" s="1"/>
  <c r="T105" i="5"/>
  <c r="U105" i="5" s="1"/>
  <c r="T442" i="5"/>
  <c r="U442" i="5" s="1"/>
  <c r="T135" i="5"/>
  <c r="U135" i="5" s="1"/>
  <c r="AA798" i="5"/>
  <c r="AB798" i="5" s="1"/>
  <c r="AA614" i="5"/>
  <c r="AB614" i="5" s="1"/>
  <c r="T476" i="5"/>
  <c r="U476" i="5" s="1"/>
  <c r="T952" i="5"/>
  <c r="U952" i="5" s="1"/>
  <c r="T817" i="5"/>
  <c r="U817" i="5" s="1"/>
  <c r="T820" i="5"/>
  <c r="U820" i="5" s="1"/>
  <c r="T173" i="5"/>
  <c r="U173" i="5" s="1"/>
  <c r="T957" i="5"/>
  <c r="U957" i="5" s="1"/>
  <c r="T740" i="5"/>
  <c r="U740" i="5" s="1"/>
  <c r="T400" i="5"/>
  <c r="U400" i="5" s="1"/>
  <c r="T947" i="5"/>
  <c r="U947" i="5" s="1"/>
  <c r="T460" i="5"/>
  <c r="U460" i="5" s="1"/>
  <c r="AA597" i="5"/>
  <c r="AB597" i="5" s="1"/>
  <c r="AA878" i="5"/>
  <c r="AB878" i="5" s="1"/>
  <c r="T402" i="5"/>
  <c r="U402" i="5" s="1"/>
  <c r="T453" i="5"/>
  <c r="U453" i="5" s="1"/>
  <c r="T468" i="5"/>
  <c r="U468" i="5" s="1"/>
  <c r="T593" i="5"/>
  <c r="U593" i="5" s="1"/>
  <c r="T929" i="5"/>
  <c r="U929" i="5" s="1"/>
  <c r="T933" i="5"/>
  <c r="U933" i="5" s="1"/>
  <c r="T78" i="5"/>
  <c r="U78" i="5" s="1"/>
  <c r="T671" i="5"/>
  <c r="U671" i="5" s="1"/>
  <c r="T224" i="5"/>
  <c r="U224" i="5" s="1"/>
  <c r="T784" i="5"/>
  <c r="U784" i="5" s="1"/>
  <c r="T588" i="5"/>
  <c r="U588" i="5" s="1"/>
  <c r="T805" i="5"/>
  <c r="U805" i="5" s="1"/>
  <c r="T233" i="5"/>
  <c r="U233" i="5" s="1"/>
  <c r="T825" i="5"/>
  <c r="U825" i="5" s="1"/>
  <c r="AA528" i="5"/>
  <c r="AB528" i="5" s="1"/>
  <c r="AA487" i="5"/>
  <c r="AB487" i="5" s="1"/>
  <c r="AA300" i="5"/>
  <c r="AB300" i="5" s="1"/>
  <c r="AA857" i="5"/>
  <c r="AB857" i="5" s="1"/>
  <c r="AA531" i="5"/>
  <c r="AB531" i="5" s="1"/>
  <c r="AA766" i="5"/>
  <c r="AB766" i="5" s="1"/>
  <c r="AA217" i="5"/>
  <c r="AB217" i="5" s="1"/>
  <c r="T749" i="5"/>
  <c r="U749" i="5" s="1"/>
  <c r="T310" i="5"/>
  <c r="U310" i="5" s="1"/>
  <c r="T564" i="5"/>
  <c r="U564" i="5" s="1"/>
  <c r="T493" i="5"/>
  <c r="U493" i="5" s="1"/>
  <c r="T175" i="5"/>
  <c r="U175" i="5" s="1"/>
  <c r="T217" i="5"/>
  <c r="U217" i="5" s="1"/>
  <c r="T497" i="5"/>
  <c r="U497" i="5" s="1"/>
  <c r="T659" i="5"/>
  <c r="U659" i="5" s="1"/>
  <c r="T935" i="5"/>
  <c r="U935" i="5" s="1"/>
  <c r="T253" i="5"/>
  <c r="U253" i="5" s="1"/>
  <c r="T266" i="5"/>
  <c r="U266" i="5" s="1"/>
  <c r="T58" i="5"/>
  <c r="U58" i="5" s="1"/>
  <c r="T151" i="5"/>
  <c r="U151" i="5" s="1"/>
  <c r="T369" i="5"/>
  <c r="U369" i="5" s="1"/>
  <c r="T500" i="5"/>
  <c r="U500" i="5" s="1"/>
  <c r="T516" i="5"/>
  <c r="U516" i="5" s="1"/>
  <c r="T803" i="5"/>
  <c r="U803" i="5" s="1"/>
  <c r="T514" i="5"/>
  <c r="U514" i="5" s="1"/>
  <c r="T627" i="5"/>
  <c r="U627" i="5" s="1"/>
  <c r="T846" i="5"/>
  <c r="U846" i="5" s="1"/>
  <c r="T302" i="5"/>
  <c r="U302" i="5" s="1"/>
  <c r="T978" i="5"/>
  <c r="U978" i="5" s="1"/>
  <c r="T790" i="5"/>
  <c r="U790" i="5" s="1"/>
  <c r="T67" i="5"/>
  <c r="U67" i="5" s="1"/>
  <c r="T840" i="5"/>
  <c r="U840" i="5" s="1"/>
  <c r="T589" i="5"/>
  <c r="U589" i="5" s="1"/>
  <c r="T600" i="5"/>
  <c r="U600" i="5" s="1"/>
  <c r="T395" i="5"/>
  <c r="U395" i="5" s="1"/>
  <c r="T164" i="5"/>
  <c r="U164" i="5" s="1"/>
  <c r="T635" i="5"/>
  <c r="U635" i="5" s="1"/>
  <c r="T243" i="5"/>
  <c r="U243" i="5" s="1"/>
  <c r="T280" i="5"/>
  <c r="U280" i="5" s="1"/>
  <c r="T111" i="5"/>
  <c r="U111" i="5" s="1"/>
  <c r="T715" i="5"/>
  <c r="U715" i="5" s="1"/>
  <c r="T861" i="5"/>
  <c r="U861" i="5" s="1"/>
  <c r="T198" i="5"/>
  <c r="U198" i="5" s="1"/>
  <c r="T989" i="5"/>
  <c r="U989" i="5" s="1"/>
  <c r="T93" i="5"/>
  <c r="U93" i="5" s="1"/>
  <c r="T868" i="5"/>
  <c r="U868" i="5" s="1"/>
  <c r="T527" i="5"/>
  <c r="U527" i="5" s="1"/>
  <c r="T983" i="5"/>
  <c r="U983" i="5" s="1"/>
  <c r="T75" i="5"/>
  <c r="U75" i="5" s="1"/>
  <c r="T8" i="5"/>
  <c r="U8" i="5" s="1"/>
  <c r="T596" i="5"/>
  <c r="U596" i="5" s="1"/>
  <c r="T582" i="5"/>
  <c r="U582" i="5" s="1"/>
  <c r="T291" i="5"/>
  <c r="U291" i="5" s="1"/>
  <c r="T114" i="5"/>
  <c r="U114" i="5" s="1"/>
  <c r="T728" i="5"/>
  <c r="U728" i="5" s="1"/>
  <c r="T464" i="5"/>
  <c r="U464" i="5" s="1"/>
  <c r="T108" i="5"/>
  <c r="U108" i="5" s="1"/>
  <c r="AA771" i="5"/>
  <c r="AB771" i="5" s="1"/>
  <c r="T738" i="5"/>
  <c r="U738" i="5" s="1"/>
  <c r="T831" i="5"/>
  <c r="U831" i="5" s="1"/>
  <c r="T275" i="5"/>
  <c r="U275" i="5" s="1"/>
  <c r="T328" i="5"/>
  <c r="U328" i="5" s="1"/>
  <c r="T73" i="5"/>
  <c r="U73" i="5" s="1"/>
  <c r="T680" i="5"/>
  <c r="U680" i="5" s="1"/>
  <c r="T828" i="5"/>
  <c r="U828" i="5" s="1"/>
  <c r="T709" i="5"/>
  <c r="U709" i="5" s="1"/>
  <c r="T365" i="5"/>
  <c r="U365" i="5" s="1"/>
  <c r="T170" i="5"/>
  <c r="U170" i="5" s="1"/>
  <c r="T326" i="5"/>
  <c r="U326" i="5" s="1"/>
  <c r="T239" i="5"/>
  <c r="U239" i="5" s="1"/>
  <c r="T513" i="5"/>
  <c r="U513" i="5" s="1"/>
  <c r="T85" i="5"/>
  <c r="U85" i="5" s="1"/>
  <c r="T25" i="5"/>
  <c r="U25" i="5" s="1"/>
  <c r="T315" i="5"/>
  <c r="U315" i="5" s="1"/>
  <c r="T156" i="5"/>
  <c r="U156" i="5" s="1"/>
  <c r="T28" i="5"/>
  <c r="U28" i="5" s="1"/>
  <c r="AA627" i="5"/>
  <c r="AB627" i="5" s="1"/>
  <c r="AA81" i="5"/>
  <c r="AB81" i="5" s="1"/>
  <c r="AA250" i="5"/>
  <c r="AB250" i="5" s="1"/>
  <c r="T367" i="5"/>
  <c r="U367" i="5" s="1"/>
  <c r="T903" i="5"/>
  <c r="U903" i="5" s="1"/>
  <c r="T786" i="5"/>
  <c r="U786" i="5" s="1"/>
  <c r="T926" i="5"/>
  <c r="U926" i="5" s="1"/>
  <c r="T850" i="5"/>
  <c r="U850" i="5" s="1"/>
  <c r="AA670" i="5"/>
  <c r="AB670" i="5" s="1"/>
  <c r="T710" i="5"/>
  <c r="U710" i="5" s="1"/>
  <c r="T235" i="5"/>
  <c r="U235" i="5" s="1"/>
  <c r="T303" i="5"/>
  <c r="U303" i="5" s="1"/>
  <c r="T679" i="5"/>
  <c r="U679" i="5" s="1"/>
  <c r="T882" i="5"/>
  <c r="U882" i="5" s="1"/>
  <c r="T658" i="5"/>
  <c r="U658" i="5" s="1"/>
  <c r="T50" i="5"/>
  <c r="U50" i="5" s="1"/>
  <c r="T208" i="5"/>
  <c r="U208" i="5" s="1"/>
  <c r="T705" i="5"/>
  <c r="U705" i="5" s="1"/>
  <c r="T279" i="5"/>
  <c r="U279" i="5" s="1"/>
  <c r="T657" i="5"/>
  <c r="U657" i="5" s="1"/>
  <c r="T804" i="5"/>
  <c r="U804" i="5" s="1"/>
  <c r="T812" i="5"/>
  <c r="U812" i="5" s="1"/>
  <c r="T359" i="5"/>
  <c r="U359" i="5" s="1"/>
  <c r="T117" i="5"/>
  <c r="U117" i="5" s="1"/>
  <c r="T176" i="5"/>
  <c r="U176" i="5" s="1"/>
  <c r="T693" i="5"/>
  <c r="U693" i="5" s="1"/>
  <c r="T131" i="5"/>
  <c r="U131" i="5" s="1"/>
  <c r="T776" i="5"/>
  <c r="U776" i="5" s="1"/>
  <c r="T169" i="5"/>
  <c r="U169" i="5" s="1"/>
  <c r="T358" i="5"/>
  <c r="U358" i="5" s="1"/>
  <c r="T814" i="5"/>
  <c r="U814" i="5" s="1"/>
  <c r="T782" i="5"/>
  <c r="U782" i="5" s="1"/>
  <c r="T143" i="5"/>
  <c r="U143" i="5" s="1"/>
  <c r="T900" i="5"/>
  <c r="U900" i="5" s="1"/>
  <c r="T494" i="5"/>
  <c r="U494" i="5" s="1"/>
  <c r="T312" i="5"/>
  <c r="U312" i="5" s="1"/>
  <c r="T990" i="5"/>
  <c r="U990" i="5" s="1"/>
  <c r="T731" i="5"/>
  <c r="U731" i="5" s="1"/>
  <c r="T946" i="5"/>
  <c r="U946" i="5" s="1"/>
  <c r="T470" i="5"/>
  <c r="U470" i="5" s="1"/>
  <c r="T197" i="5"/>
  <c r="U197" i="5" s="1"/>
  <c r="T759" i="5"/>
  <c r="U759" i="5" s="1"/>
  <c r="T20" i="5"/>
  <c r="U20" i="5" s="1"/>
  <c r="T575" i="5"/>
  <c r="U575" i="5" s="1"/>
  <c r="T735" i="5"/>
  <c r="U735" i="5" s="1"/>
  <c r="T204" i="5"/>
  <c r="U204" i="5" s="1"/>
  <c r="T509" i="5"/>
  <c r="U509" i="5" s="1"/>
  <c r="T767" i="5"/>
  <c r="U767" i="5" s="1"/>
  <c r="T216" i="5"/>
  <c r="U216" i="5" s="1"/>
  <c r="T994" i="5"/>
  <c r="U994" i="5" s="1"/>
  <c r="T718" i="5"/>
  <c r="U718" i="5" s="1"/>
  <c r="T429" i="5"/>
  <c r="U429" i="5" s="1"/>
  <c r="T354" i="5"/>
  <c r="U354" i="5" s="1"/>
  <c r="T362" i="5"/>
  <c r="U362" i="5" s="1"/>
  <c r="T49" i="5"/>
  <c r="U49" i="5" s="1"/>
  <c r="T736" i="5"/>
  <c r="U736" i="5" s="1"/>
  <c r="T855" i="5"/>
  <c r="U855" i="5" s="1"/>
  <c r="T18" i="5"/>
  <c r="U18" i="5" s="1"/>
  <c r="T46" i="5"/>
  <c r="U46" i="5" s="1"/>
  <c r="T142" i="5"/>
  <c r="U142" i="5" s="1"/>
  <c r="T13" i="5"/>
  <c r="U13" i="5" s="1"/>
  <c r="AA649" i="5"/>
  <c r="AB649" i="5" s="1"/>
  <c r="AA829" i="5"/>
  <c r="AB829" i="5" s="1"/>
  <c r="AA351" i="5"/>
  <c r="AB351" i="5" s="1"/>
  <c r="AA174" i="5"/>
  <c r="AB174" i="5" s="1"/>
  <c r="AA5" i="5"/>
  <c r="AB5" i="5" s="1"/>
  <c r="AA783" i="5"/>
  <c r="AB783" i="5" s="1"/>
  <c r="AA168" i="5"/>
  <c r="AB168" i="5" s="1"/>
  <c r="AA444" i="5"/>
  <c r="AB444" i="5" s="1"/>
  <c r="T909" i="5"/>
  <c r="U909" i="5" s="1"/>
  <c r="T456" i="5"/>
  <c r="U456" i="5" s="1"/>
  <c r="T45" i="5"/>
  <c r="U45" i="5" s="1"/>
  <c r="T788" i="5"/>
  <c r="U788" i="5" s="1"/>
  <c r="T338" i="5"/>
  <c r="U338" i="5" s="1"/>
  <c r="T128" i="5"/>
  <c r="U128" i="5" s="1"/>
  <c r="AA848" i="5"/>
  <c r="AB848" i="5" s="1"/>
  <c r="AA525" i="5"/>
  <c r="AB525" i="5" s="1"/>
  <c r="AA583" i="5"/>
  <c r="AB583" i="5" s="1"/>
  <c r="AA548" i="5"/>
  <c r="AB548" i="5" s="1"/>
  <c r="AA391" i="5"/>
  <c r="AB391" i="5" s="1"/>
  <c r="AA712" i="5"/>
  <c r="AB712" i="5" s="1"/>
  <c r="AA973" i="5"/>
  <c r="AB973" i="5" s="1"/>
  <c r="AA255" i="5"/>
  <c r="AB255" i="5" s="1"/>
  <c r="T299" i="5"/>
  <c r="U299" i="5" s="1"/>
  <c r="T465" i="5"/>
  <c r="U465" i="5" s="1"/>
  <c r="T332" i="5"/>
  <c r="U332" i="5" s="1"/>
  <c r="T673" i="5"/>
  <c r="U673" i="5" s="1"/>
  <c r="T655" i="5"/>
  <c r="U655" i="5" s="1"/>
  <c r="T404" i="5"/>
  <c r="U404" i="5" s="1"/>
  <c r="T661" i="5"/>
  <c r="U661" i="5" s="1"/>
  <c r="T240" i="5"/>
  <c r="U240" i="5" s="1"/>
  <c r="AA265" i="5"/>
  <c r="AB265" i="5" s="1"/>
  <c r="AA364" i="5"/>
  <c r="AB364" i="5" s="1"/>
  <c r="AA376" i="5"/>
  <c r="AB376" i="5" s="1"/>
  <c r="T462" i="5"/>
  <c r="U462" i="5" s="1"/>
  <c r="T587" i="5"/>
  <c r="U587" i="5" s="1"/>
  <c r="E28" i="6"/>
  <c r="F28" i="6"/>
  <c r="T506" i="5"/>
  <c r="U506" i="5" s="1"/>
  <c r="T203" i="5"/>
  <c r="U203" i="5" s="1"/>
  <c r="T779" i="5"/>
  <c r="U779" i="5" s="1"/>
  <c r="T398" i="5"/>
  <c r="U398" i="5" s="1"/>
  <c r="T665" i="5"/>
  <c r="U665" i="5" s="1"/>
  <c r="T834" i="5"/>
  <c r="U834" i="5" s="1"/>
  <c r="T153" i="5"/>
  <c r="U153" i="5" s="1"/>
  <c r="T349" i="5"/>
  <c r="U349" i="5" s="1"/>
  <c r="T437" i="5"/>
  <c r="U437" i="5" s="1"/>
  <c r="T9" i="5"/>
  <c r="U9" i="5" s="1"/>
  <c r="E24" i="6"/>
  <c r="E29" i="6"/>
  <c r="T939" i="5"/>
  <c r="U939" i="5" s="1"/>
  <c r="T537" i="5"/>
  <c r="U537" i="5" s="1"/>
  <c r="T407" i="5"/>
  <c r="U407" i="5" s="1"/>
  <c r="T583" i="5"/>
  <c r="U583" i="5" s="1"/>
  <c r="T896" i="5"/>
  <c r="U896" i="5" s="1"/>
  <c r="C28" i="6"/>
  <c r="T210" i="5"/>
  <c r="U210" i="5" s="1"/>
  <c r="T545" i="5"/>
  <c r="U545" i="5" s="1"/>
  <c r="AB417" i="5"/>
  <c r="T134" i="5"/>
  <c r="U134" i="5" s="1"/>
  <c r="T375" i="5"/>
  <c r="U375" i="5" s="1"/>
  <c r="T271" i="5"/>
  <c r="U271" i="5" s="1"/>
  <c r="AA380" i="5"/>
  <c r="AB380" i="5" s="1"/>
  <c r="AA466" i="5"/>
  <c r="AB466" i="5" s="1"/>
  <c r="T308" i="5"/>
  <c r="U308" i="5" s="1"/>
  <c r="T560" i="5"/>
  <c r="U560" i="5" s="1"/>
  <c r="T732" i="5"/>
  <c r="U732" i="5" s="1"/>
  <c r="AA198" i="5"/>
  <c r="AB198" i="5" s="1"/>
  <c r="AA106" i="5"/>
  <c r="AB106" i="5" s="1"/>
  <c r="AA348" i="5"/>
  <c r="AB348" i="5" s="1"/>
  <c r="AA292" i="5"/>
  <c r="AB292" i="5" s="1"/>
  <c r="AA220" i="5"/>
  <c r="AB220" i="5" s="1"/>
  <c r="AA227" i="5"/>
  <c r="AB227" i="5" s="1"/>
  <c r="T753" i="5"/>
  <c r="U753" i="5" s="1"/>
  <c r="T977" i="5"/>
  <c r="U977" i="5" s="1"/>
  <c r="T802" i="5"/>
  <c r="U802" i="5" s="1"/>
  <c r="T540" i="5"/>
  <c r="U540" i="5" s="1"/>
  <c r="T956" i="5"/>
  <c r="U956" i="5" s="1"/>
  <c r="AA862" i="5"/>
  <c r="AB862" i="5" s="1"/>
  <c r="AA461" i="5"/>
  <c r="AB461" i="5" s="1"/>
  <c r="AA378" i="5"/>
  <c r="AB378" i="5" s="1"/>
  <c r="AA159" i="5"/>
  <c r="AB159" i="5" s="1"/>
  <c r="T189" i="5"/>
  <c r="U189" i="5" s="1"/>
  <c r="T739" i="5"/>
  <c r="U739" i="5" s="1"/>
  <c r="T1001" i="5"/>
  <c r="U1001" i="5" s="1"/>
  <c r="T923" i="5"/>
  <c r="U923" i="5" s="1"/>
  <c r="T200" i="5"/>
  <c r="U200" i="5" s="1"/>
  <c r="AA206" i="5"/>
  <c r="AB206" i="5" s="1"/>
  <c r="AA333" i="5"/>
  <c r="AB333" i="5" s="1"/>
  <c r="AA435" i="5"/>
  <c r="AB435" i="5" s="1"/>
  <c r="T137" i="5"/>
  <c r="U137" i="5" s="1"/>
  <c r="AA744" i="5"/>
  <c r="AB744" i="5" s="1"/>
  <c r="AA750" i="5"/>
  <c r="AB750" i="5" s="1"/>
  <c r="AA148" i="5"/>
  <c r="AB148" i="5" s="1"/>
  <c r="AA566" i="5"/>
  <c r="AB566" i="5" s="1"/>
  <c r="T205" i="5"/>
  <c r="U205" i="5" s="1"/>
  <c r="T711" i="5"/>
  <c r="U711" i="5" s="1"/>
  <c r="AA13" i="5"/>
  <c r="AB13" i="5" s="1"/>
  <c r="AA524" i="5"/>
  <c r="AB524" i="5" s="1"/>
  <c r="AA155" i="5"/>
  <c r="AB155" i="5" s="1"/>
  <c r="T361" i="5"/>
  <c r="U361" i="5" s="1"/>
  <c r="T826" i="5"/>
  <c r="U826" i="5" s="1"/>
  <c r="T166" i="5"/>
  <c r="U166" i="5" s="1"/>
  <c r="T549" i="5"/>
  <c r="U549" i="5" s="1"/>
  <c r="T336" i="5"/>
  <c r="U336" i="5" s="1"/>
  <c r="T727" i="5"/>
  <c r="U727" i="5" s="1"/>
  <c r="T678" i="5"/>
  <c r="U678" i="5" s="1"/>
  <c r="AA900" i="5"/>
  <c r="AB900" i="5" s="1"/>
  <c r="AA891" i="5"/>
  <c r="AB891" i="5" s="1"/>
  <c r="T259" i="5"/>
  <c r="U259" i="5" s="1"/>
  <c r="T871" i="5"/>
  <c r="U871" i="5" s="1"/>
  <c r="T323" i="5"/>
  <c r="U323" i="5" s="1"/>
  <c r="AA570" i="5"/>
  <c r="AB570" i="5" s="1"/>
  <c r="AA576" i="5"/>
  <c r="AB576" i="5" s="1"/>
  <c r="AA595" i="5"/>
  <c r="AB595" i="5" s="1"/>
  <c r="AA893" i="5"/>
  <c r="AB893" i="5" s="1"/>
  <c r="T102" i="5"/>
  <c r="U102" i="5" s="1"/>
  <c r="T858" i="5"/>
  <c r="U858" i="5" s="1"/>
  <c r="T726" i="5"/>
  <c r="U726" i="5" s="1"/>
  <c r="T696" i="5"/>
  <c r="U696" i="5" s="1"/>
  <c r="T222" i="5"/>
  <c r="U222" i="5" s="1"/>
  <c r="T80" i="5"/>
  <c r="U80" i="5" s="1"/>
  <c r="AA285" i="5"/>
  <c r="AB285" i="5" s="1"/>
  <c r="AA64" i="5"/>
  <c r="AB64" i="5" s="1"/>
  <c r="AA932" i="5"/>
  <c r="AB932" i="5" s="1"/>
  <c r="AA469" i="5"/>
  <c r="AB469" i="5" s="1"/>
  <c r="T321" i="5"/>
  <c r="U321" i="5" s="1"/>
  <c r="T139" i="5"/>
  <c r="U139" i="5" s="1"/>
  <c r="T363" i="5"/>
  <c r="U363" i="5" s="1"/>
  <c r="T174" i="5"/>
  <c r="U174" i="5" s="1"/>
  <c r="T428" i="5"/>
  <c r="U428" i="5" s="1"/>
  <c r="T603" i="5"/>
  <c r="U603" i="5" s="1"/>
  <c r="AA515" i="5"/>
  <c r="AB515" i="5" s="1"/>
  <c r="AA195" i="5"/>
  <c r="AB195" i="5" s="1"/>
  <c r="AA283" i="5"/>
  <c r="AB283" i="5" s="1"/>
  <c r="AA968" i="5"/>
  <c r="AB968" i="5" s="1"/>
  <c r="AA544" i="5"/>
  <c r="AB544" i="5" s="1"/>
  <c r="T450" i="5"/>
  <c r="U450" i="5" s="1"/>
  <c r="T228" i="5"/>
  <c r="U228" i="5" s="1"/>
  <c r="T683" i="5"/>
  <c r="U683" i="5" s="1"/>
  <c r="AA221" i="5"/>
  <c r="AB221" i="5" s="1"/>
  <c r="T553" i="5"/>
  <c r="U553" i="5" s="1"/>
  <c r="T992" i="5"/>
  <c r="U992" i="5" s="1"/>
  <c r="T617" i="5"/>
  <c r="U617" i="5" s="1"/>
  <c r="T344" i="5"/>
  <c r="U344" i="5" s="1"/>
  <c r="T425" i="5"/>
  <c r="U425" i="5" s="1"/>
  <c r="T908" i="5"/>
  <c r="U908" i="5" s="1"/>
  <c r="T226" i="5"/>
  <c r="U226" i="5" s="1"/>
  <c r="T44" i="5"/>
  <c r="U44" i="5" s="1"/>
  <c r="AA92" i="5"/>
  <c r="AB92" i="5" s="1"/>
  <c r="AA980" i="5"/>
  <c r="AB980" i="5" s="1"/>
  <c r="AA934" i="5"/>
  <c r="AB934" i="5" s="1"/>
  <c r="AA225" i="5"/>
  <c r="AB225" i="5" s="1"/>
  <c r="AA703" i="5"/>
  <c r="AB703" i="5" s="1"/>
  <c r="AA458" i="5"/>
  <c r="AB458" i="5" s="1"/>
  <c r="AA689" i="5"/>
  <c r="AB689" i="5" s="1"/>
  <c r="AA406" i="5"/>
  <c r="AB406" i="5" s="1"/>
  <c r="AA764" i="5"/>
  <c r="AB764" i="5" s="1"/>
  <c r="AA959" i="5"/>
  <c r="AB959" i="5" s="1"/>
  <c r="AA667" i="5"/>
  <c r="AB667" i="5" s="1"/>
  <c r="AA397" i="5"/>
  <c r="AB397" i="5" s="1"/>
  <c r="AA427" i="5"/>
  <c r="AB427" i="5" s="1"/>
  <c r="AA192" i="5"/>
  <c r="AB192" i="5" s="1"/>
  <c r="T652" i="5"/>
  <c r="U652" i="5" s="1"/>
  <c r="T505" i="5"/>
  <c r="U505" i="5" s="1"/>
  <c r="T714" i="5"/>
  <c r="U714" i="5" s="1"/>
  <c r="T482" i="5"/>
  <c r="U482" i="5" s="1"/>
  <c r="T949" i="5"/>
  <c r="U949" i="5" s="1"/>
  <c r="T774" i="5"/>
  <c r="U774" i="5" s="1"/>
  <c r="T457" i="5"/>
  <c r="U457" i="5" s="1"/>
  <c r="T100" i="5"/>
  <c r="U100" i="5" s="1"/>
  <c r="T936" i="5"/>
  <c r="U936" i="5" s="1"/>
  <c r="T611" i="5"/>
  <c r="U611" i="5" s="1"/>
  <c r="T964" i="5"/>
  <c r="U964" i="5" s="1"/>
  <c r="T286" i="5"/>
  <c r="U286" i="5" s="1"/>
  <c r="T924" i="5"/>
  <c r="U924" i="5" s="1"/>
  <c r="AA752" i="5"/>
  <c r="AB752" i="5" s="1"/>
  <c r="AA231" i="5"/>
  <c r="AB231" i="5" s="1"/>
  <c r="AA353" i="5"/>
  <c r="AB353" i="5" s="1"/>
  <c r="AA852" i="5"/>
  <c r="AB852" i="5" s="1"/>
  <c r="AA523" i="5"/>
  <c r="AB523" i="5" s="1"/>
  <c r="AA422" i="5"/>
  <c r="AB422" i="5" s="1"/>
  <c r="AA799" i="5"/>
  <c r="AB799" i="5" s="1"/>
  <c r="AA756" i="5"/>
  <c r="AB756" i="5" s="1"/>
  <c r="AA201" i="5"/>
  <c r="AB201" i="5" s="1"/>
  <c r="AA408" i="5"/>
  <c r="AB408" i="5" s="1"/>
  <c r="T565" i="5"/>
  <c r="U565" i="5" s="1"/>
  <c r="T438" i="5"/>
  <c r="U438" i="5" s="1"/>
  <c r="T562" i="5"/>
  <c r="U562" i="5" s="1"/>
  <c r="AA586" i="5"/>
  <c r="AB586" i="5" s="1"/>
  <c r="AA74" i="5"/>
  <c r="AB74" i="5" s="1"/>
  <c r="AA778" i="5"/>
  <c r="AB778" i="5" s="1"/>
  <c r="AA41" i="5"/>
  <c r="AB41" i="5" s="1"/>
  <c r="T681" i="5"/>
  <c r="U681" i="5" s="1"/>
  <c r="T357" i="5"/>
  <c r="U357" i="5" s="1"/>
  <c r="T160" i="5"/>
  <c r="U160" i="5" s="1"/>
  <c r="T869" i="5"/>
  <c r="U869" i="5" s="1"/>
  <c r="T971" i="5"/>
  <c r="U971" i="5" s="1"/>
  <c r="T538" i="5"/>
  <c r="U538" i="5" s="1"/>
  <c r="AA452" i="5"/>
  <c r="AB452" i="5" s="1"/>
  <c r="T568" i="5"/>
  <c r="U568" i="5" s="1"/>
  <c r="T824" i="5"/>
  <c r="U824" i="5" s="1"/>
  <c r="T52" i="5"/>
  <c r="U52" i="5" s="1"/>
  <c r="T631" i="5"/>
  <c r="U631" i="5" s="1"/>
  <c r="T830" i="5"/>
  <c r="U830" i="5" s="1"/>
  <c r="T337" i="5"/>
  <c r="U337" i="5" s="1"/>
  <c r="T405" i="5"/>
  <c r="U405" i="5" s="1"/>
  <c r="T127" i="5"/>
  <c r="U127" i="5" s="1"/>
  <c r="T65" i="5"/>
  <c r="U65" i="5" s="1"/>
  <c r="AA119" i="5"/>
  <c r="AB119" i="5" s="1"/>
  <c r="AA256" i="5"/>
  <c r="AB256" i="5" s="1"/>
  <c r="AA809" i="5"/>
  <c r="AB809" i="5" s="1"/>
  <c r="AA550" i="5"/>
  <c r="AB550" i="5" s="1"/>
  <c r="AA140" i="5"/>
  <c r="AB140" i="5" s="1"/>
  <c r="AA682" i="5"/>
  <c r="AB682" i="5" s="1"/>
  <c r="T238" i="5"/>
  <c r="U238" i="5" s="1"/>
  <c r="T477" i="5"/>
  <c r="U477" i="5" s="1"/>
  <c r="T451" i="5"/>
  <c r="U451" i="5" s="1"/>
  <c r="T791" i="5"/>
  <c r="U791" i="5" s="1"/>
  <c r="T864" i="5"/>
  <c r="U864" i="5" s="1"/>
  <c r="T229" i="5"/>
  <c r="U229" i="5" s="1"/>
  <c r="AA240" i="5"/>
  <c r="AB240" i="5" s="1"/>
  <c r="AA419" i="5"/>
  <c r="AB419" i="5" s="1"/>
  <c r="AA965" i="5"/>
  <c r="AB965" i="5" s="1"/>
  <c r="AA963" i="5"/>
  <c r="AB963" i="5" s="1"/>
  <c r="AA906" i="5"/>
  <c r="AB906" i="5" s="1"/>
  <c r="AA572" i="5"/>
  <c r="AB572" i="5" s="1"/>
  <c r="AA372" i="5"/>
  <c r="AB372" i="5" s="1"/>
  <c r="AA455" i="5"/>
  <c r="AB455" i="5" s="1"/>
  <c r="AA443" i="5"/>
  <c r="AB443" i="5" s="1"/>
  <c r="AA648" i="5"/>
  <c r="AB648" i="5" s="1"/>
  <c r="AA58" i="5"/>
  <c r="AB58" i="5" s="1"/>
  <c r="AA151" i="5"/>
  <c r="AB151" i="5" s="1"/>
  <c r="T218" i="5"/>
  <c r="U218" i="5" s="1"/>
  <c r="T288" i="5"/>
  <c r="U288" i="5" s="1"/>
  <c r="T615" i="5"/>
  <c r="U615" i="5" s="1"/>
  <c r="T873" i="5"/>
  <c r="U873" i="5" s="1"/>
  <c r="T409" i="5"/>
  <c r="U409" i="5" s="1"/>
  <c r="AA774" i="5"/>
  <c r="AB774" i="5" s="1"/>
  <c r="AA513" i="5"/>
  <c r="AB513" i="5" s="1"/>
  <c r="AA538" i="5"/>
  <c r="AB538" i="5" s="1"/>
  <c r="T872" i="5"/>
  <c r="U872" i="5" s="1"/>
  <c r="AA867" i="5"/>
  <c r="AB867" i="5" s="1"/>
  <c r="AA896" i="5"/>
  <c r="AB896" i="5" s="1"/>
  <c r="T986" i="5"/>
  <c r="U986" i="5" s="1"/>
  <c r="AA305" i="5"/>
  <c r="AB305" i="5" s="1"/>
  <c r="T158" i="5"/>
  <c r="U158" i="5" s="1"/>
  <c r="AA409" i="5"/>
  <c r="AB409" i="5" s="1"/>
  <c r="T313" i="5"/>
  <c r="U313" i="5" s="1"/>
  <c r="AA935" i="5"/>
  <c r="AB935" i="5" s="1"/>
  <c r="T552" i="5"/>
  <c r="U552" i="5" s="1"/>
  <c r="AA688" i="5"/>
  <c r="AB688" i="5" s="1"/>
  <c r="AA509" i="5"/>
  <c r="AB509" i="5" s="1"/>
  <c r="T492" i="5"/>
  <c r="U492" i="5" s="1"/>
  <c r="AA122" i="5"/>
  <c r="AB122" i="5" s="1"/>
  <c r="AA898" i="5"/>
  <c r="AB898" i="5" s="1"/>
  <c r="T651" i="5"/>
  <c r="U651" i="5" s="1"/>
  <c r="AA492" i="5"/>
  <c r="AB492" i="5" s="1"/>
  <c r="T555" i="5"/>
  <c r="U555" i="5" s="1"/>
  <c r="T373" i="5"/>
  <c r="U373" i="5" s="1"/>
  <c r="AA210" i="5"/>
  <c r="AB210" i="5" s="1"/>
  <c r="AA239" i="5"/>
  <c r="AB239" i="5" s="1"/>
  <c r="AA400" i="5"/>
  <c r="AB400" i="5" s="1"/>
  <c r="T38" i="5"/>
  <c r="U38" i="5" s="1"/>
  <c r="T640" i="5"/>
  <c r="U640" i="5" s="1"/>
  <c r="T742" i="5"/>
  <c r="U742" i="5" s="1"/>
  <c r="T962" i="5"/>
  <c r="U962" i="5" s="1"/>
  <c r="AA661" i="5"/>
  <c r="AB661" i="5" s="1"/>
  <c r="AA555" i="5"/>
  <c r="AB555" i="5" s="1"/>
  <c r="T694" i="5"/>
  <c r="U694" i="5" s="1"/>
  <c r="AA871" i="5"/>
  <c r="AB871" i="5" s="1"/>
  <c r="T410" i="5"/>
  <c r="U410" i="5" s="1"/>
  <c r="T36" i="5"/>
  <c r="U36" i="5" s="1"/>
  <c r="T913" i="5"/>
  <c r="U913" i="5" s="1"/>
  <c r="T441" i="5"/>
  <c r="U441" i="5" s="1"/>
  <c r="T886" i="5"/>
  <c r="U886" i="5" s="1"/>
  <c r="AA596" i="5"/>
  <c r="AB596" i="5" s="1"/>
  <c r="AA93" i="5"/>
  <c r="AB93" i="5" s="1"/>
  <c r="T741" i="5"/>
  <c r="U741" i="5" s="1"/>
  <c r="T510" i="5"/>
  <c r="U510" i="5" s="1"/>
  <c r="AA105" i="5"/>
  <c r="AB105" i="5" s="1"/>
  <c r="T168" i="5"/>
  <c r="U168" i="5" s="1"/>
  <c r="AA131" i="5"/>
  <c r="AB131" i="5" s="1"/>
  <c r="T975" i="5"/>
  <c r="U975" i="5" s="1"/>
  <c r="AA488" i="5"/>
  <c r="AB488" i="5" s="1"/>
  <c r="T769" i="5"/>
  <c r="U769" i="5" s="1"/>
  <c r="T704" i="5"/>
  <c r="U704" i="5" s="1"/>
  <c r="T17" i="5"/>
  <c r="U17" i="5" s="1"/>
  <c r="T639" i="5"/>
  <c r="U639" i="5" s="1"/>
  <c r="AA594" i="5"/>
  <c r="AB594" i="5" s="1"/>
  <c r="T854" i="5"/>
  <c r="U854" i="5" s="1"/>
  <c r="AA643" i="5"/>
  <c r="AB643" i="5" s="1"/>
  <c r="AA205" i="5"/>
  <c r="AB205" i="5" s="1"/>
  <c r="T770" i="5"/>
  <c r="U770" i="5" s="1"/>
  <c r="T838" i="5"/>
  <c r="U838" i="5" s="1"/>
  <c r="T535" i="5"/>
  <c r="U535" i="5" s="1"/>
  <c r="T720" i="5"/>
  <c r="U720" i="5" s="1"/>
  <c r="T988" i="5"/>
  <c r="U988" i="5" s="1"/>
  <c r="T43" i="5"/>
  <c r="U43" i="5" s="1"/>
  <c r="AA794" i="5"/>
  <c r="AB794" i="5" s="1"/>
  <c r="T309" i="5"/>
  <c r="U309" i="5" s="1"/>
  <c r="AA589" i="5"/>
  <c r="AB589" i="5" s="1"/>
  <c r="T849" i="5"/>
  <c r="U849" i="5" s="1"/>
  <c r="AA664" i="5"/>
  <c r="AB664" i="5" s="1"/>
  <c r="AA462" i="5"/>
  <c r="AB462" i="5" s="1"/>
  <c r="T211" i="5"/>
  <c r="U211" i="5" s="1"/>
  <c r="AA591" i="5"/>
  <c r="AB591" i="5" s="1"/>
  <c r="T4" i="5"/>
  <c r="U4" i="5" s="1"/>
  <c r="T979" i="5"/>
  <c r="U979" i="5" s="1"/>
  <c r="AA468" i="5"/>
  <c r="AB468" i="5" s="1"/>
  <c r="AA749" i="5"/>
  <c r="AB749" i="5" s="1"/>
  <c r="T921" i="5"/>
  <c r="U921" i="5" s="1"/>
  <c r="AA315" i="5"/>
  <c r="AB315" i="5" s="1"/>
  <c r="T304" i="5"/>
  <c r="U304" i="5" s="1"/>
  <c r="T592" i="5"/>
  <c r="U592" i="5" s="1"/>
  <c r="AA875" i="5"/>
  <c r="AB875" i="5" s="1"/>
  <c r="T656" i="5"/>
  <c r="U656" i="5" s="1"/>
  <c r="T844" i="5"/>
  <c r="U844" i="5" s="1"/>
  <c r="AA197" i="5"/>
  <c r="AB197" i="5" s="1"/>
  <c r="T341" i="5"/>
  <c r="U341" i="5" s="1"/>
  <c r="AA535" i="5"/>
  <c r="AB535" i="5" s="1"/>
  <c r="T816" i="5"/>
  <c r="U816" i="5" s="1"/>
  <c r="T733" i="5"/>
  <c r="U733" i="5" s="1"/>
  <c r="T480" i="5"/>
  <c r="U480" i="5" s="1"/>
  <c r="AA830" i="5"/>
  <c r="AB830" i="5" s="1"/>
  <c r="T51" i="5"/>
  <c r="U51" i="5" s="1"/>
  <c r="T79" i="5"/>
  <c r="U79" i="5" s="1"/>
  <c r="AA17" i="5"/>
  <c r="AB17" i="5" s="1"/>
  <c r="T320" i="5"/>
  <c r="U320" i="5" s="1"/>
  <c r="AA567" i="5"/>
  <c r="AB567" i="5" s="1"/>
  <c r="AA997" i="5"/>
  <c r="AB997" i="5" s="1"/>
  <c r="T484" i="5"/>
  <c r="U484" i="5" s="1"/>
  <c r="T700" i="5"/>
  <c r="U700" i="5" s="1"/>
  <c r="AA249" i="5"/>
  <c r="AB249" i="5" s="1"/>
  <c r="AA553" i="5"/>
  <c r="AB553" i="5" s="1"/>
  <c r="AA940" i="5"/>
  <c r="AB940" i="5" s="1"/>
  <c r="AA992" i="5"/>
  <c r="AB992" i="5" s="1"/>
  <c r="AA200" i="5"/>
  <c r="AB200" i="5" s="1"/>
  <c r="AA97" i="5"/>
  <c r="AB97" i="5" s="1"/>
  <c r="AA25" i="5"/>
  <c r="AB25" i="5" s="1"/>
  <c r="T884" i="5"/>
  <c r="AA436" i="5"/>
  <c r="AB436" i="5" s="1"/>
  <c r="AA52" i="5"/>
  <c r="AB52" i="5" s="1"/>
  <c r="AA617" i="5"/>
  <c r="AB617" i="5" s="1"/>
  <c r="AA575" i="5"/>
  <c r="AB575" i="5" s="1"/>
  <c r="AA938" i="5"/>
  <c r="AB938" i="5" s="1"/>
  <c r="AA990" i="5"/>
  <c r="AB990" i="5" s="1"/>
  <c r="AA55" i="5"/>
  <c r="AB55" i="5" s="1"/>
  <c r="T345" i="5"/>
  <c r="U345" i="5" s="1"/>
  <c r="AA107" i="5"/>
  <c r="AB107" i="5" s="1"/>
  <c r="AA598" i="5"/>
  <c r="AB598" i="5" s="1"/>
  <c r="T685" i="5"/>
  <c r="U685" i="5" s="1"/>
  <c r="T997" i="5"/>
  <c r="U997" i="5" s="1"/>
  <c r="T747" i="5"/>
  <c r="U747" i="5" s="1"/>
  <c r="T317" i="5"/>
  <c r="U317" i="5" s="1"/>
  <c r="T914" i="5"/>
  <c r="U914" i="5" s="1"/>
  <c r="T122" i="5"/>
  <c r="U122" i="5" s="1"/>
  <c r="T66" i="5"/>
  <c r="U66" i="5" s="1"/>
  <c r="AA915" i="5"/>
  <c r="AB915" i="5" s="1"/>
  <c r="T386" i="5"/>
  <c r="U386" i="5" s="1"/>
  <c r="AA620" i="5"/>
  <c r="AB620" i="5" s="1"/>
  <c r="AA245" i="5"/>
  <c r="AB245" i="5" s="1"/>
  <c r="AA587" i="5"/>
  <c r="AB587" i="5" s="1"/>
  <c r="AA913" i="5"/>
  <c r="AB913" i="5" s="1"/>
  <c r="AA751" i="5"/>
  <c r="AB751" i="5" s="1"/>
  <c r="AA404" i="5"/>
  <c r="AB404" i="5" s="1"/>
  <c r="AA740" i="5"/>
  <c r="AB740" i="5" s="1"/>
  <c r="AA394" i="5"/>
  <c r="AB394" i="5" s="1"/>
  <c r="AA476" i="5"/>
  <c r="AB476" i="5" s="1"/>
  <c r="AA679" i="5"/>
  <c r="AB679" i="5" s="1"/>
  <c r="AA986" i="5"/>
  <c r="AB986" i="5" s="1"/>
  <c r="AA497" i="5"/>
  <c r="AB497" i="5" s="1"/>
  <c r="AA680" i="5"/>
  <c r="AB680" i="5" s="1"/>
  <c r="AA411" i="5"/>
  <c r="AB411" i="5" s="1"/>
  <c r="AA885" i="5"/>
  <c r="AB885" i="5" s="1"/>
  <c r="AA441" i="5"/>
  <c r="AB441" i="5" s="1"/>
  <c r="AA188" i="5"/>
  <c r="AB188" i="5" s="1"/>
  <c r="AA267" i="5"/>
  <c r="AB267" i="5" s="1"/>
  <c r="AA503" i="5"/>
  <c r="AB503" i="5" s="1"/>
  <c r="AA84" i="5"/>
  <c r="AB84" i="5" s="1"/>
  <c r="AA171" i="5"/>
  <c r="AB171" i="5" s="1"/>
  <c r="AA671" i="5"/>
  <c r="AB671" i="5" s="1"/>
  <c r="AA69" i="5"/>
  <c r="AB69" i="5" s="1"/>
  <c r="AA964" i="5"/>
  <c r="AB964" i="5" s="1"/>
  <c r="AA651" i="5"/>
  <c r="AB651" i="5" s="1"/>
  <c r="AA438" i="5"/>
  <c r="AB438" i="5" s="1"/>
  <c r="T84" i="5"/>
  <c r="U84" i="5" s="1"/>
  <c r="T254" i="5"/>
  <c r="U254" i="5" s="1"/>
  <c r="T399" i="5"/>
  <c r="U399" i="5" s="1"/>
  <c r="AA258" i="5"/>
  <c r="AB258" i="5" s="1"/>
  <c r="T643" i="5"/>
  <c r="U643" i="5" s="1"/>
  <c r="AA421" i="5"/>
  <c r="AB421" i="5" s="1"/>
  <c r="AA223" i="5"/>
  <c r="AB223" i="5" s="1"/>
  <c r="AA153" i="5"/>
  <c r="AB153" i="5" s="1"/>
  <c r="AA253" i="5"/>
  <c r="AB253" i="5" s="1"/>
  <c r="T214" i="5"/>
  <c r="U214" i="5" s="1"/>
  <c r="AA928" i="5"/>
  <c r="AB928" i="5" s="1"/>
  <c r="AA222" i="5"/>
  <c r="AB222" i="5" s="1"/>
  <c r="AA89" i="5"/>
  <c r="AB89" i="5" s="1"/>
  <c r="T981" i="5"/>
  <c r="U981" i="5" s="1"/>
  <c r="AA108" i="5"/>
  <c r="AB108" i="5" s="1"/>
  <c r="AA949" i="5"/>
  <c r="AB949" i="5" s="1"/>
  <c r="T297" i="5"/>
  <c r="U297" i="5" s="1"/>
  <c r="AA673" i="5"/>
  <c r="AB673" i="5" s="1"/>
  <c r="AA580" i="5"/>
  <c r="AB580" i="5" s="1"/>
  <c r="AA499" i="5"/>
  <c r="AB499" i="5" s="1"/>
  <c r="AA952" i="5"/>
  <c r="AB952" i="5" s="1"/>
  <c r="AA869" i="5"/>
  <c r="AB869" i="5" s="1"/>
  <c r="AA911" i="5"/>
  <c r="AB911" i="5" s="1"/>
  <c r="AA451" i="5"/>
  <c r="AB451" i="5" s="1"/>
  <c r="AA254" i="5"/>
  <c r="AB254" i="5" s="1"/>
  <c r="AA731" i="5"/>
  <c r="AB731" i="5" s="1"/>
  <c r="AA685" i="5"/>
  <c r="AB685" i="5" s="1"/>
  <c r="AA769" i="5"/>
  <c r="AB769" i="5" s="1"/>
  <c r="AA933" i="5"/>
  <c r="AB933" i="5" s="1"/>
  <c r="AA62" i="5"/>
  <c r="AB62" i="5" s="1"/>
  <c r="AA3" i="5"/>
  <c r="AB3" i="5" s="1"/>
  <c r="AA918" i="5"/>
  <c r="AB918" i="5" s="1"/>
  <c r="AA656" i="5"/>
  <c r="AB656" i="5" s="1"/>
  <c r="AA541" i="5"/>
  <c r="AB541" i="5" s="1"/>
  <c r="T706" i="5"/>
  <c r="U706" i="5" s="1"/>
  <c r="AA720" i="5"/>
  <c r="AB720" i="5" s="1"/>
  <c r="T324" i="5"/>
  <c r="U324" i="5" s="1"/>
  <c r="AA405" i="5"/>
  <c r="AB405" i="5" s="1"/>
  <c r="AA109" i="5"/>
  <c r="AB109" i="5" s="1"/>
  <c r="AA111" i="5"/>
  <c r="AB111" i="5" s="1"/>
  <c r="AA475" i="5"/>
  <c r="AB475" i="5" s="1"/>
  <c r="AA344" i="5"/>
  <c r="AB344" i="5" s="1"/>
  <c r="AA361" i="5"/>
  <c r="AB361" i="5" s="1"/>
  <c r="AA291" i="5"/>
  <c r="AB291" i="5" s="1"/>
  <c r="AA826" i="5"/>
  <c r="AB826" i="5" s="1"/>
  <c r="AA639" i="5"/>
  <c r="AB639" i="5" s="1"/>
  <c r="T915" i="5"/>
  <c r="U915" i="5" s="1"/>
  <c r="AA264" i="5"/>
  <c r="AB264" i="5" s="1"/>
  <c r="AA139" i="5"/>
  <c r="AB139" i="5" s="1"/>
  <c r="AA561" i="5"/>
  <c r="AB561" i="5" s="1"/>
  <c r="AA921" i="5"/>
  <c r="AB921" i="5" s="1"/>
  <c r="AA439" i="5"/>
  <c r="AB439" i="5" s="1"/>
  <c r="AA833" i="5"/>
  <c r="AB833" i="5" s="1"/>
  <c r="T418" i="5"/>
  <c r="U418" i="5" s="1"/>
  <c r="AA982" i="5"/>
  <c r="AB982" i="5" s="1"/>
  <c r="AA663" i="5"/>
  <c r="AB663" i="5" s="1"/>
  <c r="AA460" i="5"/>
  <c r="AB460" i="5" s="1"/>
  <c r="AA8" i="5"/>
  <c r="AB8" i="5" s="1"/>
  <c r="AA477" i="5"/>
  <c r="AB477" i="5" s="1"/>
  <c r="AA125" i="5"/>
  <c r="AB125" i="5" s="1"/>
  <c r="AA864" i="5"/>
  <c r="AB864" i="5" s="1"/>
  <c r="AA711" i="5"/>
  <c r="AB711" i="5" s="1"/>
  <c r="AA229" i="5"/>
  <c r="AB229" i="5" s="1"/>
  <c r="AA189" i="5"/>
  <c r="AB189" i="5" s="1"/>
  <c r="AA930" i="5"/>
  <c r="AB930" i="5" s="1"/>
  <c r="AA698" i="5"/>
  <c r="AB698" i="5" s="1"/>
  <c r="T937" i="5"/>
  <c r="U937" i="5" s="1"/>
  <c r="AA560" i="5"/>
  <c r="AB560" i="5" s="1"/>
  <c r="AA753" i="5"/>
  <c r="AB753" i="5" s="1"/>
  <c r="AA429" i="5"/>
  <c r="AB429" i="5" s="1"/>
  <c r="T629" i="5"/>
  <c r="U629" i="5" s="1"/>
  <c r="AA837" i="5"/>
  <c r="AB837" i="5" s="1"/>
  <c r="AA545" i="5"/>
  <c r="AB545" i="5" s="1"/>
  <c r="AA399" i="5"/>
  <c r="AB399" i="5" s="1"/>
  <c r="AA532" i="5"/>
  <c r="AB532" i="5" s="1"/>
  <c r="AA383" i="5"/>
  <c r="AB383" i="5" s="1"/>
  <c r="AA574" i="5"/>
  <c r="AB574" i="5" s="1"/>
  <c r="T27" i="5"/>
  <c r="U27" i="5" s="1"/>
  <c r="AA945" i="5"/>
  <c r="AB945" i="5" s="1"/>
  <c r="AA642" i="5"/>
  <c r="AB642" i="5" s="1"/>
  <c r="AA747" i="5"/>
  <c r="AB747" i="5" s="1"/>
  <c r="AA48" i="5"/>
  <c r="AB48" i="5" s="1"/>
  <c r="AA11" i="5"/>
  <c r="AB11" i="5" s="1"/>
  <c r="AA352" i="5"/>
  <c r="AB352" i="5" s="1"/>
  <c r="AA317" i="5"/>
  <c r="AB317" i="5" s="1"/>
  <c r="T847" i="5"/>
  <c r="U847" i="5" s="1"/>
  <c r="AA991" i="5"/>
  <c r="AB991" i="5" s="1"/>
  <c r="T269" i="5"/>
  <c r="U269" i="5" s="1"/>
  <c r="AA522" i="5"/>
  <c r="AB522" i="5" s="1"/>
  <c r="AA645" i="5"/>
  <c r="AB645" i="5" s="1"/>
  <c r="AA482" i="5"/>
  <c r="AB482" i="5" s="1"/>
  <c r="AA463" i="5"/>
  <c r="AB463" i="5" s="1"/>
  <c r="AA324" i="5"/>
  <c r="AB324" i="5" s="1"/>
  <c r="T343" i="5"/>
  <c r="U343" i="5" s="1"/>
  <c r="AA582" i="5"/>
  <c r="AB582" i="5" s="1"/>
  <c r="T145" i="5"/>
  <c r="U145" i="5" s="1"/>
  <c r="AA709" i="5"/>
  <c r="AB709" i="5" s="1"/>
  <c r="AA320" i="5"/>
  <c r="AB320" i="5" s="1"/>
  <c r="AA117" i="5"/>
  <c r="AB117" i="5" s="1"/>
  <c r="T352" i="5"/>
  <c r="U352" i="5" s="1"/>
  <c r="AA238" i="5"/>
  <c r="AB238" i="5" s="1"/>
  <c r="AA142" i="5"/>
  <c r="AB142" i="5" s="1"/>
  <c r="AA413" i="5"/>
  <c r="AB413" i="5" s="1"/>
  <c r="AA950" i="5"/>
  <c r="AB950" i="5" s="1"/>
  <c r="AA593" i="5"/>
  <c r="AB593" i="5" s="1"/>
  <c r="AA45" i="5"/>
  <c r="AB45" i="5" s="1"/>
  <c r="AA7" i="5"/>
  <c r="AB7" i="5" s="1"/>
  <c r="AA552" i="5"/>
  <c r="AB552" i="5" s="1"/>
  <c r="AA718" i="5"/>
  <c r="AB718" i="5" s="1"/>
  <c r="AA273" i="5"/>
  <c r="AB273" i="5" s="1"/>
  <c r="AA820" i="5"/>
  <c r="AB820" i="5" s="1"/>
  <c r="AA184" i="5"/>
  <c r="AB184" i="5" s="1"/>
  <c r="AA288" i="5"/>
  <c r="AB288" i="5" s="1"/>
  <c r="AA846" i="5"/>
  <c r="AB846" i="5" s="1"/>
  <c r="AA824" i="5"/>
  <c r="AB824" i="5" s="1"/>
  <c r="AA908" i="5"/>
  <c r="AB908" i="5" s="1"/>
  <c r="AA660" i="5"/>
  <c r="AB660" i="5" s="1"/>
  <c r="AA825" i="5"/>
  <c r="AB825" i="5" s="1"/>
  <c r="AA956" i="5"/>
  <c r="AB956" i="5" s="1"/>
  <c r="T86" i="5"/>
  <c r="U86" i="5" s="1"/>
  <c r="AA700" i="5"/>
  <c r="AB700" i="5" s="1"/>
  <c r="AA736" i="5"/>
  <c r="AB736" i="5" s="1"/>
  <c r="AA390" i="5"/>
  <c r="AB390" i="5" s="1"/>
  <c r="AA527" i="5"/>
  <c r="AB527" i="5" s="1"/>
  <c r="T98" i="5"/>
  <c r="U98" i="5" s="1"/>
  <c r="AA323" i="5"/>
  <c r="AB323" i="5" s="1"/>
  <c r="AA180" i="5"/>
  <c r="AB180" i="5" s="1"/>
  <c r="AA542" i="5"/>
  <c r="AB542" i="5" s="1"/>
  <c r="AA464" i="5"/>
  <c r="AB464" i="5" s="1"/>
  <c r="AA683" i="5"/>
  <c r="AB683" i="5" s="1"/>
  <c r="AA658" i="5"/>
  <c r="AB658" i="5" s="1"/>
  <c r="AA873" i="5"/>
  <c r="AB873" i="5" s="1"/>
  <c r="AA909" i="5"/>
  <c r="AB909" i="5" s="1"/>
  <c r="AA489" i="5"/>
  <c r="AB489" i="5" s="1"/>
  <c r="AA914" i="5"/>
  <c r="AB914" i="5" s="1"/>
  <c r="AA739" i="5"/>
  <c r="AB739" i="5" s="1"/>
  <c r="AA134" i="5"/>
  <c r="AB134" i="5" s="1"/>
  <c r="AA937" i="5"/>
  <c r="AB937" i="5" s="1"/>
  <c r="U417" i="5"/>
  <c r="AA114" i="5"/>
  <c r="AB114" i="5" s="1"/>
  <c r="AA321" i="5"/>
  <c r="AB321" i="5" s="1"/>
  <c r="AA158" i="5"/>
  <c r="AB158" i="5" s="1"/>
  <c r="AA407" i="5"/>
  <c r="AB407" i="5" s="1"/>
  <c r="AA156" i="5"/>
  <c r="AB156" i="5" s="1"/>
  <c r="AA166" i="5"/>
  <c r="AB166" i="5" s="1"/>
  <c r="AA263" i="5"/>
  <c r="AB263" i="5" s="1"/>
  <c r="AA141" i="5"/>
  <c r="AB141" i="5" s="1"/>
  <c r="AA356" i="5"/>
  <c r="AB356" i="5" s="1"/>
  <c r="AA624" i="5"/>
  <c r="AB624" i="5" s="1"/>
  <c r="AA118" i="5"/>
  <c r="AB118" i="5" s="1"/>
  <c r="AA395" i="5"/>
  <c r="AB395" i="5" s="1"/>
  <c r="AA387" i="5"/>
  <c r="AB387" i="5" s="1"/>
  <c r="AA342" i="5"/>
  <c r="AB342" i="5" s="1"/>
  <c r="AA605" i="5"/>
  <c r="AB605" i="5" s="1"/>
  <c r="AA135" i="5"/>
  <c r="AB135" i="5" s="1"/>
  <c r="AA91" i="5"/>
  <c r="AB91" i="5" s="1"/>
  <c r="AA78" i="5"/>
  <c r="AB78" i="5" s="1"/>
  <c r="AA349" i="5"/>
  <c r="AB349" i="5" s="1"/>
  <c r="AA369" i="5"/>
  <c r="AB369" i="5" s="1"/>
  <c r="AA791" i="5"/>
  <c r="AB791" i="5" s="1"/>
  <c r="AA868" i="5"/>
  <c r="AB868" i="5" s="1"/>
  <c r="AA728" i="5"/>
  <c r="AB728" i="5" s="1"/>
  <c r="AA866" i="5"/>
  <c r="AB866" i="5" s="1"/>
  <c r="AA549" i="5"/>
  <c r="AB549" i="5" s="1"/>
  <c r="AA954" i="5"/>
  <c r="AB954" i="5" s="1"/>
  <c r="AA962" i="5"/>
  <c r="AB962" i="5" s="1"/>
  <c r="AA546" i="5"/>
  <c r="AB546" i="5" s="1"/>
  <c r="AA678" i="5"/>
  <c r="AB678" i="5" s="1"/>
  <c r="AA508" i="5"/>
  <c r="AB508" i="5" s="1"/>
  <c r="AA343" i="5"/>
  <c r="AB343" i="5" s="1"/>
  <c r="AA823" i="5"/>
  <c r="AB823" i="5" s="1"/>
  <c r="AA836" i="5"/>
  <c r="AB836" i="5" s="1"/>
  <c r="AA588" i="5"/>
  <c r="AB588" i="5" s="1"/>
  <c r="AA681" i="5"/>
  <c r="AB681" i="5" s="1"/>
  <c r="AA883" i="5"/>
  <c r="AB883" i="5" s="1"/>
  <c r="AA939" i="5"/>
  <c r="AB939" i="5" s="1"/>
  <c r="AA480" i="5"/>
  <c r="AB480" i="5" s="1"/>
  <c r="AA929" i="5"/>
  <c r="AB929" i="5" s="1"/>
  <c r="AA293" i="5"/>
  <c r="AB293" i="5" s="1"/>
  <c r="AA819" i="5"/>
  <c r="AB819" i="5" s="1"/>
  <c r="AA203" i="5"/>
  <c r="AB203" i="5" s="1"/>
  <c r="AA347" i="5"/>
  <c r="AB347" i="5" s="1"/>
  <c r="AA36" i="5"/>
  <c r="AB36" i="5" s="1"/>
  <c r="AA902" i="5"/>
  <c r="AB902" i="5" s="1"/>
  <c r="AA715" i="5"/>
  <c r="AB715" i="5" s="1"/>
  <c r="AA266" i="5"/>
  <c r="AB266" i="5" s="1"/>
  <c r="AA420" i="5"/>
  <c r="AB420" i="5" s="1"/>
  <c r="AA762" i="5"/>
  <c r="AB762" i="5" s="1"/>
  <c r="AA662" i="5"/>
  <c r="AB662" i="5" s="1"/>
  <c r="AA226" i="5"/>
  <c r="AB226" i="5" s="1"/>
  <c r="AA540" i="5"/>
  <c r="AB540" i="5" s="1"/>
  <c r="AA434" i="5"/>
  <c r="AB434" i="5" s="1"/>
  <c r="AA562" i="5"/>
  <c r="AB562" i="5" s="1"/>
  <c r="AA65" i="5"/>
  <c r="AB65" i="5" s="1"/>
  <c r="AA259" i="5"/>
  <c r="AB259" i="5" s="1"/>
  <c r="AA357" i="5"/>
  <c r="AB357" i="5" s="1"/>
  <c r="AA363" i="5"/>
  <c r="AB363" i="5" s="1"/>
  <c r="AA281" i="5"/>
  <c r="AB281" i="5" s="1"/>
  <c r="AA328" i="5"/>
  <c r="AB328" i="5" s="1"/>
  <c r="T883" i="5"/>
  <c r="U883" i="5" s="1"/>
  <c r="AA456" i="5"/>
  <c r="AB456" i="5" s="1"/>
  <c r="AA652" i="5"/>
  <c r="AB652" i="5" s="1"/>
  <c r="AA100" i="5"/>
  <c r="AB100" i="5" s="1"/>
  <c r="AA987" i="5"/>
  <c r="AB987" i="5" s="1"/>
  <c r="AA341" i="5"/>
  <c r="AB341" i="5" s="1"/>
  <c r="AA228" i="5"/>
  <c r="AB228" i="5" s="1"/>
  <c r="AA919" i="5"/>
  <c r="AB919" i="5" s="1"/>
  <c r="AA534" i="5"/>
  <c r="AB534" i="5" s="1"/>
  <c r="AA565" i="5"/>
  <c r="AB565" i="5" s="1"/>
  <c r="AA4" i="5"/>
  <c r="AB4" i="5" s="1"/>
  <c r="AA526" i="5"/>
  <c r="AB526" i="5" s="1"/>
  <c r="AA760" i="5"/>
  <c r="AB760" i="5" s="1"/>
  <c r="T712" i="5"/>
  <c r="U712" i="5" s="1"/>
  <c r="AA730" i="5"/>
  <c r="AB730" i="5" s="1"/>
  <c r="AA977" i="5"/>
  <c r="AB977" i="5" s="1"/>
  <c r="AA947" i="5"/>
  <c r="AB947" i="5" s="1"/>
  <c r="AA861" i="5"/>
  <c r="AB861" i="5" s="1"/>
  <c r="AA425" i="5"/>
  <c r="AB425" i="5" s="1"/>
  <c r="AA789" i="5"/>
  <c r="AB789" i="5" s="1"/>
  <c r="AA792" i="5"/>
  <c r="AB792" i="5" s="1"/>
  <c r="AA87" i="5"/>
  <c r="AB87" i="5" s="1"/>
  <c r="AA275" i="5"/>
  <c r="AB275" i="5" s="1"/>
  <c r="AA533" i="5"/>
  <c r="AB533" i="5" s="1"/>
  <c r="AA666" i="5"/>
  <c r="AB666" i="5" s="1"/>
  <c r="T350" i="5"/>
  <c r="U350" i="5" s="1"/>
  <c r="T698" i="5"/>
  <c r="U698" i="5" s="1"/>
  <c r="AA568" i="5"/>
  <c r="AB568" i="5" s="1"/>
  <c r="AA486" i="5"/>
  <c r="AB486" i="5" s="1"/>
  <c r="AA465" i="5"/>
  <c r="AB465" i="5" s="1"/>
  <c r="AA402" i="5"/>
  <c r="AB402" i="5" s="1"/>
  <c r="AA332" i="5"/>
  <c r="AB332" i="5" s="1"/>
  <c r="AA270" i="5"/>
  <c r="AB270" i="5" s="1"/>
  <c r="AA786" i="5"/>
  <c r="AB786" i="5" s="1"/>
  <c r="AA398" i="5"/>
  <c r="AB398" i="5" s="1"/>
  <c r="AA85" i="5"/>
  <c r="AB85" i="5" s="1"/>
  <c r="AA665" i="5"/>
  <c r="AB665" i="5" s="1"/>
  <c r="AA865" i="5"/>
  <c r="AB865" i="5" s="1"/>
  <c r="AA308" i="5"/>
  <c r="AB308" i="5" s="1"/>
  <c r="AA309" i="5"/>
  <c r="AB309" i="5" s="1"/>
  <c r="AA543" i="5"/>
  <c r="AB543" i="5" s="1"/>
  <c r="AA584" i="5"/>
  <c r="AB584" i="5" s="1"/>
  <c r="AA280" i="5"/>
  <c r="AB280" i="5" s="1"/>
  <c r="AA849" i="5"/>
  <c r="AB849" i="5" s="1"/>
  <c r="AA557" i="5"/>
  <c r="AB557" i="5" s="1"/>
  <c r="AA805" i="5"/>
  <c r="AB805" i="5" s="1"/>
  <c r="AA608" i="5"/>
  <c r="AB608" i="5" s="1"/>
  <c r="AA727" i="5"/>
  <c r="AB727" i="5" s="1"/>
  <c r="AA286" i="5"/>
  <c r="AB286" i="5" s="1"/>
  <c r="AA96" i="5"/>
  <c r="AB96" i="5" s="1"/>
  <c r="AA776" i="5"/>
  <c r="AB776" i="5" s="1"/>
  <c r="AA173" i="5"/>
  <c r="AB173" i="5" s="1"/>
  <c r="AA53" i="5"/>
  <c r="AB53" i="5" s="1"/>
  <c r="AA854" i="5"/>
  <c r="AB854" i="5" s="1"/>
  <c r="AA646" i="5"/>
  <c r="AB646" i="5" s="1"/>
  <c r="AA1001" i="5"/>
  <c r="AB1001" i="5" s="1"/>
  <c r="AA354" i="5"/>
  <c r="AB354" i="5" s="1"/>
  <c r="AA362" i="5"/>
  <c r="AB362" i="5" s="1"/>
  <c r="AA473" i="5"/>
  <c r="AB473" i="5" s="1"/>
  <c r="T541" i="5"/>
  <c r="U541" i="5" s="1"/>
  <c r="AA706" i="5"/>
  <c r="AB706" i="5" s="1"/>
  <c r="AA981" i="5"/>
  <c r="AB981" i="5" s="1"/>
  <c r="AA457" i="5"/>
  <c r="AB457" i="5" s="1"/>
  <c r="AA942" i="5"/>
  <c r="AB942" i="5" s="1"/>
  <c r="AA564" i="5"/>
  <c r="AB564" i="5" s="1"/>
  <c r="AA983" i="5"/>
  <c r="AB983" i="5" s="1"/>
  <c r="AA431" i="5"/>
  <c r="AB431" i="5" s="1"/>
  <c r="AA502" i="5"/>
  <c r="AB502" i="5" s="1"/>
  <c r="AA611" i="5"/>
  <c r="AB611" i="5" s="1"/>
  <c r="AA694" i="5"/>
  <c r="AB694" i="5" s="1"/>
  <c r="AA630" i="5"/>
  <c r="AB630" i="5" s="1"/>
  <c r="AA788" i="5"/>
  <c r="AB788" i="5" s="1"/>
  <c r="AA370" i="5"/>
  <c r="AB370" i="5" s="1"/>
  <c r="AA215" i="5"/>
  <c r="AB215" i="5" s="1"/>
  <c r="AA271" i="5"/>
  <c r="AB271" i="5" s="1"/>
  <c r="AA471" i="5"/>
  <c r="AB471" i="5" s="1"/>
  <c r="AA243" i="5"/>
  <c r="AB243" i="5" s="1"/>
  <c r="AA346" i="5"/>
  <c r="AB346" i="5" s="1"/>
  <c r="AA146" i="5"/>
  <c r="AB146" i="5" s="1"/>
  <c r="AA655" i="5"/>
  <c r="AB655" i="5" s="1"/>
  <c r="AA290" i="5"/>
  <c r="AB290" i="5" s="1"/>
  <c r="AA966" i="5"/>
  <c r="AB966" i="5" s="1"/>
  <c r="AA230" i="5"/>
  <c r="AB230" i="5" s="1"/>
  <c r="AA44" i="5"/>
  <c r="AB44" i="5" s="1"/>
  <c r="AA704" i="5"/>
  <c r="AB704" i="5" s="1"/>
  <c r="AA705" i="5"/>
  <c r="AB705" i="5" s="1"/>
  <c r="AA297" i="5"/>
  <c r="AB297" i="5" s="1"/>
  <c r="AA506" i="5"/>
  <c r="AB506" i="5" s="1"/>
  <c r="T580" i="5"/>
  <c r="U580" i="5" s="1"/>
  <c r="AA33" i="5"/>
  <c r="AB33" i="5" s="1"/>
  <c r="AA710" i="5"/>
  <c r="AB710" i="5" s="1"/>
  <c r="AA75" i="5"/>
  <c r="AB75" i="5" s="1"/>
  <c r="AA298" i="5"/>
  <c r="AB298" i="5" s="1"/>
  <c r="AA984" i="5"/>
  <c r="AB984" i="5" s="1"/>
  <c r="AA926" i="5"/>
  <c r="AB926" i="5" s="1"/>
  <c r="AA979" i="5"/>
  <c r="AB979" i="5" s="1"/>
  <c r="AA276" i="5"/>
  <c r="AB276" i="5" s="1"/>
  <c r="AA112" i="5"/>
  <c r="AB112" i="5" s="1"/>
  <c r="AA971" i="5"/>
  <c r="AB971" i="5" s="1"/>
  <c r="AA675" i="5"/>
  <c r="AB675" i="5" s="1"/>
  <c r="AA641" i="5"/>
  <c r="AB641" i="5" s="1"/>
  <c r="AA51" i="5"/>
  <c r="AB51" i="5" s="1"/>
  <c r="AA446" i="5"/>
  <c r="AB446" i="5" s="1"/>
  <c r="AA396" i="5"/>
  <c r="AB396" i="5" s="1"/>
  <c r="AA790" i="5"/>
  <c r="AB790" i="5" s="1"/>
  <c r="AA94" i="5"/>
  <c r="AB94" i="5" s="1"/>
  <c r="T120" i="5"/>
  <c r="U120" i="5" s="1"/>
  <c r="AA232" i="5"/>
  <c r="AB232" i="5" s="1"/>
  <c r="AA772" i="5"/>
  <c r="AB772" i="5" s="1"/>
  <c r="AA416" i="5"/>
  <c r="AB416" i="5" s="1"/>
  <c r="AA851" i="5"/>
  <c r="AB851" i="5" s="1"/>
  <c r="AA313" i="5"/>
  <c r="AB313" i="5" s="1"/>
  <c r="AA365" i="5"/>
  <c r="AB365" i="5" s="1"/>
  <c r="AA350" i="5"/>
  <c r="AB350" i="5" s="1"/>
  <c r="AA653" i="5"/>
  <c r="AB653" i="5" s="1"/>
  <c r="AA886" i="5"/>
  <c r="AB886" i="5" s="1"/>
  <c r="AA536" i="5"/>
  <c r="AB536" i="5" s="1"/>
  <c r="AA467" i="5"/>
  <c r="AB467" i="5" s="1"/>
  <c r="AA923" i="5"/>
  <c r="AB923" i="5" s="1"/>
  <c r="AA302" i="5"/>
  <c r="AB302" i="5" s="1"/>
  <c r="AA505" i="5"/>
  <c r="AB505" i="5" s="1"/>
  <c r="AA99" i="5"/>
  <c r="AB99" i="5" s="1"/>
  <c r="AA616" i="5"/>
  <c r="AB616" i="5" s="1"/>
  <c r="AA34" i="5"/>
  <c r="AB34" i="5" s="1"/>
  <c r="AA12" i="5"/>
  <c r="AB12" i="5" s="1"/>
  <c r="AA176" i="5"/>
  <c r="AB176" i="5" s="1"/>
  <c r="AA563" i="5"/>
  <c r="AB563" i="5" s="1"/>
  <c r="AA338" i="5"/>
  <c r="AB338" i="5" s="1"/>
  <c r="T885" i="5"/>
  <c r="U885" i="5" s="1"/>
  <c r="AA894" i="5"/>
  <c r="AB894" i="5" s="1"/>
  <c r="AA828" i="5"/>
  <c r="AB828" i="5" s="1"/>
  <c r="AA738" i="5"/>
  <c r="AB738" i="5" s="1"/>
  <c r="AA644" i="5"/>
  <c r="AB644" i="5" s="1"/>
  <c r="AA20" i="5"/>
  <c r="AB20" i="5" s="1"/>
  <c r="AA741" i="5"/>
  <c r="AB741" i="5" s="1"/>
  <c r="AA943" i="5"/>
  <c r="AB943" i="5" s="1"/>
  <c r="AA235" i="5"/>
  <c r="AB235" i="5" s="1"/>
  <c r="AA224" i="5"/>
  <c r="AB224" i="5" s="1"/>
  <c r="AA978" i="5"/>
  <c r="AB978" i="5" s="1"/>
  <c r="AA18" i="5"/>
  <c r="AB18" i="5" s="1"/>
  <c r="AA988" i="5"/>
  <c r="AB988" i="5" s="1"/>
  <c r="AA613" i="5"/>
  <c r="AB613" i="5" s="1"/>
  <c r="AA80" i="5"/>
  <c r="AB80" i="5" s="1"/>
  <c r="AA170" i="5"/>
  <c r="AB170" i="5" s="1"/>
  <c r="AA806" i="5"/>
  <c r="AB806" i="5" s="1"/>
  <c r="AA433" i="5"/>
  <c r="AB433" i="5" s="1"/>
  <c r="AA415" i="5"/>
  <c r="AB415" i="5" s="1"/>
  <c r="AA944" i="5"/>
  <c r="AB944" i="5" s="1"/>
  <c r="AA784" i="5"/>
  <c r="AB784" i="5" s="1"/>
  <c r="AA116" i="5"/>
  <c r="AB116" i="5" s="1"/>
  <c r="T181" i="5"/>
  <c r="U181" i="5" s="1"/>
  <c r="AA211" i="5"/>
  <c r="AB211" i="5" s="1"/>
  <c r="AA66" i="5"/>
  <c r="AB66" i="5" s="1"/>
  <c r="AA386" i="5"/>
  <c r="AB386" i="5" s="1"/>
  <c r="AA603" i="5"/>
  <c r="AB603" i="5" s="1"/>
  <c r="AA236" i="5"/>
  <c r="AB236" i="5" s="1"/>
  <c r="AA310" i="5"/>
  <c r="AB310" i="5" s="1"/>
  <c r="AA493" i="5"/>
  <c r="AB493" i="5" s="1"/>
  <c r="AA59" i="5"/>
  <c r="AB59" i="5" s="1"/>
  <c r="AA504" i="5"/>
  <c r="AB504" i="5" s="1"/>
  <c r="AA70" i="5"/>
  <c r="AB70" i="5" s="1"/>
  <c r="AA577" i="5"/>
  <c r="AB577" i="5" s="1"/>
  <c r="AA442" i="5"/>
  <c r="AB442" i="5" s="1"/>
  <c r="AA491" i="5"/>
  <c r="AB491" i="5" s="1"/>
  <c r="AA802" i="5"/>
  <c r="AB802" i="5" s="1"/>
  <c r="AA840" i="5"/>
  <c r="AB840" i="5" s="1"/>
  <c r="AA770" i="5"/>
  <c r="AB770" i="5" s="1"/>
  <c r="AA813" i="5"/>
  <c r="AB813" i="5" s="1"/>
  <c r="AA795" i="5"/>
  <c r="AB795" i="5" s="1"/>
  <c r="AA696" i="5"/>
  <c r="AB696" i="5" s="1"/>
  <c r="AA27" i="5"/>
  <c r="AB27" i="5" s="1"/>
  <c r="AA209" i="5"/>
  <c r="AB209" i="5" s="1"/>
  <c r="AA22" i="5"/>
  <c r="AB22" i="5" s="1"/>
  <c r="AA803" i="5"/>
  <c r="AB803" i="5" s="1"/>
  <c r="AA79" i="5"/>
  <c r="AB79" i="5" s="1"/>
  <c r="AA827" i="5"/>
  <c r="AB827" i="5" s="1"/>
  <c r="AA470" i="5"/>
  <c r="AB470" i="5" s="1"/>
  <c r="AA844" i="5"/>
  <c r="AB844" i="5" s="1"/>
  <c r="E27" i="6" l="1"/>
  <c r="F27" i="6" s="1"/>
  <c r="E26" i="6"/>
  <c r="D31" i="6"/>
  <c r="U884" i="5"/>
  <c r="B31" i="6"/>
  <c r="D32" i="6" l="1"/>
  <c r="D33" i="6"/>
  <c r="F24" i="6"/>
  <c r="D24" i="6"/>
  <c r="B32" i="6"/>
  <c r="B33" i="6"/>
  <c r="B34" i="6" s="1"/>
  <c r="B35" i="6" s="1"/>
  <c r="C31" i="6" l="1"/>
  <c r="C33" i="6" s="1"/>
  <c r="C34" i="6" s="1"/>
  <c r="C35" i="6" s="1"/>
  <c r="E32" i="6"/>
  <c r="E31" i="6" s="1"/>
  <c r="E33" i="6" s="1"/>
  <c r="E34" i="6" s="1"/>
  <c r="E35" i="6" s="1"/>
  <c r="F32" i="6"/>
  <c r="F31" i="6" s="1"/>
  <c r="F33" i="6" s="1"/>
  <c r="F34" i="6" s="1"/>
  <c r="F35" i="6" s="1"/>
  <c r="D29" i="6"/>
  <c r="D28" i="6"/>
  <c r="D26" i="6"/>
  <c r="D34" i="6"/>
  <c r="D35" i="6" s="1"/>
  <c r="F26" i="6"/>
  <c r="C32" i="6" l="1"/>
</calcChain>
</file>

<file path=xl/sharedStrings.xml><?xml version="1.0" encoding="utf-8"?>
<sst xmlns="http://schemas.openxmlformats.org/spreadsheetml/2006/main" count="46186" uniqueCount="22371">
  <si>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</si>
  <si>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</si>
  <si>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</si>
  <si>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</si>
  <si>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</si>
  <si>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</si>
  <si>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</si>
  <si>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</si>
  <si>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</si>
  <si>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</si>
  <si>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</si>
  <si>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</si>
  <si>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</si>
  <si>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</si>
  <si>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</si>
  <si>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</si>
  <si>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</si>
  <si>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</si>
  <si>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</si>
  <si>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</si>
  <si>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</si>
  <si>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</si>
  <si>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</si>
  <si>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</si>
  <si>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</si>
  <si>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</si>
  <si>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</si>
  <si>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</si>
  <si>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</si>
  <si>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</si>
  <si>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</si>
  <si>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</si>
  <si>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</si>
  <si>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</si>
  <si>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</si>
  <si>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</si>
  <si>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</si>
  <si>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</si>
  <si>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</si>
  <si>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</si>
  <si>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</si>
  <si>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</si>
  <si>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</si>
  <si>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</si>
  <si>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</si>
  <si>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</si>
  <si>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</si>
  <si>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</si>
  <si>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</si>
  <si>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</si>
  <si>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</si>
  <si>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</si>
  <si>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</si>
  <si>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</si>
  <si>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</si>
  <si>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</si>
  <si>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</si>
  <si>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</si>
  <si>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</si>
  <si>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</si>
  <si>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</si>
  <si>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</si>
  <si>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</si>
  <si>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</si>
  <si>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</si>
  <si>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</si>
  <si>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</si>
  <si>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</si>
  <si>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</si>
  <si>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</si>
  <si>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</si>
  <si>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</si>
  <si>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</si>
  <si>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</si>
  <si>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</si>
  <si>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</si>
  <si>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</si>
  <si>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</si>
  <si>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</si>
  <si>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</si>
  <si>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</si>
  <si>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</si>
  <si>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</si>
  <si>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</si>
  <si>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</si>
  <si>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</si>
  <si>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</si>
  <si>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</si>
  <si>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</si>
  <si>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</si>
  <si>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</si>
  <si>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</si>
  <si>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</si>
  <si>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</si>
  <si>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</si>
  <si>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</si>
  <si>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</si>
  <si>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</si>
  <si>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</si>
  <si>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</si>
  <si>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</si>
  <si>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</si>
  <si>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</si>
  <si>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</si>
  <si>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</si>
  <si>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</si>
  <si>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</si>
  <si>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</si>
  <si>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</si>
  <si>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</si>
  <si>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</si>
  <si>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</si>
  <si>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</si>
  <si>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</si>
  <si>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</si>
  <si>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</si>
  <si>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</si>
  <si>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</si>
  <si>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</si>
  <si>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</si>
  <si>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</si>
  <si>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</si>
  <si>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</si>
  <si>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</si>
  <si>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</si>
  <si>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</si>
  <si>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</si>
  <si>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</si>
  <si>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</si>
  <si>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</si>
  <si>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</si>
  <si>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</si>
  <si>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</si>
  <si>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</si>
  <si>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</si>
  <si>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</si>
  <si>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</si>
  <si>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</si>
  <si>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</si>
  <si>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</si>
  <si>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</si>
  <si>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</si>
  <si>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</si>
  <si>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</si>
  <si>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</si>
  <si>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</si>
  <si>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</si>
  <si>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</si>
  <si>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</si>
  <si>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</si>
  <si>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</si>
  <si>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</si>
  <si>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</si>
  <si>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</si>
  <si>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</si>
  <si>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</si>
  <si>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</si>
  <si>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</si>
  <si>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</si>
  <si>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</si>
  <si>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</si>
  <si>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</si>
  <si>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</si>
  <si>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</si>
  <si>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</si>
  <si>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</si>
  <si>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</si>
  <si>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</si>
  <si>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</si>
  <si>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</si>
  <si>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</si>
  <si>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</si>
  <si>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</si>
  <si>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</si>
  <si>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</si>
  <si>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</si>
  <si>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</si>
  <si>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</si>
  <si>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</si>
  <si>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</si>
  <si>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</si>
  <si>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</si>
  <si>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</si>
  <si>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</si>
  <si>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</si>
  <si>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</si>
  <si>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</si>
  <si>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</si>
  <si>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</si>
  <si>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</si>
  <si>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</si>
  <si>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</si>
  <si>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</si>
  <si>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</si>
  <si>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</si>
  <si>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</si>
  <si>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</si>
  <si>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</si>
  <si>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</si>
  <si>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</si>
  <si>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</si>
  <si>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</si>
  <si>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</si>
  <si>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</si>
  <si>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</si>
  <si>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</si>
  <si>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</si>
  <si>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</si>
  <si>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</si>
  <si>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</si>
  <si>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</si>
  <si>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</si>
  <si>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</si>
  <si>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</si>
  <si>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</si>
  <si>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</si>
  <si>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</si>
  <si>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</si>
  <si>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</si>
  <si>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</si>
  <si>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</si>
  <si>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</si>
  <si>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</si>
  <si>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</si>
  <si>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</si>
  <si>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</si>
  <si>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</si>
  <si>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</si>
  <si>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</si>
  <si>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</si>
  <si>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</si>
  <si>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</si>
  <si>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</si>
  <si>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</si>
  <si>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</si>
  <si>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</si>
  <si>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</si>
  <si>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</si>
  <si>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</si>
  <si>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</si>
  <si>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</si>
  <si>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</si>
  <si>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</si>
  <si>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</si>
  <si>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</si>
  <si>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</si>
  <si>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</si>
  <si>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</si>
  <si>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</si>
  <si>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</si>
  <si>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</si>
  <si>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</si>
  <si>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</si>
  <si>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</si>
  <si>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</si>
  <si>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</si>
  <si>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</si>
  <si>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</si>
  <si>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</si>
  <si>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</si>
  <si>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</si>
  <si>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</si>
  <si>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</si>
  <si>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</si>
  <si>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</si>
  <si>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</si>
  <si>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</si>
  <si>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</si>
  <si>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</si>
  <si>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</si>
  <si>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</si>
  <si>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</si>
  <si>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</si>
  <si>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</si>
  <si>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</si>
  <si>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</si>
  <si>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</si>
  <si>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</si>
  <si>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</si>
  <si>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</si>
  <si>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</si>
  <si>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</si>
  <si>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</si>
  <si>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</si>
  <si>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</si>
  <si>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</si>
  <si>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</si>
  <si>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</si>
  <si>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</si>
  <si>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</si>
  <si>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</si>
  <si>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</si>
  <si>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</si>
  <si>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</si>
  <si>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</si>
  <si>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</si>
  <si>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</si>
  <si>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</si>
  <si>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</si>
  <si>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</si>
  <si>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</si>
  <si>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</si>
  <si>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</si>
  <si>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</si>
  <si>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</si>
  <si>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</si>
  <si>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</si>
  <si>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</si>
  <si>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</si>
  <si>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</si>
  <si>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</si>
  <si>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</si>
  <si>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</si>
  <si>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</si>
  <si>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</si>
  <si>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</si>
  <si>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</si>
  <si>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</si>
  <si>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</si>
  <si>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</si>
  <si>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</si>
  <si>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</si>
  <si>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</si>
  <si>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</si>
  <si>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</si>
  <si>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</si>
  <si>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</si>
  <si>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</si>
  <si>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</si>
  <si>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</si>
  <si>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</si>
  <si>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</si>
  <si>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</si>
  <si>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</si>
  <si>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</si>
  <si>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</si>
  <si>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</si>
  <si>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</si>
  <si>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</si>
  <si>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</si>
  <si>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</si>
  <si>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</si>
  <si>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</si>
  <si>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</si>
  <si>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</si>
  <si>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</si>
  <si>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</si>
  <si>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</si>
  <si>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</si>
  <si>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</si>
  <si>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</si>
  <si>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</si>
  <si>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</si>
  <si>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</si>
  <si>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</si>
  <si>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</si>
  <si>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</si>
  <si>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</si>
  <si>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</si>
  <si>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</si>
  <si>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</si>
  <si>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</si>
  <si>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</si>
  <si>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</si>
  <si>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</si>
  <si>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</si>
  <si>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</si>
  <si>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</si>
  <si>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</si>
  <si>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</si>
  <si>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</si>
  <si>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</si>
  <si>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</si>
  <si>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</si>
  <si>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</si>
  <si>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</si>
  <si>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</si>
  <si>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</si>
  <si>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</si>
  <si>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</si>
  <si>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</si>
  <si>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</si>
  <si>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</si>
  <si>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</si>
  <si>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</si>
  <si>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</si>
  <si>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</si>
  <si>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</si>
  <si>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</si>
  <si>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</si>
  <si>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</si>
  <si>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</si>
  <si>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</si>
  <si>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</si>
  <si>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</si>
  <si>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</si>
  <si>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</si>
  <si>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</si>
  <si>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</si>
  <si>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</si>
  <si>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</si>
  <si>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</si>
  <si>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</si>
  <si>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</si>
  <si>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</si>
  <si>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</si>
  <si>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</si>
  <si>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</si>
  <si>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</si>
  <si>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</si>
  <si>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</si>
  <si>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</si>
  <si>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</si>
  <si>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</si>
  <si>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</si>
  <si>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</si>
  <si>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</si>
  <si>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</si>
  <si>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</si>
  <si>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</si>
  <si>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</si>
  <si>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</si>
  <si>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</si>
  <si>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</si>
  <si>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</si>
  <si>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</si>
  <si>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</si>
  <si>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</si>
  <si>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</si>
  <si>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</si>
  <si>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</si>
  <si>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</si>
  <si>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</si>
  <si>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</si>
  <si>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</si>
  <si>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</si>
  <si>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</si>
  <si>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</si>
  <si>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</si>
  <si>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</si>
  <si>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</si>
  <si>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</si>
  <si>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</si>
  <si>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</si>
  <si>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</si>
  <si>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</si>
  <si>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</si>
  <si>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</si>
  <si>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</si>
  <si>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</si>
  <si>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</si>
  <si>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</si>
  <si>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</si>
  <si>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</si>
  <si>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</si>
  <si>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</si>
  <si>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</si>
  <si>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</si>
  <si>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</si>
  <si>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</si>
  <si>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</si>
  <si>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</si>
  <si>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</si>
  <si>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</si>
  <si>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</si>
  <si>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</si>
  <si>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</si>
  <si>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</si>
  <si>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</si>
  <si>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</si>
  <si>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</si>
  <si>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</si>
  <si>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</si>
  <si>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</si>
  <si>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</si>
  <si>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</si>
  <si>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</si>
  <si>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</si>
  <si>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</si>
  <si>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</si>
  <si>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</si>
  <si>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</si>
  <si>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</si>
  <si>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</si>
  <si>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</si>
  <si>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</si>
  <si>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</si>
  <si>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</si>
  <si>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</si>
  <si>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</si>
  <si>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</si>
  <si>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</si>
  <si>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</si>
  <si>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</si>
  <si>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</si>
  <si>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</si>
  <si>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</si>
  <si>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</si>
  <si>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</si>
  <si>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</si>
  <si>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</si>
  <si>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</si>
  <si>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</si>
  <si>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</si>
  <si>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</si>
  <si>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</si>
  <si>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</si>
  <si>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</si>
  <si>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</si>
  <si>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</si>
  <si>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</si>
  <si>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</si>
  <si>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</si>
  <si>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</si>
  <si>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</si>
  <si>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</si>
  <si>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</si>
  <si>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</si>
  <si>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</si>
  <si>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</si>
  <si>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</si>
  <si>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</si>
  <si>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</si>
  <si>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</si>
  <si>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</si>
  <si>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</si>
  <si>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</si>
  <si>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</si>
  <si>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</si>
  <si>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</si>
  <si>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</si>
  <si>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</si>
  <si>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</si>
  <si>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</si>
  <si>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</si>
  <si>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</si>
  <si>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</si>
  <si>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</si>
  <si>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</si>
  <si>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</si>
  <si>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</si>
  <si>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</si>
  <si>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</si>
  <si>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</si>
  <si>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</si>
  <si>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</si>
  <si>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</si>
  <si>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</si>
  <si>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</si>
  <si>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</si>
  <si>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</si>
  <si>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</si>
  <si>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</si>
  <si>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</si>
  <si>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</si>
  <si>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</si>
  <si>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</si>
  <si>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</si>
  <si>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</si>
  <si>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</si>
  <si>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</si>
  <si>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</si>
  <si>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</si>
  <si>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</si>
  <si>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</si>
  <si>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</si>
  <si>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</si>
  <si>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</si>
  <si>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</si>
  <si>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</si>
  <si>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</si>
  <si>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</si>
  <si>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</si>
  <si>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</si>
  <si>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</si>
  <si>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</si>
  <si>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</si>
  <si>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</si>
  <si>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</si>
  <si>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</si>
  <si>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</si>
  <si>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</si>
  <si>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</si>
  <si>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</si>
  <si>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</si>
  <si>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</si>
  <si>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</si>
  <si>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</si>
  <si>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</si>
  <si>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</si>
  <si>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</si>
  <si>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</si>
  <si>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</si>
  <si>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</si>
  <si>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</si>
  <si>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</si>
  <si>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</si>
  <si>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</si>
  <si>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</si>
  <si>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</si>
  <si>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</si>
  <si>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</si>
  <si>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</si>
  <si>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</si>
  <si>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</si>
  <si>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</si>
  <si>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</si>
  <si>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</si>
  <si>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</si>
  <si>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</si>
  <si>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</si>
  <si>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</si>
  <si>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</si>
  <si>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</si>
  <si>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</si>
  <si>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</si>
  <si>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</si>
  <si>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</si>
  <si>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</si>
  <si>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</si>
  <si>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</si>
  <si>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</si>
  <si>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</si>
  <si>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</si>
  <si>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</si>
  <si>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</si>
  <si>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</si>
  <si>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</si>
  <si>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</si>
  <si>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</si>
  <si>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</si>
  <si>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</si>
  <si>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</si>
  <si>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</si>
  <si>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</si>
  <si>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</si>
  <si>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</si>
  <si>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</si>
  <si>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</si>
  <si>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</si>
  <si>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</si>
  <si>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</si>
  <si>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</si>
  <si>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</si>
  <si>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</si>
  <si>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</si>
  <si>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</si>
  <si>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</si>
  <si>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</si>
  <si>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</si>
  <si>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</si>
  <si>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</si>
  <si>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</si>
  <si>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</si>
  <si>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</si>
  <si>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</si>
  <si>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</si>
  <si>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</si>
  <si>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</si>
  <si>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</si>
  <si>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</si>
  <si>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</si>
  <si>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</si>
  <si>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</si>
  <si>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</si>
  <si>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</si>
  <si>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</si>
  <si>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</si>
  <si>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</si>
  <si>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</si>
  <si>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</si>
  <si>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</si>
  <si>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</si>
  <si>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</si>
  <si>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</si>
  <si>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</si>
  <si>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</si>
  <si>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</si>
  <si>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</si>
  <si>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</si>
  <si>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</si>
  <si>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</si>
  <si>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</si>
  <si>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</si>
  <si>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</si>
  <si>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</si>
  <si>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</si>
  <si>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</si>
  <si>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</si>
  <si>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</si>
  <si>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</si>
  <si>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</si>
  <si>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</si>
  <si>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</si>
  <si>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</si>
  <si>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</si>
  <si>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</si>
  <si>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</si>
  <si>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</si>
  <si>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</si>
  <si>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</si>
  <si>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</si>
  <si>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</si>
  <si>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</si>
  <si>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</si>
  <si>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</si>
  <si>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</si>
  <si>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</si>
  <si>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</si>
  <si>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</si>
  <si>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</si>
  <si>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</si>
  <si>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</si>
  <si>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</si>
  <si>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</si>
  <si>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</si>
  <si>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</si>
  <si>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</si>
  <si>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</si>
  <si>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</si>
  <si>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</si>
  <si>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</si>
  <si>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</si>
  <si>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</si>
  <si>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</si>
  <si>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</si>
  <si>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</si>
  <si>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</si>
  <si>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</si>
  <si>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</si>
  <si>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</si>
  <si>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</si>
  <si>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</si>
  <si>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</si>
  <si>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</si>
  <si>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</si>
  <si>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</si>
  <si>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</si>
  <si>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</si>
  <si>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</si>
  <si>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</si>
  <si>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</si>
  <si>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</si>
  <si>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</si>
  <si>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</si>
  <si>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</si>
  <si>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</si>
  <si>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</si>
  <si>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</si>
  <si>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</si>
  <si>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</si>
  <si>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</si>
  <si>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</si>
  <si>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</si>
  <si>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</si>
  <si>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</si>
  <si>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</si>
  <si>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</si>
  <si>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</si>
  <si>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</si>
  <si>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</si>
  <si>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</si>
  <si>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</si>
  <si>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</si>
  <si>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</si>
  <si>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</si>
  <si>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</si>
  <si>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</si>
  <si>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</si>
  <si>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</si>
  <si>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</si>
  <si>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</si>
  <si>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</si>
  <si>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</si>
  <si>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</si>
  <si>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</si>
  <si>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</si>
  <si>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</si>
  <si>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</si>
  <si>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</si>
  <si>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</si>
  <si>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</si>
  <si>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</si>
  <si>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</si>
  <si>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</si>
  <si>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</si>
  <si>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</si>
  <si>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</si>
  <si>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</si>
  <si>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</si>
  <si>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</si>
  <si>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</si>
  <si>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</si>
  <si>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</si>
  <si>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</si>
  <si>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</si>
  <si>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</si>
  <si>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</si>
  <si>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</si>
  <si>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</si>
  <si>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</si>
  <si>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</si>
  <si>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</si>
  <si>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</si>
  <si>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</si>
  <si>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</si>
  <si>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</si>
  <si>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</si>
  <si>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</si>
  <si>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</si>
  <si>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</si>
  <si>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</si>
  <si>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</si>
  <si>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</si>
  <si>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</si>
  <si>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</si>
  <si>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</si>
  <si>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</si>
  <si>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</si>
  <si>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</si>
  <si>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</si>
  <si>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</si>
  <si>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</si>
  <si>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</si>
  <si>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</si>
  <si>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</si>
  <si>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</si>
  <si>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</si>
  <si>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</si>
  <si>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</si>
  <si>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</si>
  <si>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</si>
  <si>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</si>
  <si>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</si>
  <si>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</si>
  <si>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</si>
  <si>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</si>
  <si>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</si>
  <si>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</si>
  <si>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</si>
  <si>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</si>
  <si>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</si>
  <si>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</si>
  <si>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</si>
  <si>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</si>
  <si>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</si>
  <si>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</si>
  <si>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</si>
  <si>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</si>
  <si>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</si>
  <si>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</si>
  <si>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</si>
  <si>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</si>
  <si>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</si>
  <si>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</si>
  <si>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</si>
  <si>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</si>
  <si>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</si>
  <si>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</si>
  <si>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</si>
  <si>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</si>
  <si>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</si>
  <si>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</si>
  <si>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</si>
  <si>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</si>
  <si>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</si>
  <si>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</si>
  <si>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</si>
  <si>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</si>
  <si>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</si>
  <si>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</si>
  <si>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</si>
  <si>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</si>
  <si>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</si>
  <si>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</si>
  <si>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</si>
  <si>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</si>
  <si>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</si>
  <si>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</si>
  <si>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</si>
  <si>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</si>
  <si>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</si>
  <si>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</si>
  <si>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</si>
  <si>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</si>
  <si>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</si>
  <si>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</si>
  <si>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</si>
  <si>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</si>
  <si>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</si>
  <si>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</si>
  <si>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</si>
  <si>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</si>
  <si>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</si>
  <si>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</si>
  <si>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</si>
  <si>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</si>
  <si>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</si>
  <si>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</si>
  <si>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</si>
  <si>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</si>
  <si>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</si>
  <si>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</si>
  <si>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</si>
  <si>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</si>
  <si>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</si>
  <si>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</si>
  <si>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</si>
  <si>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</si>
  <si>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</si>
  <si>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</si>
  <si>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</si>
  <si>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</si>
  <si>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</si>
  <si>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</si>
  <si>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</si>
  <si>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</si>
  <si>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</si>
  <si>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</si>
  <si>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</si>
  <si>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</si>
  <si>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</si>
  <si>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</si>
  <si>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</si>
  <si>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</si>
  <si>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</si>
  <si>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</si>
  <si>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</si>
  <si>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</si>
  <si>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</si>
  <si>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</si>
  <si>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</si>
  <si>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</si>
  <si>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</si>
  <si>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</si>
  <si>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</si>
  <si>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</si>
  <si>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</si>
  <si>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</si>
  <si>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</si>
  <si>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</si>
  <si>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</si>
  <si>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</si>
  <si>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</si>
  <si>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</si>
  <si>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</si>
  <si>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</si>
  <si>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</si>
  <si>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</si>
  <si>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</si>
  <si>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</si>
  <si>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</si>
  <si>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</si>
  <si>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</si>
  <si>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</si>
  <si>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</si>
  <si>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</si>
  <si>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</si>
  <si>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</si>
  <si>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</si>
  <si>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</si>
  <si>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</si>
  <si>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</si>
  <si>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</si>
  <si>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</si>
  <si>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</si>
  <si>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</si>
  <si>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</si>
  <si>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</si>
  <si>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</si>
  <si>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</si>
  <si>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</si>
  <si>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</si>
  <si>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</si>
  <si>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</si>
  <si>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</si>
  <si>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</si>
  <si>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</si>
  <si>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</si>
  <si>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</si>
  <si>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</si>
  <si>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</si>
  <si>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</si>
  <si>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</si>
  <si>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</si>
  <si>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</si>
  <si>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</si>
  <si>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</si>
  <si>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</si>
  <si>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</si>
  <si>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</si>
  <si>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</si>
  <si>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</si>
  <si>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</si>
  <si>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</si>
  <si>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</si>
  <si>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</si>
  <si>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</si>
  <si>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</si>
  <si>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</si>
  <si>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</si>
  <si>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</si>
  <si>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</si>
  <si>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</si>
  <si>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</si>
  <si>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</si>
  <si>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</si>
  <si>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</si>
  <si>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</si>
  <si>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</si>
  <si>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</si>
  <si>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</si>
  <si>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</si>
  <si>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</si>
  <si>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</si>
  <si>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</si>
  <si>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</si>
  <si>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</si>
  <si>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</si>
  <si>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</si>
  <si>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</si>
  <si>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</si>
  <si>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</si>
  <si>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</si>
  <si>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</si>
  <si>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</si>
  <si>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</si>
  <si>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</si>
  <si>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</si>
  <si>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</si>
  <si>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</si>
  <si>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</si>
  <si>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</si>
  <si>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</si>
  <si>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</si>
  <si>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</si>
  <si>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</si>
  <si>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</si>
  <si>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</si>
  <si>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</si>
  <si>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</si>
  <si>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</si>
  <si>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</si>
  <si>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</si>
  <si>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</si>
  <si>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</si>
  <si>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</si>
  <si>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</si>
  <si>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</si>
  <si>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</si>
  <si>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</si>
  <si>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</si>
  <si>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</si>
  <si>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</si>
  <si>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</si>
  <si>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</si>
  <si>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</si>
  <si>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</si>
  <si>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</si>
  <si>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</si>
  <si>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</si>
  <si>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</si>
  <si>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</si>
  <si>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</si>
  <si>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</si>
  <si>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</si>
  <si>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</si>
  <si>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</si>
  <si>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</si>
  <si>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</si>
  <si>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</si>
  <si>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</si>
  <si>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</si>
  <si>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</si>
  <si>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</si>
  <si>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</si>
  <si>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</si>
  <si>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</si>
  <si>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</si>
  <si>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</si>
  <si>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</si>
  <si>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</si>
  <si>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</si>
  <si>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</si>
  <si>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</si>
  <si>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</si>
  <si>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</si>
  <si>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</si>
  <si>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</si>
  <si>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</si>
  <si>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</si>
  <si>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</si>
  <si>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</si>
  <si>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</si>
  <si>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</si>
  <si>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</si>
  <si>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</si>
  <si>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</si>
  <si>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</si>
  <si>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</si>
  <si>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</si>
  <si>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</si>
  <si>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</si>
  <si>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</si>
  <si>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</si>
  <si>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</si>
  <si>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</si>
  <si>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</si>
  <si>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</si>
  <si>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</si>
  <si>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</si>
  <si>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</si>
  <si>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</si>
  <si>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</si>
  <si>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</si>
  <si>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</si>
  <si>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</si>
  <si>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</si>
  <si>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</si>
  <si>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</si>
  <si>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</si>
  <si>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</si>
  <si>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</si>
  <si>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</si>
  <si>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</si>
  <si>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</si>
  <si>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</si>
  <si>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</si>
  <si>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</si>
  <si>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</si>
  <si>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</si>
  <si>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</si>
  <si>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</si>
  <si>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</si>
  <si>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</si>
  <si>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</si>
  <si>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</si>
  <si>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</si>
  <si>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</si>
  <si>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</si>
  <si>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</si>
  <si>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</si>
  <si>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</si>
  <si>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</si>
  <si>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</si>
  <si>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</si>
  <si>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</si>
  <si>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</si>
  <si>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</si>
  <si>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</si>
  <si>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</si>
  <si>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</si>
  <si>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</si>
  <si>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</si>
  <si>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</si>
  <si>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</si>
  <si>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</si>
  <si>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</si>
  <si>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</si>
  <si>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</si>
  <si>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</si>
  <si>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</si>
  <si>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</si>
  <si>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</si>
  <si>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</si>
  <si>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</si>
  <si>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</si>
  <si>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</si>
  <si>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</si>
  <si>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</si>
  <si>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</si>
  <si>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</si>
  <si>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</si>
  <si>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</si>
  <si>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</si>
  <si>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</si>
  <si>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</si>
  <si>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</si>
  <si>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</si>
  <si>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</si>
  <si>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</si>
  <si>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</si>
  <si>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</si>
  <si>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</si>
  <si>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</si>
  <si>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</si>
  <si>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</si>
  <si>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</si>
  <si>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</si>
  <si>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</si>
  <si>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</si>
  <si>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</si>
  <si>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</si>
  <si>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</si>
  <si>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</si>
  <si>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</si>
  <si>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</si>
  <si>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</si>
  <si>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</si>
  <si>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</si>
  <si>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</si>
  <si>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</si>
  <si>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</si>
  <si>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</si>
  <si>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</si>
  <si>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</si>
  <si>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</si>
  <si>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</si>
  <si>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</si>
  <si>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</si>
  <si>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</si>
  <si>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</si>
  <si>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</si>
  <si>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</si>
  <si>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</si>
  <si>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</si>
  <si>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</si>
  <si>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</si>
  <si>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</si>
  <si>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</si>
  <si>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</si>
  <si>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</si>
  <si>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</si>
  <si>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</si>
  <si>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</si>
  <si>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</si>
  <si>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</si>
  <si>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</si>
  <si>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</si>
  <si>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</si>
  <si>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</si>
  <si>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</si>
  <si>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</si>
  <si>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</si>
  <si>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</si>
  <si>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</si>
  <si>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</si>
  <si>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</si>
  <si>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</si>
  <si>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</si>
  <si>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</si>
  <si>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</si>
  <si>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</si>
  <si>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</si>
  <si>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</si>
  <si>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</si>
  <si>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</si>
  <si>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</si>
  <si>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</si>
  <si>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</si>
  <si>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</si>
  <si>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</si>
  <si>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</si>
  <si>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</si>
  <si>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</si>
  <si>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</si>
  <si>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</si>
  <si>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</si>
  <si>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</si>
  <si>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</si>
  <si>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</si>
  <si>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</si>
  <si>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</si>
  <si>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</si>
  <si>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</si>
  <si>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</si>
  <si>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</si>
  <si>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</si>
  <si>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</si>
  <si>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</si>
  <si>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</si>
  <si>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</si>
  <si>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</si>
  <si>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</si>
  <si>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</si>
  <si>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</si>
  <si>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</si>
  <si>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</si>
  <si>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</si>
  <si>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</si>
  <si>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</si>
  <si>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</si>
  <si>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</si>
  <si>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</si>
  <si>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</si>
  <si>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</si>
  <si>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</si>
  <si>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</si>
  <si>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</si>
  <si>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</si>
  <si>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</si>
  <si>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</si>
  <si>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</si>
  <si>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</si>
  <si>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</si>
  <si>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</si>
  <si>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</si>
  <si>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</si>
  <si>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</si>
  <si>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</si>
  <si>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</si>
  <si>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</si>
  <si>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</si>
  <si>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</si>
  <si>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</si>
  <si>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</si>
  <si>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</si>
  <si>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</si>
  <si>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</si>
  <si>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</si>
  <si>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</si>
  <si>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</si>
  <si>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</si>
  <si>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</si>
  <si>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</si>
  <si>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</si>
  <si>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</si>
  <si>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</si>
  <si>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</si>
  <si>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</si>
  <si>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</si>
  <si>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</si>
  <si>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</si>
  <si>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</si>
  <si>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</si>
  <si>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</si>
  <si>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</si>
  <si>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</si>
  <si>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</si>
  <si>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</si>
  <si>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</si>
  <si>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</si>
  <si>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</si>
  <si>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</si>
  <si>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</si>
  <si>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</si>
  <si>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</si>
  <si>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</si>
  <si>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</si>
  <si>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</si>
  <si>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</si>
  <si>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</si>
  <si>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</si>
  <si>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</si>
  <si>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</si>
  <si>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</si>
  <si>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</si>
  <si>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</si>
  <si>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</si>
  <si>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</si>
  <si>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</si>
  <si>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</si>
  <si>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</si>
  <si>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</si>
  <si>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</si>
  <si>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</si>
  <si>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</si>
  <si>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</si>
  <si>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</si>
  <si>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</si>
  <si>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</si>
  <si>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</si>
  <si>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</si>
  <si>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</si>
  <si>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</si>
  <si>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</si>
  <si>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</si>
  <si>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</si>
  <si>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</si>
  <si>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</si>
  <si>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</si>
  <si>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</si>
  <si>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</si>
  <si>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</si>
  <si>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</si>
  <si>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</si>
  <si>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</si>
  <si>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</si>
  <si>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</si>
  <si>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</si>
  <si>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</si>
  <si>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</si>
  <si>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</si>
  <si>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</si>
  <si>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</si>
  <si>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</si>
  <si>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</si>
  <si>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</si>
  <si>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</si>
  <si>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</si>
  <si>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</si>
  <si>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</si>
  <si>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</si>
  <si>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</si>
  <si>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</si>
  <si>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</si>
  <si>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</si>
  <si>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</si>
  <si>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</si>
  <si>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</si>
  <si>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</si>
  <si>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</si>
  <si>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</si>
  <si>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</si>
  <si>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</si>
  <si>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</si>
  <si>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</si>
  <si>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</si>
  <si>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</si>
  <si>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</si>
  <si>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</si>
  <si>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</si>
  <si>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</si>
  <si>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</si>
  <si>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</si>
  <si>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</si>
  <si>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</si>
  <si>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</si>
  <si>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</si>
  <si>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</si>
  <si>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</si>
  <si>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</si>
  <si>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</si>
  <si>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</si>
  <si>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</si>
  <si>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</si>
  <si>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</si>
  <si>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</si>
  <si>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</si>
  <si>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</si>
  <si>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</si>
  <si>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</si>
  <si>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</si>
  <si>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</si>
  <si>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</si>
  <si>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</si>
  <si>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</si>
  <si>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</si>
  <si>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</si>
  <si>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</si>
  <si>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</si>
  <si>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</si>
  <si>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</si>
  <si>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</si>
  <si>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</si>
  <si>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</si>
  <si>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</si>
  <si>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</si>
  <si>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</si>
  <si>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</si>
  <si>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</si>
  <si>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</si>
  <si>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</si>
  <si>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</si>
  <si>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</si>
  <si>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</si>
  <si>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</si>
  <si>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</si>
  <si>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</si>
  <si>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</si>
  <si>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</si>
  <si>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</si>
  <si>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</si>
  <si>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</si>
  <si>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</si>
  <si>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</si>
  <si>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</si>
  <si>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</si>
  <si>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</si>
  <si>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</si>
  <si>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</si>
  <si>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</si>
  <si>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</si>
  <si>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</si>
  <si>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</si>
  <si>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</si>
  <si>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</si>
  <si>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</si>
  <si>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</si>
  <si>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</si>
  <si>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</si>
  <si>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</si>
  <si>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</si>
  <si>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</si>
  <si>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</si>
  <si>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</si>
  <si>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</si>
  <si>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</si>
  <si>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</si>
  <si>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</si>
  <si>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</si>
  <si>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</si>
  <si>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</si>
  <si>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</si>
  <si>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</si>
  <si>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</si>
  <si>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</si>
  <si>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</si>
  <si>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</si>
  <si>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</si>
  <si>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</si>
  <si>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</si>
  <si>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</si>
  <si>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</si>
  <si>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</si>
  <si>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</si>
  <si>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</si>
  <si>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</si>
  <si>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</si>
  <si>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</si>
  <si>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</si>
  <si>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</si>
  <si>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</si>
  <si>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</si>
  <si>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</si>
  <si>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</si>
  <si>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</si>
  <si>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</si>
  <si>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</si>
  <si>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</si>
  <si>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</si>
  <si>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</si>
  <si>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</si>
  <si>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</si>
  <si>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</si>
  <si>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</si>
  <si>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</si>
  <si>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</si>
  <si>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</si>
  <si>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</si>
  <si>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</si>
  <si>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</si>
  <si>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</si>
  <si>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</si>
  <si>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</si>
  <si>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</si>
  <si>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</si>
  <si>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</si>
  <si>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</si>
  <si>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</si>
  <si>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</si>
  <si>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</si>
  <si>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</si>
  <si>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</si>
  <si>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</si>
  <si>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</si>
  <si>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</si>
  <si>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</si>
  <si>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</si>
  <si>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</si>
  <si>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</si>
  <si>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</si>
  <si>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</si>
  <si>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</si>
  <si>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</si>
  <si>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</si>
  <si>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</si>
  <si>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</si>
  <si>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</si>
  <si>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</si>
  <si>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</si>
  <si>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</si>
  <si>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</si>
  <si>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</si>
  <si>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</si>
  <si>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</si>
  <si>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</si>
  <si>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</si>
  <si>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</si>
  <si>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</si>
  <si>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</si>
  <si>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</si>
  <si>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</si>
  <si>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</si>
  <si>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</si>
  <si>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</si>
  <si>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</si>
  <si>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</si>
  <si>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</si>
  <si>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</si>
  <si>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</si>
  <si>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</si>
  <si>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</si>
  <si>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</si>
  <si>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</si>
  <si>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</si>
  <si>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</si>
  <si>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</si>
  <si>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</si>
  <si>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</si>
  <si>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</si>
  <si>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</si>
  <si>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</si>
  <si>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</si>
  <si>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</si>
  <si>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</si>
  <si>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</si>
  <si>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</si>
  <si>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</si>
  <si>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</si>
  <si>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</si>
  <si>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</si>
  <si>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</si>
  <si>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</si>
  <si>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</si>
  <si>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</si>
  <si>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</si>
  <si>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</si>
  <si>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</si>
  <si>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</si>
  <si>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</si>
  <si>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</si>
  <si>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</si>
  <si>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</si>
  <si>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</si>
  <si>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</si>
  <si>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</si>
  <si>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</si>
  <si>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</si>
  <si>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</si>
  <si>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</si>
  <si>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</si>
  <si>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</si>
  <si>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</si>
  <si>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</si>
  <si>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</si>
  <si>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</si>
  <si>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</si>
  <si>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</si>
  <si>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</si>
  <si>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</si>
  <si>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</si>
  <si>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</si>
  <si>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</si>
  <si>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</si>
  <si>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</si>
  <si>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</si>
  <si>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</si>
  <si>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</si>
  <si>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</si>
  <si>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</si>
  <si>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</si>
  <si>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</si>
  <si>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</si>
  <si>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</si>
  <si>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</si>
  <si>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</si>
  <si>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</si>
  <si>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</si>
  <si>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</si>
  <si>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</si>
  <si>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</si>
  <si>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</si>
  <si>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</si>
  <si>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</si>
  <si>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</si>
  <si>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</si>
  <si>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</si>
  <si>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</si>
  <si>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</si>
  <si>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</si>
  <si>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</si>
  <si>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</si>
  <si>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</si>
  <si>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</si>
  <si>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</si>
  <si>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</si>
  <si>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</si>
  <si>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</si>
  <si>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</si>
  <si>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</si>
  <si>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</si>
  <si>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</si>
  <si>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</si>
  <si>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</si>
  <si>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</si>
  <si>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</si>
  <si>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</si>
  <si>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</si>
  <si>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</si>
  <si>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</si>
  <si>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</si>
  <si>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</si>
  <si>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</si>
  <si>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</si>
  <si>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</si>
  <si>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</si>
  <si>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</si>
  <si>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</si>
  <si>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</si>
  <si>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</si>
  <si>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</si>
  <si>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</si>
  <si>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</si>
  <si>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</si>
  <si>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</si>
  <si>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</si>
  <si>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</si>
  <si>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</si>
  <si>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</si>
  <si>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</si>
  <si>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</si>
  <si>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</si>
  <si>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</si>
  <si>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</si>
  <si>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</si>
  <si>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</si>
  <si>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</si>
  <si>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</si>
  <si>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</si>
  <si>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</si>
  <si>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</si>
  <si>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</si>
  <si>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</si>
  <si>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</si>
  <si>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</si>
  <si>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</si>
  <si>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</si>
  <si>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</si>
  <si>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</si>
  <si>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</si>
  <si>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</si>
  <si>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</si>
  <si>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</si>
  <si>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</si>
  <si>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</si>
  <si>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</si>
  <si>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</si>
  <si>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</si>
  <si>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</si>
  <si>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</si>
  <si>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</si>
  <si>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</si>
  <si>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</si>
  <si>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</si>
  <si>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</si>
  <si>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</si>
  <si>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</si>
  <si>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</si>
  <si>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</si>
  <si>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</si>
  <si>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</si>
  <si>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</si>
  <si>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</si>
  <si>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</si>
  <si>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</si>
  <si>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</si>
  <si>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</si>
  <si>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</si>
  <si>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</si>
  <si>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</si>
  <si>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</si>
  <si>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</si>
  <si>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</si>
  <si>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</si>
  <si>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</si>
  <si>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</si>
  <si>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</si>
  <si>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</si>
  <si>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</si>
  <si>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</si>
  <si>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</si>
  <si>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</si>
  <si>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</si>
  <si>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</si>
  <si>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</si>
  <si>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</si>
  <si>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</si>
  <si>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</si>
  <si>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</si>
  <si>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</si>
  <si>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</si>
  <si>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</si>
  <si>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</si>
  <si>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</si>
  <si>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</si>
  <si>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</si>
  <si>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</si>
  <si>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</si>
  <si>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</si>
  <si>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</si>
  <si>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</si>
  <si>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</si>
  <si>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</si>
  <si>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</si>
  <si>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</si>
  <si>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</si>
  <si>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</si>
  <si>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</si>
  <si>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</si>
  <si>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</si>
  <si>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</si>
  <si>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</si>
  <si>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</si>
  <si>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</si>
  <si>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</si>
  <si>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</si>
  <si>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</si>
  <si>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</si>
  <si>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</si>
  <si>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</si>
  <si>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</si>
  <si>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</si>
  <si>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</si>
  <si>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</si>
  <si>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</si>
  <si>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</si>
  <si>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</si>
  <si>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</si>
  <si>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</si>
  <si>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</si>
  <si>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</si>
  <si>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</si>
  <si>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</si>
  <si>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</si>
  <si>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</si>
  <si>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</si>
  <si>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</si>
  <si>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</si>
  <si>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</si>
  <si>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</si>
  <si>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</si>
  <si>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</si>
  <si>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</si>
  <si>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</si>
  <si>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</si>
  <si>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</si>
  <si>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</si>
  <si>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</si>
  <si>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</si>
  <si>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</si>
  <si>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</si>
  <si>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</si>
  <si>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</si>
  <si>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</si>
  <si>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</si>
  <si>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</si>
  <si>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</si>
  <si>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</si>
  <si>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</si>
  <si>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</si>
  <si>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</si>
  <si>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</si>
  <si>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</si>
  <si>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</si>
  <si>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</si>
  <si>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</si>
  <si>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</si>
  <si>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</si>
  <si>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</si>
  <si>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</si>
  <si>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</si>
  <si>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</si>
  <si>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</si>
  <si>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</si>
  <si>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</si>
  <si>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</si>
  <si>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</si>
  <si>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</si>
  <si>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</si>
  <si>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</si>
  <si>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</si>
  <si>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</si>
  <si>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</si>
  <si>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</si>
  <si>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</si>
  <si>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</si>
  <si>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</si>
  <si>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</si>
  <si>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</si>
  <si>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</si>
  <si>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</si>
  <si>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</si>
  <si>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</si>
  <si>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</si>
  <si>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</si>
  <si>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</si>
  <si>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</si>
  <si>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</si>
  <si>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</si>
  <si>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</si>
  <si>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</si>
  <si>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</si>
  <si>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</si>
  <si>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</si>
  <si>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</si>
  <si>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</si>
  <si>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</si>
  <si>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</si>
  <si>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</si>
  <si>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</si>
  <si>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</si>
  <si>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</si>
  <si>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</si>
  <si>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</si>
  <si>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</si>
  <si>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</si>
  <si>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</si>
  <si>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</si>
  <si>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</si>
  <si>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</si>
  <si>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</si>
  <si>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</si>
  <si>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</si>
  <si>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</si>
  <si>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</si>
  <si>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</si>
  <si>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</si>
  <si>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</si>
  <si>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</si>
  <si>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</si>
  <si>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</si>
  <si>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</si>
  <si>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</si>
  <si>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</si>
  <si>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</si>
  <si>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</si>
  <si>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</si>
  <si>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</si>
  <si>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</si>
  <si>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</si>
  <si>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</si>
  <si>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</si>
  <si>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</si>
  <si>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</si>
  <si>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</si>
  <si>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</si>
  <si>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</si>
  <si>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</si>
  <si>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</si>
  <si>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</si>
  <si>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</si>
  <si>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</si>
  <si>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</si>
  <si>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</si>
  <si>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</si>
  <si>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</si>
  <si>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</si>
  <si>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</si>
  <si>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</si>
  <si>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</si>
  <si>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</si>
  <si>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</si>
  <si>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</si>
  <si>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</si>
  <si>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</si>
  <si>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</si>
  <si>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</si>
  <si>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</si>
  <si>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</si>
  <si>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</si>
  <si>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</si>
  <si>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</si>
  <si>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</si>
  <si>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</si>
  <si>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</si>
  <si>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</si>
  <si>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</si>
  <si>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</si>
  <si>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</si>
  <si>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</si>
  <si>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</si>
  <si>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</si>
  <si>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</si>
  <si>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</si>
  <si>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</si>
  <si>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</si>
  <si>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</si>
  <si>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</si>
  <si>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</si>
  <si>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</si>
  <si>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</si>
  <si>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</si>
  <si>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</si>
  <si>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</si>
  <si>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</si>
  <si>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</si>
  <si>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</si>
  <si>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</si>
  <si>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</si>
  <si>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</si>
  <si>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</si>
  <si>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</si>
  <si>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</si>
  <si>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</si>
  <si>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</si>
  <si>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</si>
  <si>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</si>
  <si>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</si>
  <si>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</si>
  <si>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</si>
  <si>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</si>
  <si>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</si>
  <si>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</si>
  <si>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</si>
  <si>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</si>
  <si>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</si>
  <si>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</si>
  <si>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</si>
  <si>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</si>
  <si>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</si>
  <si>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</si>
  <si>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</si>
  <si>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</si>
  <si>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</si>
  <si>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</si>
  <si>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</si>
  <si>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</si>
  <si>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</si>
  <si>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</si>
  <si>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</si>
  <si>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</si>
  <si>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</si>
  <si>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</si>
  <si>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</si>
  <si>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</si>
  <si>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</si>
  <si>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</si>
  <si>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</si>
  <si>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</si>
  <si>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</si>
  <si>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</si>
  <si>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</si>
  <si>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</si>
  <si>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</si>
  <si>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</si>
  <si>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</si>
  <si>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</si>
  <si>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</si>
  <si>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</si>
  <si>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</si>
  <si>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</si>
  <si>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</si>
  <si>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</si>
  <si>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</si>
  <si>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</si>
  <si>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</si>
  <si>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</si>
  <si>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</si>
  <si>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</si>
  <si>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</si>
  <si>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</si>
  <si>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</si>
  <si>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</si>
  <si>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</si>
  <si>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</si>
  <si>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</si>
  <si>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</si>
  <si>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</si>
  <si>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</si>
  <si>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</si>
  <si>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</si>
  <si>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</si>
  <si>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</si>
  <si>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</si>
  <si>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</si>
  <si>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</si>
  <si>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</si>
  <si>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</si>
  <si>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</si>
  <si>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</si>
  <si>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</si>
  <si>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</si>
  <si>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</si>
  <si>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</si>
  <si>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</si>
  <si>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</si>
  <si>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</si>
  <si>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</si>
  <si>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</si>
  <si>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</si>
  <si>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</si>
  <si>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</si>
  <si>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</si>
  <si>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</si>
  <si>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</si>
  <si>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</si>
  <si>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</si>
  <si>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</si>
  <si>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</si>
  <si>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</si>
  <si>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</si>
  <si>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</si>
  <si>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</si>
  <si>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</si>
  <si>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</si>
  <si>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</si>
  <si>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</si>
  <si>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</si>
  <si>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</si>
  <si>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</si>
  <si>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</si>
  <si>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</si>
  <si>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</si>
  <si>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</si>
  <si>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</si>
  <si>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</si>
  <si>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</si>
  <si>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</si>
  <si>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</si>
  <si>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</si>
  <si>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</si>
  <si>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</si>
  <si>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</si>
  <si>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</si>
  <si>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</si>
  <si>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</si>
  <si>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</si>
  <si>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</si>
  <si>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</si>
  <si>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</si>
  <si>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</si>
  <si>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</si>
  <si>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</si>
  <si>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</si>
  <si>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</si>
  <si>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</si>
  <si>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</si>
  <si>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</si>
  <si>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</si>
  <si>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</si>
  <si>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</si>
  <si>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</si>
  <si>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</si>
  <si>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</si>
  <si>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</si>
  <si>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</si>
  <si>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</si>
  <si>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</si>
  <si>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</si>
  <si>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</si>
  <si>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</si>
  <si>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</si>
  <si>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</si>
  <si>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</si>
  <si>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</si>
  <si>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</si>
  <si>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</si>
  <si>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</si>
  <si>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</si>
  <si>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</si>
  <si>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</si>
  <si>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</si>
  <si>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</si>
  <si>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</si>
  <si>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</si>
  <si>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</si>
  <si>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</si>
  <si>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</si>
  <si>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</si>
  <si>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</si>
  <si>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</si>
  <si>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</si>
  <si>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</si>
  <si>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</si>
  <si>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</si>
  <si>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</si>
  <si>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</si>
  <si>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</si>
  <si>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</si>
  <si>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</si>
  <si>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</si>
  <si>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</si>
  <si>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</si>
  <si>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</si>
  <si>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</si>
  <si>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</si>
  <si>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</si>
  <si>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</si>
  <si>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</si>
  <si>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</si>
  <si>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</si>
  <si>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</si>
  <si>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</si>
  <si>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</si>
  <si>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</si>
  <si>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</si>
  <si>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</si>
  <si>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</si>
  <si>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</si>
  <si>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</si>
  <si>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</si>
  <si>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</si>
  <si>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</si>
  <si>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</si>
  <si>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</si>
  <si>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</si>
  <si>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</si>
  <si>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</si>
  <si>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</si>
  <si>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</si>
  <si>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</si>
  <si>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</si>
  <si>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</si>
  <si>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</si>
  <si>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</si>
  <si>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</si>
  <si>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</si>
  <si>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</si>
  <si>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</si>
  <si>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</si>
  <si>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</si>
  <si>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</si>
  <si>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</si>
  <si>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</si>
  <si>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</si>
  <si>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</si>
  <si>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</si>
  <si>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</si>
  <si>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</si>
  <si>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</si>
  <si>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</si>
  <si>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</si>
  <si>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</si>
  <si>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</si>
  <si>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</si>
  <si>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</si>
  <si>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</si>
  <si>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</si>
  <si>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</si>
  <si>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</si>
  <si>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</si>
  <si>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</si>
  <si>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</si>
  <si>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</si>
  <si>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</si>
  <si>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</si>
  <si>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</si>
  <si>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</si>
  <si>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</si>
  <si>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</si>
  <si>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</si>
  <si>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</si>
  <si>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</si>
  <si>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</si>
  <si>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</si>
  <si>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</si>
  <si>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</si>
  <si>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</si>
  <si>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</si>
  <si>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</si>
  <si>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</si>
  <si>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</si>
  <si>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</si>
  <si>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</si>
  <si>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</si>
  <si>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</si>
  <si>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</si>
  <si>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</si>
  <si>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</si>
  <si>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</si>
  <si>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</si>
  <si>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</si>
  <si>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</si>
  <si>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</si>
  <si>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</si>
  <si>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</si>
  <si>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</si>
  <si>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</si>
  <si>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</si>
  <si>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</si>
  <si>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</si>
  <si>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</si>
  <si>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</si>
  <si>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</si>
  <si>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</si>
  <si>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</si>
  <si>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</si>
  <si>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</si>
  <si>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</si>
  <si>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</si>
  <si>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</si>
  <si>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</si>
  <si>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</si>
  <si>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</si>
  <si>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</si>
  <si>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</si>
  <si>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</si>
  <si>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</si>
  <si>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</si>
  <si>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</si>
  <si>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</si>
  <si>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</si>
  <si>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</si>
  <si>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</si>
  <si>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</si>
  <si>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</si>
  <si>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</si>
  <si>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</si>
  <si>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</si>
  <si>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</si>
  <si>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</si>
  <si>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</si>
  <si>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</si>
  <si>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</si>
  <si>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</si>
  <si>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</si>
  <si>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</si>
  <si>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</si>
  <si>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</si>
  <si>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</si>
  <si>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</si>
  <si>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</si>
  <si>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</si>
  <si>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</si>
  <si>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</si>
  <si>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</si>
  <si>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</si>
  <si>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</si>
  <si>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</si>
  <si>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</si>
  <si>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</si>
  <si>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</si>
  <si>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</si>
  <si>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</si>
  <si>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</si>
  <si>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</si>
  <si>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</si>
  <si>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</si>
  <si>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</si>
  <si>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</si>
  <si>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</si>
  <si>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</si>
  <si>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</si>
  <si>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</si>
  <si>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</si>
  <si>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</si>
  <si>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</si>
  <si>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</si>
  <si>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</si>
  <si>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</si>
  <si>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</si>
  <si>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</si>
  <si>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</si>
  <si>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</si>
  <si>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</si>
  <si>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</si>
  <si>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</si>
  <si>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</si>
  <si>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</si>
  <si>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</si>
  <si>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</si>
  <si>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</si>
  <si>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</si>
  <si>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</si>
  <si>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</si>
  <si>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</si>
  <si>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</si>
  <si>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</si>
  <si>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</si>
  <si>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</si>
  <si>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</si>
  <si>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</si>
  <si>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</si>
  <si>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</si>
  <si>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</si>
  <si>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</si>
  <si>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</si>
  <si>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</si>
  <si>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</si>
  <si>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</si>
  <si>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</si>
  <si>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</si>
  <si>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</si>
  <si>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</si>
  <si>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</si>
  <si>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</si>
  <si>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</si>
  <si>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</si>
  <si>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</si>
  <si>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</si>
  <si>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</si>
  <si>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</si>
  <si>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</si>
  <si>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</si>
  <si>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</si>
  <si>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</si>
  <si>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</si>
  <si>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</si>
  <si>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</si>
  <si>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</si>
  <si>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</si>
  <si>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</si>
  <si>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</si>
  <si>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</si>
  <si>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</si>
  <si>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</si>
  <si>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</si>
  <si>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</si>
  <si>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</si>
  <si>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</si>
  <si>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</si>
  <si>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</si>
  <si>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</si>
  <si>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</si>
  <si>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</si>
  <si>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</si>
  <si>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</si>
  <si>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</si>
  <si>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</si>
  <si>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</si>
  <si>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</si>
  <si>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</si>
  <si>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</si>
  <si>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</si>
  <si>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</si>
  <si>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</si>
  <si>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</si>
  <si>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</si>
  <si>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</si>
  <si>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</si>
  <si>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</si>
  <si>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</si>
  <si>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</si>
  <si>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</si>
  <si>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</si>
  <si>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</si>
  <si>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</si>
  <si>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</si>
  <si>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</si>
  <si>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</si>
  <si>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</si>
  <si>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</si>
  <si>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</si>
  <si>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</si>
  <si>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</si>
  <si>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</si>
  <si>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</si>
  <si>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</si>
  <si>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</si>
  <si>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</si>
  <si>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</si>
  <si>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</si>
  <si>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</si>
  <si>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</si>
  <si>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</si>
  <si>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</si>
  <si>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</si>
  <si>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</si>
  <si>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</si>
  <si>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</si>
  <si>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</si>
  <si>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</si>
  <si>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</si>
  <si>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</si>
  <si>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</si>
  <si>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</si>
  <si>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</si>
  <si>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</si>
  <si>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</si>
  <si>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</si>
  <si>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</si>
  <si>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</si>
  <si>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</si>
  <si>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</si>
  <si>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</si>
  <si>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</si>
  <si>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</si>
  <si>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</si>
  <si>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</si>
  <si>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</si>
  <si>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</si>
  <si>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</si>
  <si>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</si>
  <si>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</si>
  <si>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</si>
  <si>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</si>
  <si>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</si>
  <si>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</si>
  <si>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</si>
  <si>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</si>
  <si>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</si>
  <si>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</si>
  <si>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</si>
  <si>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</si>
  <si>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</si>
  <si>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</si>
  <si>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</si>
  <si>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</si>
  <si>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</si>
  <si>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</si>
  <si>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</si>
  <si>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</si>
  <si>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</si>
  <si>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</si>
  <si>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</si>
  <si>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</si>
  <si>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</si>
  <si>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</si>
  <si>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</si>
  <si>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</si>
  <si>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</si>
  <si>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</si>
  <si>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</si>
  <si>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</si>
  <si>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</si>
  <si>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</si>
  <si>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</si>
  <si>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</si>
  <si>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</si>
  <si>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</si>
  <si>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</si>
  <si>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</si>
  <si>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</si>
  <si>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</si>
  <si>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</si>
  <si>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</si>
  <si>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</si>
  <si>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</si>
  <si>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</si>
  <si>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</si>
  <si>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</si>
  <si>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</si>
  <si>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</si>
  <si>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</si>
  <si>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</si>
  <si>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</si>
  <si>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</si>
  <si>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</si>
  <si>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</si>
  <si>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</si>
  <si>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</si>
  <si>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</si>
  <si>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</si>
  <si>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</si>
  <si>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</si>
  <si>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</si>
  <si>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</si>
  <si>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</si>
  <si>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</si>
  <si>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</si>
  <si>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</si>
  <si>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</si>
  <si>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</si>
  <si>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</si>
  <si>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</si>
  <si>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</si>
  <si>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</si>
  <si>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</si>
  <si>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</si>
  <si>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</si>
  <si>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</si>
  <si>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</si>
  <si>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</si>
  <si>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</si>
  <si>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</si>
  <si>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</si>
  <si>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</si>
  <si>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</si>
  <si>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</si>
  <si>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</si>
  <si>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</si>
  <si>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</si>
  <si>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</si>
  <si>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</si>
  <si>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</si>
  <si>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</si>
  <si>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</si>
  <si>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</si>
  <si>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</si>
  <si>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</si>
  <si>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</si>
  <si>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</si>
  <si>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</si>
  <si>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</si>
  <si>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</si>
  <si>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</si>
  <si>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</si>
  <si>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</si>
  <si>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</si>
  <si>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</si>
  <si>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</si>
  <si>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</si>
  <si>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</si>
  <si>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</si>
  <si>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</si>
  <si>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</si>
  <si>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</si>
  <si>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</si>
  <si>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</si>
  <si>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</si>
  <si>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</si>
  <si>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</si>
  <si>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</si>
  <si>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</si>
  <si>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</si>
  <si>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</si>
  <si>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</si>
  <si>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</si>
  <si>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</si>
  <si>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</si>
  <si>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</si>
  <si>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</si>
  <si>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</si>
  <si>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</si>
  <si>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</si>
  <si>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</si>
  <si>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</si>
  <si>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</si>
  <si>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</si>
  <si>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</si>
  <si>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</si>
  <si>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</si>
  <si>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</si>
  <si>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</si>
  <si>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</si>
  <si>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</si>
  <si>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</si>
  <si>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</si>
  <si>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</si>
  <si>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</si>
  <si>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</si>
  <si>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</si>
  <si>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</si>
  <si>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</si>
  <si>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</si>
  <si>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</si>
  <si>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</si>
  <si>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</si>
  <si>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</si>
  <si>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</si>
  <si>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</si>
  <si>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</si>
  <si>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</si>
  <si>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</si>
  <si>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</si>
  <si>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</si>
  <si>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</si>
  <si>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</si>
  <si>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</si>
  <si>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</si>
  <si>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</si>
  <si>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</si>
  <si>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</si>
  <si>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</si>
  <si>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</si>
  <si>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</si>
  <si>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</si>
  <si>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</si>
  <si>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</si>
  <si>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</si>
  <si>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</si>
  <si>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</si>
  <si>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</si>
  <si>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</si>
  <si>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</si>
  <si>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</si>
  <si>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</si>
  <si>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</si>
  <si>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</si>
  <si>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</si>
  <si>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</si>
  <si>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</si>
  <si>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</si>
  <si>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</si>
  <si>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</si>
  <si>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</si>
  <si>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</si>
  <si>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</si>
  <si>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</si>
  <si>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</si>
  <si>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</si>
  <si>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</si>
  <si>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</si>
  <si>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</si>
  <si>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</si>
  <si>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</si>
  <si>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</si>
  <si>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</si>
  <si>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</si>
  <si>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</si>
  <si>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</si>
  <si>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</si>
  <si>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</si>
  <si>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</si>
  <si>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</si>
  <si>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</si>
  <si>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</si>
  <si>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</si>
  <si>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</si>
  <si>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</si>
  <si>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</si>
  <si>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</si>
  <si>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</si>
  <si>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</si>
  <si>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</si>
  <si>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</si>
  <si>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</si>
  <si>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</si>
  <si>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</si>
  <si>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</si>
  <si>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</si>
  <si>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</si>
  <si>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</si>
  <si>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</si>
  <si>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</si>
  <si>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</si>
  <si>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</si>
  <si>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</si>
  <si>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</si>
  <si>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</si>
  <si>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</si>
  <si>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</si>
  <si>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</si>
  <si>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</si>
  <si>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</si>
  <si>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</si>
  <si>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</si>
  <si>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</si>
  <si>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</si>
  <si>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</si>
  <si>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</si>
  <si>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</si>
  <si>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</si>
  <si>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</si>
  <si>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</si>
  <si>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</si>
  <si>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</si>
  <si>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</si>
  <si>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</si>
  <si>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</si>
  <si>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</si>
  <si>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</si>
  <si>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</si>
  <si>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</si>
  <si>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</si>
  <si>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</si>
  <si>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</si>
  <si>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</si>
  <si>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</si>
  <si>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</si>
  <si>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</si>
  <si>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</si>
  <si>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</si>
  <si>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</si>
  <si>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</si>
  <si>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</si>
  <si>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</si>
  <si>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</si>
  <si>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</si>
  <si>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</si>
  <si>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</si>
  <si>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</si>
  <si>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</si>
  <si>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</si>
  <si>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</si>
  <si>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</si>
  <si>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</si>
  <si>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</si>
  <si>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</si>
  <si>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</si>
  <si>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</si>
  <si>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</si>
  <si>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</si>
  <si>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</si>
  <si>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</si>
  <si>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</si>
  <si>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</si>
  <si>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</si>
  <si>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</si>
  <si>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</si>
  <si>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</si>
  <si>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</si>
  <si>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</si>
  <si>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</si>
  <si>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</si>
  <si>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</si>
  <si>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</si>
  <si>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</si>
  <si>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</si>
  <si>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</si>
  <si>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</si>
  <si>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</si>
  <si>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</si>
  <si>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</si>
  <si>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</si>
  <si>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</si>
  <si>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</si>
  <si>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</si>
  <si>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</si>
  <si>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</si>
  <si>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</si>
  <si>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</si>
  <si>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</si>
  <si>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</si>
  <si>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</si>
  <si>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</si>
  <si>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</si>
  <si>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</si>
  <si>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</si>
  <si>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</si>
  <si>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</si>
  <si>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</si>
  <si>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</si>
  <si>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</si>
  <si>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</si>
  <si>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</si>
  <si>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</si>
  <si>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</si>
  <si>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</si>
  <si>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</si>
  <si>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</si>
  <si>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</si>
  <si>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</si>
  <si>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</si>
  <si>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</si>
  <si>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</si>
  <si>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</si>
  <si>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</si>
  <si>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</si>
  <si>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</si>
  <si>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</si>
  <si>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</si>
  <si>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</si>
  <si>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</si>
  <si>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</si>
  <si>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</si>
  <si>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</si>
  <si>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</si>
  <si>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</si>
  <si>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</si>
  <si>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</si>
  <si>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</si>
  <si>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</si>
  <si>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</si>
  <si>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</si>
  <si>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</si>
  <si>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</si>
  <si>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</si>
  <si>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</si>
  <si>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</si>
  <si>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</si>
  <si>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</si>
  <si>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</si>
  <si>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</si>
  <si>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</si>
  <si>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</si>
  <si>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</si>
  <si>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</si>
  <si>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</si>
  <si>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</si>
  <si>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</si>
  <si>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</si>
  <si>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</si>
  <si>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</si>
  <si>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</si>
  <si>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</si>
  <si>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</si>
  <si>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</si>
  <si>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</si>
  <si>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</si>
  <si>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</si>
  <si>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</si>
  <si>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</si>
  <si>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</si>
  <si>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</si>
  <si>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</si>
  <si>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</si>
  <si>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</si>
  <si>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</si>
  <si>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</si>
  <si>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</si>
  <si>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</si>
  <si>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</si>
  <si>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</si>
  <si>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</si>
  <si>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</si>
  <si>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</si>
  <si>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</si>
  <si>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</si>
  <si>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</si>
  <si>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</si>
  <si>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</si>
  <si>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</si>
  <si>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</si>
  <si>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</si>
  <si>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</si>
  <si>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</si>
  <si>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</si>
  <si>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</si>
  <si>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</si>
  <si>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</si>
  <si>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</si>
  <si>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</si>
  <si>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</si>
  <si>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</si>
  <si>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</si>
  <si>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</si>
  <si>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</si>
  <si>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</si>
  <si>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</si>
  <si>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</si>
  <si>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</si>
  <si>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</si>
  <si>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</si>
  <si>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</si>
  <si>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</si>
  <si>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</si>
  <si>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</si>
  <si>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</si>
  <si>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</si>
  <si>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</si>
  <si>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</si>
  <si>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</si>
  <si>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</si>
  <si>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</si>
  <si>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</si>
  <si>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</si>
  <si>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</si>
  <si>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</si>
  <si>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</si>
  <si>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</si>
  <si>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</si>
  <si>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</si>
  <si>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</si>
  <si>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</si>
  <si>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</si>
  <si>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</si>
  <si>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</si>
  <si>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</si>
  <si>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</si>
  <si>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</si>
  <si>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</si>
  <si>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</si>
  <si>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</si>
  <si>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</si>
  <si>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</si>
  <si>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</si>
  <si>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</si>
  <si>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</si>
  <si>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</si>
  <si>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</si>
  <si>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</si>
  <si>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</si>
  <si>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</si>
  <si>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</si>
  <si>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</si>
  <si>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</si>
  <si>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</si>
  <si>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</si>
  <si>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</si>
  <si>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</si>
  <si>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</si>
  <si>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</si>
  <si>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</si>
  <si>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</si>
  <si>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</si>
  <si>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</si>
  <si>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</si>
  <si>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</si>
  <si>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</si>
  <si>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</si>
  <si>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</si>
  <si>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</si>
  <si>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</si>
  <si>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</si>
  <si>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</si>
  <si>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</si>
  <si>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</si>
  <si>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</si>
  <si>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</si>
  <si>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</si>
  <si>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</si>
  <si>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</si>
  <si>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</si>
  <si>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</si>
  <si>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</si>
  <si>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</si>
  <si>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</si>
  <si>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</si>
  <si>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</si>
  <si>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</si>
  <si>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</si>
  <si>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</si>
  <si>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</si>
  <si>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</si>
  <si>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</si>
  <si>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</si>
  <si>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</si>
  <si>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</si>
  <si>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</si>
  <si>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</si>
  <si>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</si>
  <si>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</si>
  <si>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</si>
  <si>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</si>
  <si>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</si>
  <si>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</si>
  <si>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</si>
  <si>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</si>
  <si>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</si>
  <si>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</si>
  <si>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</si>
  <si>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</si>
  <si>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</si>
  <si>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</si>
  <si>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</si>
  <si>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</si>
  <si>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</si>
  <si>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</si>
  <si>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</si>
  <si>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</si>
  <si>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</si>
  <si>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</si>
  <si>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</si>
  <si>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</si>
  <si>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</si>
  <si>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</si>
  <si>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</si>
  <si>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</si>
  <si>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</si>
  <si>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</si>
  <si>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</si>
  <si>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</si>
  <si>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</si>
  <si>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</si>
  <si>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</si>
  <si>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</si>
  <si>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</si>
  <si>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</si>
  <si>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</si>
  <si>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</si>
  <si>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</si>
  <si>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</si>
  <si>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</si>
  <si>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</si>
  <si>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</si>
  <si>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</si>
  <si>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</si>
  <si>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</si>
  <si>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</si>
  <si>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</si>
  <si>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</si>
  <si>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</si>
  <si>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</si>
  <si>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</si>
  <si>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</si>
  <si>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</si>
  <si>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</si>
  <si>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</si>
  <si>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</si>
  <si>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</si>
  <si>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</si>
  <si>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</si>
  <si>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</si>
  <si>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</si>
  <si>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</si>
  <si>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</si>
  <si>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</si>
  <si>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</si>
  <si>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</si>
  <si>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</si>
  <si>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</si>
  <si>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</si>
  <si>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</si>
  <si>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</si>
  <si>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</si>
  <si>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</si>
  <si>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</si>
  <si>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</si>
  <si>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</si>
  <si>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</si>
  <si>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</si>
  <si>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</si>
  <si>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</si>
  <si>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</si>
  <si>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</si>
  <si>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</si>
  <si>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</si>
  <si>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</si>
  <si>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</si>
  <si>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</si>
  <si>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</si>
  <si>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</si>
  <si>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</si>
  <si>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</si>
  <si>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</si>
  <si>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</si>
  <si>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</si>
  <si>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</si>
  <si>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</si>
  <si>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</si>
  <si>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</si>
  <si>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</si>
  <si>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</si>
  <si>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</si>
  <si>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</si>
  <si>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</si>
  <si>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</si>
  <si>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</si>
  <si>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</si>
  <si>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</si>
  <si>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</si>
  <si>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</si>
  <si>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</si>
  <si>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</si>
  <si>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</si>
  <si>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</si>
  <si>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</si>
  <si>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</si>
  <si>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</si>
  <si>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</si>
  <si>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</si>
  <si>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</si>
  <si>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</si>
  <si>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</si>
  <si>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</si>
  <si>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</si>
  <si>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</si>
  <si>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</si>
  <si>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</si>
  <si>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</si>
  <si>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</si>
  <si>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</si>
  <si>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</si>
  <si>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</si>
  <si>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</si>
  <si>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</si>
  <si>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</si>
  <si>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</si>
  <si>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</si>
  <si>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</si>
  <si>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</si>
  <si>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</si>
  <si>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</si>
  <si>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</si>
  <si>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</si>
  <si>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</si>
  <si>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</si>
  <si>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</si>
  <si>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</si>
  <si>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</si>
  <si>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</si>
  <si>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</si>
  <si>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</si>
  <si>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</si>
  <si>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</si>
  <si>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</si>
  <si>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</si>
  <si>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</si>
  <si>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</si>
  <si>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</si>
  <si>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</si>
  <si>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</si>
  <si>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</si>
  <si>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</si>
  <si>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</si>
  <si>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</si>
  <si>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</si>
  <si>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</si>
  <si>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</si>
  <si>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</si>
  <si>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</si>
  <si>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</si>
  <si>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</si>
  <si>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</si>
  <si>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</si>
  <si>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</si>
  <si>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</si>
  <si>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</si>
  <si>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</si>
  <si>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</si>
  <si>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</si>
  <si>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</si>
  <si>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</si>
  <si>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</si>
  <si>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</si>
  <si>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</si>
  <si>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</si>
  <si>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</si>
  <si>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</si>
  <si>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</si>
  <si>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</si>
  <si>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</si>
  <si>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</si>
  <si>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</si>
  <si>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</si>
  <si>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</si>
  <si>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</si>
  <si>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</si>
  <si>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</si>
  <si>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</si>
  <si>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</si>
  <si>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</si>
  <si>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</si>
  <si>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</si>
  <si>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</si>
  <si>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</si>
  <si>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</si>
  <si>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</si>
  <si>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</si>
  <si>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</si>
  <si>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</si>
  <si>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</si>
  <si>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</si>
  <si>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</si>
  <si>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</si>
  <si>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</si>
  <si>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</si>
  <si>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</si>
  <si>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</si>
  <si>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</si>
  <si>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</si>
  <si>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</si>
  <si>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</si>
  <si>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</si>
  <si>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</si>
  <si>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</si>
  <si>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</si>
  <si>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</si>
  <si>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</si>
  <si>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</si>
  <si>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</si>
  <si>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</si>
  <si>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</si>
  <si>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</si>
  <si>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</si>
  <si>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</si>
  <si>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</si>
  <si>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</si>
  <si>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</si>
  <si>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</si>
  <si>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</si>
  <si>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</si>
  <si>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</si>
  <si>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</si>
  <si>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</si>
  <si>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</si>
  <si>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</si>
  <si>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</si>
  <si>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</si>
  <si>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</si>
  <si>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</si>
  <si>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</si>
  <si>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</si>
  <si>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</si>
  <si>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</si>
  <si>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</si>
  <si>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</si>
  <si>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</si>
  <si>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</si>
  <si>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</si>
  <si>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</si>
  <si>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</si>
  <si>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</si>
  <si>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</si>
  <si>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</si>
  <si>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</si>
  <si>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</si>
  <si>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</si>
  <si>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</si>
  <si>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</si>
  <si>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</si>
  <si>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</si>
  <si>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</si>
  <si>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</si>
  <si>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</si>
  <si>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</si>
  <si>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</si>
  <si>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</si>
  <si>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</si>
  <si>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</si>
  <si>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</si>
  <si>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</si>
  <si>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</si>
  <si>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</si>
  <si>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</si>
  <si>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</si>
  <si>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</si>
  <si>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</si>
  <si>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</si>
  <si>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</si>
  <si>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</si>
  <si>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</si>
  <si>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</si>
  <si>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</si>
  <si>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</si>
  <si>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</si>
  <si>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</si>
  <si>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</si>
  <si>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</si>
  <si>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</si>
  <si>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</si>
  <si>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</si>
  <si>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</si>
  <si>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</si>
  <si>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</si>
  <si>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</si>
  <si>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</si>
  <si>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</si>
  <si>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</si>
  <si>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</si>
  <si>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</si>
  <si>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</si>
  <si>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</si>
  <si>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</si>
  <si>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</si>
  <si>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</si>
  <si>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</si>
  <si>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</si>
  <si>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</si>
  <si>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</si>
  <si>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</si>
  <si>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</si>
  <si>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</si>
  <si>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</si>
  <si>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</si>
  <si>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</si>
  <si>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</si>
  <si>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</si>
  <si>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</si>
  <si>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</si>
  <si>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</si>
  <si>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</si>
  <si>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</si>
  <si>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</si>
  <si>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</si>
  <si>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</si>
  <si>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</si>
  <si>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</si>
  <si>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</si>
  <si>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</si>
  <si>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</si>
  <si>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</si>
  <si>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</si>
  <si>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</si>
  <si>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</si>
  <si>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</si>
  <si>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</si>
  <si>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</si>
  <si>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</si>
  <si>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</si>
  <si>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</si>
  <si>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</si>
  <si>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</si>
  <si>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</si>
  <si>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</si>
  <si>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</si>
  <si>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</si>
  <si>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</si>
  <si>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</si>
  <si>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</si>
  <si>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</si>
  <si>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</si>
  <si>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</si>
  <si>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</si>
  <si>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</si>
  <si>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</si>
  <si>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</si>
  <si>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</si>
  <si>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</si>
  <si>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</si>
  <si>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</si>
  <si>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</si>
  <si>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</si>
  <si>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</si>
  <si>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</si>
  <si>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</si>
  <si>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</si>
  <si>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</si>
  <si>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</si>
  <si>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</si>
  <si>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</si>
  <si>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</si>
  <si>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</si>
  <si>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</si>
  <si>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</si>
  <si>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</si>
  <si>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</si>
  <si>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</si>
  <si>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</si>
  <si>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</si>
  <si>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</si>
  <si>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</si>
  <si>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</si>
  <si>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</si>
  <si>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</si>
  <si>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</si>
  <si>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</si>
  <si>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</si>
  <si>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</si>
  <si>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</si>
  <si>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</si>
  <si>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</si>
  <si>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</si>
  <si>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</si>
  <si>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</si>
  <si>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</si>
  <si>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</si>
  <si>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</si>
  <si>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</si>
  <si>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</si>
  <si>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</si>
  <si>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</si>
  <si>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</si>
  <si>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</si>
  <si>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</si>
  <si>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</si>
  <si>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</si>
  <si>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</si>
  <si>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</si>
  <si>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</si>
  <si>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</si>
  <si>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</si>
  <si>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</si>
  <si>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</si>
  <si>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</si>
  <si>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</si>
  <si>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</si>
  <si>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</si>
  <si>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</si>
  <si>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</si>
  <si>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</si>
  <si>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</si>
  <si>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</si>
  <si>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</si>
  <si>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</si>
  <si>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</si>
  <si>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</si>
  <si>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</si>
  <si>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</si>
  <si>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</si>
  <si>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</si>
  <si>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</si>
  <si>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</si>
  <si>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</si>
  <si>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</si>
  <si>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</si>
  <si>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</si>
  <si>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</si>
  <si>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</si>
  <si>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</si>
  <si>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</si>
  <si>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</si>
  <si>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</si>
  <si>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</si>
  <si>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</si>
  <si>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</si>
  <si>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</si>
  <si>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</si>
  <si>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</si>
  <si>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</si>
  <si>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</si>
  <si>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</si>
  <si>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</si>
  <si>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</si>
  <si>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</si>
  <si>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</si>
  <si>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</si>
  <si>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</si>
  <si>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</si>
  <si>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</si>
  <si>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</si>
  <si>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</si>
  <si>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</si>
  <si>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</si>
  <si>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</si>
  <si>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</si>
  <si>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</si>
  <si>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</si>
  <si>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</si>
  <si>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</si>
  <si>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</si>
  <si>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</si>
  <si>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</si>
  <si>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</si>
  <si>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</si>
  <si>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</si>
  <si>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</si>
  <si>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</si>
  <si>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</si>
  <si>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</si>
  <si>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</si>
  <si>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</si>
  <si>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</si>
  <si>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</si>
  <si>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</si>
  <si>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</si>
  <si>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</si>
  <si>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</si>
  <si>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</si>
  <si>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</si>
  <si>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</si>
  <si>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</si>
  <si>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</si>
  <si>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</si>
  <si>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</si>
  <si>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</si>
  <si>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</si>
  <si>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</si>
  <si>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</si>
  <si>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</si>
  <si>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</si>
  <si>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</si>
  <si>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</si>
  <si>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</si>
  <si>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</si>
  <si>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</si>
  <si>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</si>
  <si>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</si>
  <si>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</si>
  <si>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</si>
  <si>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</si>
  <si>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</si>
  <si>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</si>
  <si>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</si>
  <si>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</si>
  <si>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</si>
  <si>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</si>
  <si>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</si>
  <si>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</si>
  <si>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</si>
  <si>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</si>
  <si>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</si>
  <si>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</si>
  <si>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</si>
  <si>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</si>
  <si>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</si>
  <si>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</si>
  <si>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</si>
  <si>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</si>
  <si>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</si>
  <si>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</si>
  <si>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</si>
  <si>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</si>
  <si>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</si>
  <si>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</si>
  <si>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</si>
  <si>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</si>
  <si>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</si>
  <si>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</si>
  <si>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</si>
  <si>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</si>
  <si>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</si>
  <si>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</si>
  <si>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</si>
  <si>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</si>
  <si>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</si>
  <si>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</si>
  <si>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</si>
  <si>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</si>
  <si>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</si>
  <si>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</si>
  <si>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</si>
  <si>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</si>
  <si>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</si>
  <si>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</si>
  <si>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</si>
  <si>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</si>
  <si>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</si>
  <si>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</si>
  <si>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</si>
  <si>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</si>
  <si>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</si>
  <si>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</si>
  <si>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</si>
  <si>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</si>
  <si>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</si>
  <si>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</si>
  <si>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</si>
  <si>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</si>
  <si>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</si>
  <si>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</si>
  <si>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</si>
  <si>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</si>
  <si>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</si>
  <si>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</si>
  <si>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</si>
  <si>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</si>
  <si>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</si>
  <si>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</si>
  <si>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</si>
  <si>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</si>
  <si>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</si>
  <si>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</si>
  <si>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</si>
  <si>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</si>
  <si>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</si>
  <si>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</si>
  <si>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</si>
  <si>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</si>
  <si>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</si>
  <si>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</si>
  <si>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</si>
  <si>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</si>
  <si>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</si>
  <si>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</si>
  <si>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</si>
  <si>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</si>
  <si>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</si>
  <si>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</si>
  <si>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</si>
  <si>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</si>
  <si>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</si>
  <si>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</si>
  <si>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</si>
  <si>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</si>
  <si>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</si>
  <si>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</si>
  <si>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</si>
  <si>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</si>
  <si>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</si>
  <si>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</si>
  <si>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</si>
  <si>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</si>
  <si>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</si>
  <si>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</si>
  <si>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</si>
  <si>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</si>
  <si>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</si>
  <si>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</si>
  <si>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</si>
  <si>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</si>
  <si>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</si>
  <si>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</si>
  <si>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</si>
  <si>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</si>
  <si>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</si>
  <si>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</si>
  <si>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</si>
  <si>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</si>
  <si>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</si>
  <si>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</si>
  <si>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</si>
  <si>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</si>
  <si>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</si>
  <si>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</si>
  <si>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</si>
  <si>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</si>
  <si>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</si>
  <si>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</si>
  <si>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</si>
  <si>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</si>
  <si>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</si>
  <si>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</si>
  <si>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</si>
  <si>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</si>
  <si>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</si>
  <si>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</si>
  <si>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</si>
  <si>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</si>
  <si>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</si>
  <si>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</si>
  <si>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</si>
  <si>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</si>
  <si>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</si>
  <si>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</si>
  <si>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</si>
  <si>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</si>
  <si>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</si>
  <si>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</si>
  <si>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</si>
  <si>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</si>
  <si>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</si>
  <si>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</si>
  <si>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</si>
  <si>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</si>
  <si>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</si>
  <si>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</si>
  <si>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</si>
  <si>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</si>
  <si>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</si>
  <si>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</si>
  <si>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</si>
  <si>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</si>
  <si>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</si>
  <si>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</si>
  <si>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</si>
  <si>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</si>
  <si>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</si>
  <si>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</si>
  <si>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</si>
  <si>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</si>
  <si>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</si>
  <si>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</si>
  <si>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</si>
  <si>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</si>
  <si>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</si>
  <si>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</si>
  <si>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</si>
  <si>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</si>
  <si>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</si>
  <si>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</si>
  <si>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</si>
  <si>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</si>
  <si>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</si>
  <si>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</si>
  <si>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</si>
  <si>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</si>
  <si>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</si>
  <si>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</si>
  <si>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</si>
  <si>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</si>
  <si>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</si>
  <si>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</si>
  <si>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</si>
  <si>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</si>
  <si>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</si>
  <si>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</si>
  <si>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</si>
  <si>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</si>
  <si>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</si>
  <si>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</si>
  <si>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</si>
  <si>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</si>
  <si>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</si>
  <si>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</si>
  <si>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</si>
  <si>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</si>
  <si>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</si>
  <si>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</si>
  <si>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</si>
  <si>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</si>
  <si>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</si>
  <si>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</si>
  <si>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</si>
  <si>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</si>
  <si>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</si>
  <si>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</si>
  <si>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</si>
  <si>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</si>
  <si>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</si>
  <si>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</si>
  <si>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</si>
  <si>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</si>
  <si>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</si>
  <si>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</si>
  <si>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</si>
  <si>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</si>
  <si>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</si>
  <si>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</si>
  <si>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</si>
  <si>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</si>
  <si>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</si>
  <si>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</si>
  <si>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</si>
  <si>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</si>
  <si>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</si>
  <si>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</si>
  <si>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</si>
  <si>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</si>
  <si>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</si>
  <si>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</si>
  <si>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</si>
  <si>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</si>
  <si>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</si>
  <si>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</si>
  <si>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</si>
  <si>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</si>
  <si>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</si>
  <si>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</si>
  <si>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</si>
  <si>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</si>
  <si>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</si>
  <si>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</si>
  <si>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</si>
  <si>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</si>
  <si>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</si>
  <si>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</si>
  <si>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</si>
  <si>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</si>
  <si>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</si>
  <si>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</si>
  <si>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</si>
  <si>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</si>
  <si>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</si>
  <si>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</si>
  <si>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</si>
  <si>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</si>
  <si>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</si>
  <si>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</si>
  <si>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</si>
  <si>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</si>
  <si>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</si>
  <si>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</si>
  <si>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</si>
  <si>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</si>
  <si>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</si>
  <si>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</si>
  <si>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</si>
  <si>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</si>
  <si>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</si>
  <si>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</si>
  <si>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</si>
  <si>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</si>
  <si>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</si>
  <si>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</si>
  <si>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</si>
  <si>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</si>
  <si>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</si>
  <si>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</si>
  <si>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</si>
  <si>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</si>
  <si>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</si>
  <si>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</si>
  <si>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</si>
  <si>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</si>
  <si>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</si>
  <si>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</si>
  <si>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</si>
  <si>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</si>
  <si>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</si>
  <si>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</si>
  <si>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</si>
  <si>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</si>
  <si>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</si>
  <si>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</si>
  <si>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</si>
  <si>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</si>
  <si>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</si>
  <si>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</si>
  <si>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</si>
  <si>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</si>
  <si>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</si>
  <si>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</si>
  <si>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</si>
  <si>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</si>
  <si>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</si>
  <si>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</si>
  <si>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</si>
  <si>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</si>
  <si>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</si>
  <si>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</si>
  <si>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</si>
  <si>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</si>
  <si>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</si>
  <si>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</si>
  <si>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</si>
  <si>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</si>
  <si>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</si>
  <si>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</si>
  <si>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</si>
  <si>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</si>
  <si>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</si>
  <si>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</si>
  <si>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</si>
  <si>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</si>
  <si>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</si>
  <si>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</si>
  <si>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</si>
  <si>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</si>
  <si>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</si>
  <si>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</si>
  <si>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</si>
  <si>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</si>
  <si>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</si>
  <si>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</si>
  <si>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</si>
  <si>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</si>
  <si>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</si>
  <si>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</si>
  <si>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</si>
  <si>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</si>
  <si>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</si>
  <si>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</si>
  <si>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</si>
  <si>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</si>
  <si>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</si>
  <si>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</si>
  <si>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</si>
  <si>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</si>
  <si>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</si>
  <si>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</si>
  <si>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</si>
  <si>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</si>
  <si>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</si>
  <si>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</si>
  <si>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</si>
  <si>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</si>
  <si>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</si>
  <si>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</si>
  <si>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</si>
  <si>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</si>
  <si>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</si>
  <si>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</si>
  <si>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</si>
  <si>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</si>
  <si>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</si>
  <si>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</si>
  <si>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</si>
  <si>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</si>
  <si>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</si>
  <si>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</si>
  <si>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</si>
  <si>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</si>
  <si>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</si>
  <si>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</si>
  <si>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</si>
  <si>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</si>
  <si>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</si>
  <si>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</si>
  <si>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</si>
  <si>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</si>
  <si>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</si>
  <si>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</si>
  <si>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</si>
  <si>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</si>
  <si>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</si>
  <si>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</si>
  <si>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</si>
  <si>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</si>
  <si>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</si>
  <si>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</si>
  <si>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</si>
  <si>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</si>
  <si>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</si>
  <si>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</si>
  <si>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</si>
  <si>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</si>
  <si>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</si>
  <si>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</si>
  <si>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</si>
  <si>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</si>
  <si>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</si>
  <si>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</si>
  <si>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</si>
  <si>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</si>
  <si>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</si>
  <si>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</si>
  <si>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</si>
  <si>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</si>
  <si>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</si>
  <si>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</si>
  <si>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</si>
  <si>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</si>
  <si>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</si>
  <si>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</si>
  <si>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</si>
  <si>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</si>
  <si>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</si>
  <si>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</si>
  <si>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</si>
  <si>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</si>
  <si>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</si>
  <si>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</si>
  <si>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</si>
  <si>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</si>
  <si>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</si>
  <si>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</si>
  <si>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</si>
  <si>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</si>
  <si>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</si>
  <si>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</si>
  <si>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</si>
  <si>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</si>
  <si>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</si>
  <si>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</si>
  <si>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</si>
  <si>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</si>
  <si>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</si>
  <si>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</si>
  <si>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</si>
  <si>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</si>
  <si>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</si>
  <si>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</si>
  <si>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</si>
  <si>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</si>
  <si>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</si>
  <si>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</si>
  <si>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</si>
  <si>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</si>
  <si>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</si>
  <si>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</si>
  <si>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</si>
  <si>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</si>
  <si>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</si>
  <si>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</si>
  <si>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</si>
  <si>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</si>
  <si>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</si>
  <si>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</si>
  <si>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</si>
  <si>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</si>
  <si>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</si>
  <si>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</si>
  <si>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</si>
  <si>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</si>
  <si>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</si>
  <si>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</si>
  <si>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</si>
  <si>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</si>
  <si>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</si>
  <si>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</si>
  <si>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</si>
  <si>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</si>
  <si>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</si>
  <si>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</si>
  <si>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</si>
  <si>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</si>
  <si>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</si>
  <si>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</si>
  <si>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</si>
  <si>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</si>
  <si>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</si>
  <si>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</si>
  <si>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</si>
  <si>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</si>
  <si>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</si>
  <si>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</si>
  <si>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</si>
  <si>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</si>
  <si>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</si>
  <si>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</si>
  <si>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</si>
  <si>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</si>
  <si>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</si>
  <si>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</si>
  <si>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</si>
  <si>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</si>
  <si>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</si>
  <si>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</si>
  <si>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</si>
  <si>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</si>
  <si>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</si>
  <si>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</si>
  <si>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</si>
  <si>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</si>
  <si>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</si>
  <si>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</si>
  <si>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</si>
  <si>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</si>
  <si>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</si>
  <si>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</si>
  <si>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</si>
  <si>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</si>
  <si>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</si>
  <si>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</si>
  <si>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</si>
  <si>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</si>
  <si>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</si>
  <si>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</si>
  <si>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</si>
  <si>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</si>
  <si>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</si>
  <si>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</si>
  <si>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</si>
  <si>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</si>
  <si>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</si>
  <si>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</si>
  <si>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</si>
  <si>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</si>
  <si>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</si>
  <si>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</si>
  <si>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</si>
  <si>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</si>
  <si>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</si>
  <si>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</si>
  <si>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</si>
  <si>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</si>
  <si>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</si>
  <si>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</si>
  <si>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</si>
  <si>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</si>
  <si>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</si>
  <si>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</si>
  <si>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</si>
  <si>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</si>
  <si>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</si>
  <si>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</si>
  <si>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</si>
  <si>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</si>
  <si>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</si>
  <si>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</si>
  <si>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</si>
  <si>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</si>
  <si>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</si>
  <si>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</si>
  <si>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</si>
  <si>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</si>
  <si>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</si>
  <si>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</si>
  <si>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</si>
  <si>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</si>
  <si>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</si>
  <si>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</si>
  <si>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</si>
  <si>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</si>
  <si>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</si>
  <si>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</si>
  <si>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</si>
  <si>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</si>
  <si>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</si>
  <si>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</si>
  <si>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</si>
  <si>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</si>
  <si>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</si>
  <si>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</si>
  <si>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</si>
  <si>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</si>
  <si>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</si>
  <si>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</si>
  <si>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</si>
  <si>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</si>
  <si>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</si>
  <si>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</si>
  <si>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</si>
  <si>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</si>
  <si>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</si>
  <si>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</si>
  <si>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</si>
  <si>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</si>
  <si>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</si>
  <si>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</si>
  <si>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</si>
  <si>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</si>
  <si>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</si>
  <si>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</si>
  <si>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</si>
  <si>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</si>
  <si>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</si>
  <si>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</si>
  <si>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</si>
  <si>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</si>
  <si>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</si>
  <si>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</si>
  <si>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</si>
  <si>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</si>
  <si>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</si>
  <si>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</si>
  <si>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</si>
  <si>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</si>
  <si>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</si>
  <si>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</si>
  <si>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</si>
  <si>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</si>
  <si>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</si>
  <si>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</si>
  <si>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</si>
  <si>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</si>
  <si>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</si>
  <si>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</si>
  <si>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</si>
  <si>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</si>
  <si>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</si>
  <si>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</si>
  <si>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</si>
  <si>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</si>
  <si>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</si>
  <si>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</si>
  <si>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</si>
  <si>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</si>
  <si>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</si>
  <si>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</si>
  <si>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</si>
  <si>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</si>
  <si>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</si>
  <si>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</si>
  <si>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</si>
  <si>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</si>
  <si>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</si>
  <si>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</si>
  <si>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</si>
  <si>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</si>
  <si>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</si>
  <si>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</si>
  <si>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</si>
  <si>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</si>
  <si>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</si>
  <si>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</si>
  <si>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</si>
  <si>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</si>
  <si>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</si>
  <si>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</si>
  <si>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</si>
  <si>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</si>
  <si>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</si>
  <si>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</si>
  <si>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</si>
  <si>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</si>
  <si>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</si>
  <si>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</si>
  <si>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</si>
  <si>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</si>
  <si>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</si>
  <si>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</si>
  <si>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</si>
  <si>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</si>
  <si>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</si>
  <si>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</si>
  <si>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</si>
  <si>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</si>
  <si>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</si>
  <si>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</si>
  <si>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</si>
  <si>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</si>
  <si>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</si>
  <si>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</si>
  <si>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</si>
  <si>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</si>
  <si>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</si>
  <si>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</si>
  <si>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</si>
  <si>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</si>
  <si>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</si>
  <si>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</si>
  <si>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</si>
  <si>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</si>
  <si>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</si>
  <si>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</si>
  <si>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</si>
  <si>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</si>
  <si>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</si>
  <si>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</si>
  <si>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</si>
  <si>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</si>
  <si>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</si>
  <si>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</si>
  <si>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</si>
  <si>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</si>
  <si>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</si>
  <si>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</si>
  <si>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</si>
  <si>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</si>
  <si>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</si>
  <si>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</si>
  <si>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</si>
  <si>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</si>
  <si>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</si>
  <si>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</si>
  <si>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</si>
  <si>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</si>
  <si>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</si>
  <si>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</si>
  <si>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</si>
  <si>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</si>
  <si>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</si>
  <si>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</si>
  <si>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</si>
  <si>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</si>
  <si>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</si>
  <si>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</si>
  <si>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</si>
  <si>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</si>
  <si>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</si>
  <si>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</si>
  <si>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</si>
  <si>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</si>
  <si>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</si>
  <si>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</si>
  <si>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</si>
  <si>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</si>
  <si>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</si>
  <si>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</si>
  <si>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</si>
  <si>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</si>
  <si>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</si>
  <si>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</si>
  <si>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</si>
  <si>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</si>
  <si>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</si>
  <si>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</si>
  <si>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</si>
  <si>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</si>
  <si>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</si>
  <si>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</si>
  <si>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</si>
  <si>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</si>
  <si>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</si>
  <si>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</si>
  <si>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</si>
  <si>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</si>
  <si>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</si>
  <si>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</si>
  <si>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</si>
  <si>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</si>
  <si>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</si>
  <si>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</si>
  <si>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</si>
  <si>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</si>
  <si>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</si>
  <si>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</si>
  <si>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</si>
  <si>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</si>
  <si>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</si>
  <si>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</si>
  <si>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</si>
  <si>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</si>
  <si>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</si>
  <si>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</si>
  <si>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</si>
  <si>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</si>
  <si>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</si>
  <si>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</si>
  <si>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</si>
  <si>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</si>
  <si>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</si>
  <si>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</si>
  <si>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</si>
  <si>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</si>
  <si>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</si>
  <si>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</si>
  <si>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</si>
  <si>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</si>
  <si>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</si>
  <si>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</si>
  <si>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</si>
  <si>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</si>
  <si>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</si>
  <si>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</si>
  <si>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</si>
  <si>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</si>
  <si>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</si>
  <si>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</si>
  <si>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</si>
  <si>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</si>
  <si>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</si>
  <si>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</si>
  <si>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</si>
  <si>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</si>
  <si>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</si>
  <si>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</si>
  <si>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</si>
  <si>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</si>
  <si>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</si>
  <si>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</si>
  <si>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</si>
  <si>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</si>
  <si>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</si>
  <si>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</si>
  <si>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</si>
  <si>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</si>
  <si>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</si>
  <si>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</si>
  <si>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</si>
  <si>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</si>
  <si>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</si>
  <si>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</si>
  <si>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</si>
  <si>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</si>
  <si>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</si>
  <si>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</si>
  <si>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</si>
  <si>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</si>
  <si>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</si>
  <si>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</si>
  <si>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</si>
  <si>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</si>
  <si>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</si>
  <si>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</si>
  <si>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</si>
  <si>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</si>
  <si>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</si>
  <si>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</si>
  <si>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</si>
  <si>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</si>
  <si>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</si>
  <si>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</si>
  <si>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</si>
  <si>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</si>
  <si>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</si>
  <si>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</si>
  <si>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</si>
  <si>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</si>
  <si>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</si>
  <si>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</si>
  <si>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</si>
  <si>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</si>
  <si>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</si>
  <si>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</si>
  <si>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</si>
  <si>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</si>
  <si>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</si>
  <si>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</si>
  <si>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</si>
  <si>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</si>
  <si>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</si>
  <si>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</si>
  <si>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</si>
  <si>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</si>
  <si>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</si>
  <si>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</si>
  <si>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</si>
  <si>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</si>
  <si>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</si>
  <si>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</si>
  <si>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</si>
  <si>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</si>
  <si>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</si>
  <si>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</si>
  <si>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</si>
  <si>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</si>
  <si>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</si>
  <si>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</si>
  <si>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</si>
  <si>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</si>
  <si>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</si>
  <si>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</si>
  <si>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</si>
  <si>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</si>
  <si>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</si>
  <si>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</si>
  <si>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</si>
  <si>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</si>
  <si>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</si>
  <si>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</si>
  <si>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</si>
  <si>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</si>
  <si>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</si>
  <si>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</si>
  <si>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</si>
  <si>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</si>
  <si>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</si>
  <si>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</si>
  <si>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</si>
  <si>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</si>
  <si>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</si>
  <si>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</si>
  <si>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</si>
  <si>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</si>
  <si>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</si>
  <si>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</si>
  <si>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</si>
  <si>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</si>
  <si>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</si>
  <si>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</si>
  <si>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</si>
  <si>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</si>
  <si>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</si>
  <si>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</si>
  <si>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</si>
  <si>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</si>
  <si>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</si>
  <si>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</si>
  <si>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</si>
  <si>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</si>
  <si>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</si>
  <si>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</si>
  <si>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</si>
  <si>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</si>
  <si>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</si>
  <si>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</si>
  <si>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</si>
  <si>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</si>
  <si>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</si>
  <si>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</si>
  <si>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</si>
  <si>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</si>
  <si>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</si>
  <si>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</si>
  <si>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</si>
  <si>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</si>
  <si>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</si>
  <si>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</si>
  <si>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</si>
  <si>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</si>
  <si>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</si>
  <si>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</si>
  <si>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</si>
  <si>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</si>
  <si>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</si>
  <si>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</si>
  <si>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</si>
  <si>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</si>
  <si>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</si>
  <si>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</si>
  <si>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</si>
  <si>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</si>
  <si>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</si>
  <si>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</si>
  <si>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</si>
  <si>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</si>
  <si>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</si>
  <si>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</si>
  <si>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</si>
  <si>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</si>
  <si>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</si>
  <si>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</si>
  <si>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</si>
  <si>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</si>
  <si>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</si>
  <si>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</si>
  <si>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</si>
  <si>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</si>
  <si>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</si>
  <si>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</si>
  <si>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</si>
  <si>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</si>
  <si>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</si>
  <si>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</si>
  <si>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</si>
  <si>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</si>
  <si>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</si>
  <si>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</si>
  <si>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</si>
  <si>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</si>
  <si>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</si>
  <si>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</si>
  <si>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</si>
  <si>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</si>
  <si>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</si>
  <si>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</si>
  <si>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</si>
  <si>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</si>
  <si>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</si>
  <si>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</si>
  <si>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</si>
  <si>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</si>
  <si>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</si>
  <si>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</si>
  <si>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</si>
  <si>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</si>
  <si>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</si>
  <si>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</si>
  <si>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</si>
  <si>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</si>
  <si>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</si>
  <si>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</si>
  <si>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</si>
  <si>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</si>
  <si>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</si>
  <si>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</si>
  <si>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</si>
  <si>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</si>
  <si>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</si>
  <si>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</si>
  <si>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</si>
  <si>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</si>
  <si>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</si>
  <si>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</si>
  <si>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</si>
  <si>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</si>
  <si>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</si>
  <si>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</si>
  <si>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</si>
  <si>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</si>
  <si>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</si>
  <si>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</si>
  <si>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</si>
  <si>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</si>
  <si>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</si>
  <si>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</si>
  <si>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</si>
  <si>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</si>
  <si>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</si>
  <si>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</si>
  <si>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</si>
  <si>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</si>
  <si>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</si>
  <si>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</si>
  <si>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</si>
  <si>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</si>
  <si>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</si>
  <si>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</si>
  <si>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</si>
  <si>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</si>
  <si>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</si>
  <si>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</si>
  <si>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</si>
  <si>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</si>
  <si>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</si>
  <si>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</si>
  <si>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</si>
  <si>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</si>
  <si>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</si>
  <si>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</si>
  <si>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</si>
  <si>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</si>
  <si>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</si>
  <si>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</si>
  <si>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</si>
  <si>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</si>
  <si>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</si>
  <si>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</si>
  <si>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</si>
  <si>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</si>
  <si>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</si>
  <si>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</si>
  <si>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</si>
  <si>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</si>
  <si>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</si>
  <si>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</si>
  <si>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</si>
  <si>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</si>
  <si>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</si>
  <si>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</si>
  <si>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</si>
  <si>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</si>
  <si>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</si>
  <si>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</si>
  <si>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</si>
  <si>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</si>
  <si>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</si>
  <si>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</si>
  <si>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</si>
  <si>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</si>
  <si>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</si>
  <si>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</si>
  <si>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</si>
  <si>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</si>
  <si>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</si>
  <si>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</si>
  <si>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</si>
  <si>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</si>
  <si>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</si>
  <si>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</si>
  <si>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</si>
  <si>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</si>
  <si>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</si>
  <si>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</si>
  <si>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</si>
  <si>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</si>
  <si>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</si>
  <si>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</si>
  <si>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</si>
  <si>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</si>
  <si>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</si>
  <si>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</si>
  <si>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</si>
  <si>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</si>
  <si>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</si>
  <si>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</si>
  <si>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</si>
  <si>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</si>
  <si>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</si>
  <si>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</si>
  <si>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</si>
  <si>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</si>
  <si>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</si>
  <si>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</si>
  <si>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</si>
  <si>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</si>
  <si>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</si>
  <si>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</si>
  <si>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</si>
  <si>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</si>
  <si>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</si>
  <si>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</si>
  <si>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</si>
  <si>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</si>
  <si>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</si>
  <si>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</si>
  <si>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</si>
  <si>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</si>
  <si>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</si>
  <si>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</si>
  <si>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</si>
  <si>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</si>
  <si>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</si>
  <si>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</si>
  <si>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</si>
  <si>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</si>
  <si>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</si>
  <si>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</si>
  <si>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</si>
  <si>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</si>
  <si>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</si>
  <si>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</si>
  <si>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</si>
  <si>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</si>
  <si>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</si>
  <si>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</si>
  <si>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</si>
  <si>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</si>
  <si>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</si>
  <si>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</si>
  <si>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</si>
  <si>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</si>
  <si>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</si>
  <si>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</si>
  <si>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</si>
  <si>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</si>
  <si>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</si>
  <si>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</si>
  <si>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</si>
  <si>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</si>
  <si>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</si>
  <si>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</si>
  <si>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</si>
  <si>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</si>
  <si>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</si>
  <si>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</si>
  <si>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</si>
  <si>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</si>
  <si>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</si>
  <si>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</si>
  <si>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</si>
  <si>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</si>
  <si>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</si>
  <si>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</si>
  <si>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</si>
  <si>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</si>
  <si>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</si>
  <si>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</si>
  <si>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</si>
  <si>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</si>
  <si>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</si>
  <si>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</si>
  <si>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</si>
  <si>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</si>
  <si>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</si>
  <si>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</si>
  <si>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</si>
  <si>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</si>
  <si>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</si>
  <si>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</si>
  <si>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</si>
  <si>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</si>
  <si>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</si>
  <si>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</si>
  <si>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</si>
  <si>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</si>
  <si>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</si>
  <si>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</si>
  <si>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</si>
  <si>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</si>
  <si>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</si>
  <si>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</si>
  <si>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</si>
  <si>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</si>
  <si>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</si>
  <si>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</si>
  <si>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</si>
  <si>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</si>
  <si>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</si>
  <si>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</si>
  <si>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</si>
  <si>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</si>
  <si>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</si>
  <si>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</si>
  <si>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</si>
  <si>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</si>
  <si>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</si>
  <si>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</si>
  <si>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</si>
  <si>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</si>
  <si>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</si>
  <si>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</si>
  <si>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</si>
  <si>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</si>
  <si>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</si>
  <si>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</si>
  <si>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</si>
  <si>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</si>
  <si>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</si>
  <si>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</si>
  <si>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</si>
  <si>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</si>
  <si>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</si>
  <si>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</si>
  <si>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</si>
  <si>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</si>
  <si>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</si>
  <si>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</si>
  <si>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</si>
  <si>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</si>
  <si>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</si>
  <si>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</si>
  <si>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</si>
  <si>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</si>
  <si>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</si>
  <si>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</si>
  <si>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</si>
  <si>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</si>
  <si>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</si>
  <si>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</si>
  <si>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</si>
  <si>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</si>
  <si>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</si>
  <si>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</si>
  <si>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</si>
  <si>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</si>
  <si>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</si>
  <si>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</si>
  <si>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</si>
  <si>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</si>
  <si>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</si>
  <si>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</si>
  <si>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</si>
  <si>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</si>
  <si>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</si>
  <si>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</si>
  <si>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</si>
  <si>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</si>
  <si>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</si>
  <si>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</si>
  <si>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</si>
  <si>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</si>
  <si>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</si>
  <si>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</si>
  <si>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</si>
  <si>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</si>
  <si>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</si>
  <si>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</si>
  <si>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</si>
  <si>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</si>
  <si>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</si>
  <si>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</si>
  <si>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</si>
  <si>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</si>
  <si>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</si>
  <si>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</si>
  <si>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</si>
  <si>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</si>
  <si>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</si>
  <si>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</si>
  <si>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</si>
  <si>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</si>
  <si>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</si>
  <si>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</si>
  <si>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</si>
  <si>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</si>
  <si>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</si>
  <si>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</si>
  <si>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</si>
  <si>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</si>
  <si>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</si>
  <si>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</si>
  <si>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</si>
  <si>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</si>
  <si>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</si>
  <si>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</si>
  <si>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</si>
  <si>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</si>
  <si>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</si>
  <si>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</si>
  <si>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</si>
  <si>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</si>
  <si>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</si>
  <si>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</si>
  <si>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</si>
  <si>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</si>
  <si>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</si>
  <si>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</si>
  <si>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</si>
  <si>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</si>
  <si>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</si>
  <si>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</si>
  <si>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</si>
  <si>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</si>
  <si>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</si>
  <si>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</si>
  <si>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</si>
  <si>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</si>
  <si>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</si>
  <si>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</si>
  <si>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</si>
  <si>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</si>
  <si>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</si>
  <si>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</si>
  <si>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</si>
  <si>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</si>
  <si>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</si>
  <si>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</si>
  <si>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</si>
  <si>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</si>
  <si>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</si>
  <si>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</si>
  <si>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</si>
  <si>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</si>
  <si>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</si>
  <si>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</si>
  <si>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</si>
  <si>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</si>
  <si>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</si>
  <si>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</si>
  <si>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</si>
  <si>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</si>
  <si>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</si>
  <si>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</si>
  <si>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</si>
  <si>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</si>
  <si>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</si>
  <si>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</si>
  <si>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</si>
  <si>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</si>
  <si>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</si>
  <si>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</si>
  <si>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</si>
  <si>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</si>
  <si>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</si>
  <si>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</si>
  <si>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</si>
  <si>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</si>
  <si>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</si>
  <si>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</si>
  <si>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</si>
  <si>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</si>
  <si>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</si>
  <si>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</si>
  <si>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</si>
  <si>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</si>
  <si>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</si>
  <si>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</si>
  <si>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</si>
  <si>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</si>
  <si>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</si>
  <si>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</si>
  <si>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</si>
  <si>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</si>
  <si>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</si>
  <si>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</si>
  <si>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</si>
  <si>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</si>
  <si>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</si>
  <si>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</si>
  <si>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</si>
  <si>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</si>
  <si>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</si>
  <si>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</si>
  <si>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</si>
  <si>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</si>
  <si>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</si>
  <si>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</si>
  <si>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</si>
  <si>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</si>
  <si>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</si>
  <si>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</si>
  <si>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</si>
  <si>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</si>
  <si>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</si>
  <si>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</si>
  <si>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</si>
  <si>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</si>
  <si>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</si>
  <si>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</si>
  <si>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</si>
  <si>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</si>
  <si>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</si>
  <si>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</si>
  <si>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</si>
  <si>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</si>
  <si>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</si>
  <si>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</si>
  <si>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</si>
  <si>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</si>
  <si>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</si>
  <si>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</si>
  <si>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</si>
  <si>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</si>
  <si>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</si>
  <si>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</si>
  <si>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</si>
  <si>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</si>
  <si>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</si>
  <si>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</si>
  <si>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</si>
  <si>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</si>
  <si>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</si>
  <si>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</si>
  <si>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</si>
  <si>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</si>
  <si>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</si>
  <si>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</si>
  <si>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</si>
  <si>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</si>
  <si>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</si>
  <si>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</si>
  <si>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</si>
  <si>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</si>
  <si>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</si>
  <si>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</si>
  <si>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</si>
  <si>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</si>
  <si>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</si>
  <si>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</si>
  <si>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</si>
  <si>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</si>
  <si>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</si>
  <si>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</si>
  <si>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</si>
  <si>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</si>
  <si>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</si>
  <si>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</si>
  <si>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</si>
  <si>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</si>
  <si>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</si>
  <si>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</si>
  <si>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</si>
  <si>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</si>
  <si>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</si>
  <si>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</si>
  <si>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</si>
  <si>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</si>
  <si>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</si>
  <si>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</si>
  <si>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</si>
  <si>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</si>
  <si>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</si>
  <si>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</si>
  <si>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</si>
  <si>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</si>
  <si>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</si>
  <si>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</si>
  <si>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</si>
  <si>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</si>
  <si>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</si>
  <si>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</si>
  <si>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</si>
  <si>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</si>
  <si>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</si>
  <si>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</si>
  <si>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</si>
  <si>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</si>
  <si>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</si>
  <si>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</si>
  <si>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</si>
  <si>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</si>
  <si>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</si>
  <si>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</si>
  <si>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</si>
  <si>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</si>
  <si>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</si>
  <si>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</si>
  <si>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</si>
  <si>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</si>
  <si>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</si>
  <si>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</si>
  <si>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</si>
  <si>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</si>
  <si>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</si>
  <si>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</si>
  <si>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</si>
  <si>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</si>
  <si>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</si>
  <si>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</si>
  <si>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</si>
  <si>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</si>
  <si>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</si>
  <si>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</si>
  <si>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</si>
  <si>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</si>
  <si>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</si>
  <si>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</si>
  <si>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</si>
  <si>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</si>
  <si>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</si>
  <si>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</si>
  <si>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</si>
  <si>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</si>
  <si>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</si>
  <si>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</si>
  <si>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</si>
  <si>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</si>
  <si>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</si>
  <si>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</si>
  <si>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</si>
  <si>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</si>
  <si>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</si>
  <si>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</si>
  <si>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</si>
  <si>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</si>
  <si>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</si>
  <si>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</si>
  <si>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</si>
  <si>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</si>
  <si>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</si>
  <si>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</si>
  <si>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</si>
  <si>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</si>
  <si>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</si>
  <si>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</si>
  <si>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</si>
  <si>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</si>
  <si>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</si>
  <si>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</si>
  <si>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</si>
  <si>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</si>
  <si>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</si>
  <si>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</si>
  <si>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</si>
  <si>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</si>
  <si>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</si>
  <si>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</si>
  <si>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</si>
  <si>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</si>
  <si>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</si>
  <si>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</si>
  <si>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</si>
  <si>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</si>
  <si>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</si>
  <si>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</si>
  <si>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</si>
  <si>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</si>
  <si>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</si>
  <si>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</si>
  <si>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</si>
  <si>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</si>
  <si>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</si>
  <si>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</si>
  <si>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</si>
  <si>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</si>
  <si>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</si>
  <si>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</si>
  <si>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</si>
  <si>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</si>
  <si>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</si>
  <si>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</si>
  <si>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</si>
  <si>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</si>
  <si>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</si>
  <si>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</si>
  <si>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</si>
  <si>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</si>
  <si>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</si>
  <si>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</si>
  <si>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</si>
  <si>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</si>
  <si>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</si>
  <si>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</si>
  <si>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</si>
  <si>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</si>
  <si>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</si>
  <si>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</si>
  <si>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</si>
  <si>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</si>
  <si>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</si>
  <si>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</si>
  <si>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</si>
  <si>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</si>
  <si>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</si>
  <si>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</si>
  <si>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</si>
  <si>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</si>
  <si>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</si>
  <si>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</si>
  <si>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</si>
  <si>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</si>
  <si>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</si>
  <si>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</si>
  <si>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</si>
  <si>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</si>
  <si>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</si>
  <si>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</si>
  <si>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</si>
  <si>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</si>
  <si>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</si>
  <si>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</si>
  <si>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</si>
  <si>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</si>
  <si>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</si>
  <si>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</si>
  <si>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</si>
  <si>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</si>
  <si>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</si>
  <si>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</si>
  <si>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</si>
  <si>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</si>
  <si>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</si>
  <si>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</si>
  <si>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</si>
  <si>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</si>
  <si>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</si>
  <si>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</si>
  <si>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</si>
  <si>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</si>
  <si>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</si>
  <si>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</si>
  <si>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</si>
  <si>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</si>
  <si>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</si>
  <si>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</si>
  <si>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</si>
  <si>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</si>
  <si>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</si>
  <si>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</si>
  <si>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</si>
  <si>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</si>
  <si>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</si>
  <si>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</si>
  <si>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</si>
  <si>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</si>
  <si>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</si>
  <si>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</si>
  <si>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</si>
  <si>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</si>
  <si>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</si>
  <si>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</si>
  <si>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</si>
  <si>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</si>
  <si>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</si>
  <si>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</si>
  <si>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</si>
  <si>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</si>
  <si>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</si>
  <si>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</si>
  <si>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</si>
  <si>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</si>
  <si>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</si>
  <si>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</si>
  <si>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</si>
  <si>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</si>
  <si>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</si>
  <si>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</si>
  <si>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</si>
  <si>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</si>
  <si>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</si>
  <si>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</si>
  <si>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</si>
  <si>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</si>
  <si>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</si>
  <si>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</si>
  <si>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</si>
  <si>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</si>
  <si>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</si>
  <si>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</si>
  <si>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</si>
  <si>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</si>
  <si>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</si>
  <si>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</si>
  <si>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</si>
  <si>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</si>
  <si>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</si>
  <si>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</si>
  <si>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</si>
  <si>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</si>
  <si>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</si>
  <si>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</si>
  <si>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</si>
  <si>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</si>
  <si>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</si>
  <si>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</si>
  <si>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</si>
  <si>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</si>
  <si>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</si>
  <si>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</si>
  <si>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</si>
  <si>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</si>
  <si>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</si>
  <si>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</si>
  <si>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</si>
  <si>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</si>
  <si>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</si>
  <si>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</si>
  <si>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</si>
  <si>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</si>
  <si>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</si>
  <si>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</si>
  <si>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</si>
  <si>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</si>
  <si>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</si>
  <si>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</si>
  <si>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</si>
  <si>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</si>
  <si>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</si>
  <si>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</si>
  <si>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</si>
  <si>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</si>
  <si>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</si>
  <si>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</si>
  <si>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</si>
  <si>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</si>
  <si>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</si>
  <si>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</si>
  <si>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</si>
  <si>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</si>
  <si>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</si>
  <si>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</si>
  <si>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</si>
  <si>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</si>
  <si>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</si>
  <si>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</si>
  <si>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</si>
  <si>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</si>
  <si>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</si>
  <si>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</si>
  <si>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</si>
  <si>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</si>
  <si>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</si>
  <si>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</si>
  <si>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</si>
  <si>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</si>
  <si>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</si>
  <si>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</si>
  <si>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</si>
  <si>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</si>
  <si>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</si>
  <si>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</si>
  <si>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</si>
  <si>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</si>
  <si>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</si>
  <si>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</si>
  <si>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</si>
  <si>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</si>
  <si>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</si>
  <si>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</si>
  <si>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</si>
  <si>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</si>
  <si>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</si>
  <si>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</si>
  <si>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</si>
  <si>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</si>
  <si>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</si>
  <si>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</si>
  <si>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</si>
  <si>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</si>
  <si>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</si>
  <si>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</si>
  <si>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</si>
  <si>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</si>
  <si>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</si>
  <si>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</si>
  <si>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</si>
  <si>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</si>
  <si>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</si>
  <si>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</si>
  <si>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</si>
  <si>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</si>
  <si>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</si>
  <si>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</si>
  <si>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</si>
  <si>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</si>
  <si>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</si>
  <si>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</si>
  <si>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</si>
  <si>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</si>
  <si>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</si>
  <si>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</si>
  <si>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</si>
  <si>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</si>
  <si>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</si>
  <si>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</si>
  <si>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</si>
  <si>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</si>
  <si>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</si>
  <si>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</si>
  <si>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</si>
  <si>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</si>
  <si>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</si>
  <si>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</si>
  <si>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</si>
  <si>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</si>
  <si>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</si>
  <si>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</si>
  <si>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</si>
  <si>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</si>
  <si>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</si>
  <si>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</si>
  <si>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</si>
  <si>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</si>
  <si>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</si>
  <si>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</si>
  <si>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</si>
  <si>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</si>
  <si>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</si>
  <si>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</si>
  <si>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</si>
  <si>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</si>
  <si>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</si>
  <si>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</si>
  <si>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</si>
  <si>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</si>
  <si>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</si>
  <si>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</si>
  <si>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</si>
  <si>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</si>
  <si>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</si>
  <si>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</si>
  <si>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</si>
  <si>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</si>
  <si>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</si>
  <si>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</si>
  <si>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</si>
  <si>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</si>
  <si>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</si>
  <si>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</si>
  <si>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</si>
  <si>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</si>
  <si>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</si>
  <si>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</si>
  <si>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</si>
  <si>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</si>
  <si>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</si>
  <si>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</si>
  <si>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</si>
  <si>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</si>
  <si>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</si>
  <si>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</si>
  <si>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</si>
  <si>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</si>
  <si>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</si>
  <si>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</si>
  <si>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</si>
  <si>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</si>
  <si>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</si>
  <si>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</si>
  <si>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</si>
  <si>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</si>
  <si>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</si>
  <si>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</si>
  <si>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</si>
  <si>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</si>
  <si>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</si>
  <si>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</si>
  <si>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</si>
  <si>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</si>
  <si>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</si>
  <si>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</si>
  <si>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</si>
  <si>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</si>
  <si>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</si>
  <si>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</si>
  <si>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</si>
  <si>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</si>
  <si>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</si>
  <si>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</si>
  <si>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</si>
  <si>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</si>
  <si>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</si>
  <si>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</si>
  <si>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</si>
  <si>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</si>
  <si>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</si>
  <si>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</si>
  <si>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</si>
  <si>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</si>
  <si>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</si>
  <si>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</si>
  <si>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</si>
  <si>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</si>
  <si>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</si>
  <si>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</si>
  <si>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</si>
  <si>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</si>
  <si>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</si>
  <si>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</si>
  <si>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</si>
  <si>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</si>
  <si>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</si>
  <si>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</si>
  <si>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</si>
  <si>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</si>
  <si>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</si>
  <si>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</si>
  <si>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</si>
  <si>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</si>
  <si>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</si>
  <si>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</si>
  <si>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</si>
  <si>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</si>
  <si>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</si>
  <si>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</si>
  <si>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</si>
  <si>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</si>
  <si>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</si>
  <si>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</si>
  <si>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</si>
  <si>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</si>
  <si>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</si>
  <si>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</si>
  <si>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</si>
  <si>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</si>
  <si>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</si>
  <si>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</si>
  <si>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</si>
  <si>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</si>
  <si>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</si>
  <si>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</si>
  <si>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</si>
  <si>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</si>
  <si>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</si>
  <si>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</si>
  <si>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</si>
  <si>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</si>
  <si>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</si>
  <si>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</si>
  <si>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</si>
  <si>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</si>
  <si>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</si>
  <si>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</si>
  <si>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</si>
  <si>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</si>
  <si>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</si>
  <si>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</si>
  <si>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</si>
  <si>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</si>
  <si>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</si>
  <si>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</si>
  <si>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</si>
  <si>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</si>
  <si>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</si>
  <si>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</si>
  <si>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</si>
  <si>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</si>
  <si>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</si>
  <si>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</si>
  <si>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</si>
  <si>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</si>
  <si>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</si>
  <si>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</si>
  <si>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</si>
  <si>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</si>
  <si>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</si>
  <si>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</si>
  <si>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</si>
  <si>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</si>
  <si>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</si>
  <si>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</si>
  <si>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</si>
  <si>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</si>
  <si>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</si>
  <si>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</si>
  <si>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</si>
  <si>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</si>
  <si>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</si>
  <si>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</si>
  <si>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</si>
  <si>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</si>
  <si>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</si>
  <si>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</si>
  <si>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</si>
  <si>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</si>
  <si>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</si>
  <si>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</si>
  <si>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</si>
  <si>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</si>
  <si>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</si>
  <si>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</si>
  <si>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</si>
  <si>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</si>
  <si>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</si>
  <si>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</si>
  <si>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</si>
  <si>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</si>
  <si>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</si>
  <si>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</si>
  <si>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</si>
  <si>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</si>
  <si>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</si>
  <si>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</si>
  <si>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</si>
  <si>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</si>
  <si>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</si>
  <si>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</si>
  <si>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</si>
  <si>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</si>
  <si>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</si>
  <si>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</si>
  <si>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</si>
  <si>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</si>
  <si>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</si>
  <si>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</si>
  <si>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</si>
  <si>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</si>
  <si>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</si>
  <si>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</si>
  <si>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</si>
  <si>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</si>
  <si>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</si>
  <si>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</si>
  <si>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</si>
  <si>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</si>
  <si>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</si>
  <si>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</si>
  <si>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</si>
  <si>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</si>
  <si>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</si>
  <si>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</si>
  <si>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</si>
  <si>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</si>
  <si>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</si>
  <si>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</si>
  <si>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</si>
  <si>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</si>
  <si>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</si>
  <si>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</si>
  <si>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</si>
  <si>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</si>
  <si>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</si>
  <si>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</si>
  <si>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</si>
  <si>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</si>
  <si>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</si>
  <si>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</si>
  <si>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</si>
  <si>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</si>
  <si>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</si>
  <si>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</si>
  <si>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</si>
  <si>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</si>
  <si>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</si>
  <si>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</si>
  <si>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</si>
  <si>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</si>
  <si>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</si>
  <si>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</si>
  <si>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</si>
  <si>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</si>
  <si>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</si>
  <si>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</si>
  <si>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</si>
  <si>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</si>
  <si>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</si>
  <si>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</si>
  <si>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</si>
  <si>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</si>
  <si>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</si>
  <si>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</si>
  <si>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</si>
  <si>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</si>
  <si>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</si>
  <si>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</si>
  <si>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</si>
  <si>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</si>
  <si>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</si>
  <si>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</si>
  <si>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</si>
  <si>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</si>
  <si>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</si>
  <si>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</si>
  <si>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</si>
  <si>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</si>
  <si>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</si>
  <si>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</si>
  <si>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</si>
  <si>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</si>
  <si>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</si>
  <si>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</si>
  <si>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</si>
  <si>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</si>
  <si>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</si>
  <si>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</si>
  <si>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</si>
  <si>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</si>
  <si>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</si>
  <si>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</si>
  <si>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</si>
  <si>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</si>
  <si>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</si>
  <si>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</si>
  <si>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</si>
  <si>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</si>
  <si>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</si>
  <si>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</si>
  <si>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</si>
  <si>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</si>
  <si>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</si>
  <si>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</si>
  <si>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</si>
  <si>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</si>
  <si>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</si>
  <si>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</si>
  <si>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</si>
  <si>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</si>
  <si>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</si>
  <si>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</si>
  <si>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</si>
  <si>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</si>
  <si>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</si>
  <si>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</si>
  <si>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</si>
  <si>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</si>
  <si>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</si>
  <si>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</si>
  <si>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</si>
  <si>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</si>
  <si>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</si>
  <si>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</si>
  <si>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</si>
  <si>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</si>
  <si>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</si>
  <si>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</si>
  <si>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</si>
  <si>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</si>
  <si>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</si>
  <si>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</si>
  <si>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</si>
  <si>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</si>
  <si>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</si>
  <si>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</si>
  <si>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</si>
  <si>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</si>
  <si>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</si>
  <si>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</si>
  <si>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</si>
  <si>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</si>
  <si>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</si>
  <si>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</si>
  <si>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</si>
  <si>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</si>
  <si>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</si>
  <si>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</si>
  <si>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</si>
  <si>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</si>
  <si>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</si>
  <si>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</si>
  <si>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</si>
  <si>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</si>
  <si>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</si>
  <si>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</si>
  <si>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</si>
  <si>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</si>
  <si>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</si>
  <si>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</si>
  <si>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</si>
  <si>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</si>
  <si>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</si>
  <si>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</si>
  <si>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</si>
  <si>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</si>
  <si>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</si>
  <si>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</si>
  <si>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</si>
  <si>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</si>
  <si>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</si>
  <si>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</si>
  <si>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</si>
  <si>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</si>
  <si>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</si>
  <si>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</si>
  <si>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</si>
  <si>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</si>
  <si>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</si>
  <si>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</si>
  <si>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</si>
  <si>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</si>
  <si>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</si>
  <si>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</si>
  <si>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</si>
  <si>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</si>
  <si>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</si>
  <si>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</si>
  <si>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</si>
  <si>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</si>
  <si>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</si>
  <si>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</si>
  <si>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</si>
  <si>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</si>
  <si>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</si>
  <si>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</si>
  <si>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</si>
  <si>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</si>
  <si>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</si>
  <si>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</si>
  <si>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</si>
  <si>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</si>
  <si>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</si>
  <si>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</si>
  <si>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</si>
  <si>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</si>
  <si>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</si>
  <si>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</si>
  <si>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</si>
  <si>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</si>
  <si>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</si>
  <si>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</si>
  <si>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</si>
  <si>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</si>
  <si>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</si>
  <si>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</si>
  <si>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</si>
  <si>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</si>
  <si>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</si>
  <si>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</si>
  <si>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</si>
  <si>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</si>
  <si>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</si>
  <si>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</si>
  <si>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</si>
  <si>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</si>
  <si>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</si>
  <si>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</si>
  <si>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</si>
  <si>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</si>
  <si>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</si>
  <si>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</si>
  <si>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</si>
  <si>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</si>
  <si>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</si>
  <si>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</si>
  <si>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</si>
  <si>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</si>
  <si>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</si>
  <si>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</si>
  <si>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</si>
  <si>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</si>
  <si>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</si>
  <si>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</si>
  <si>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</si>
  <si>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</si>
  <si>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</si>
  <si>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</si>
  <si>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</si>
  <si>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</si>
  <si>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</si>
  <si>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</si>
  <si>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</si>
  <si>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</si>
  <si>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</si>
  <si>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</si>
  <si>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</si>
  <si>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</si>
  <si>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</si>
  <si>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</si>
  <si>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</si>
  <si>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</si>
  <si>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</si>
  <si>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</si>
  <si>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</si>
  <si>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</si>
  <si>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</si>
  <si>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</si>
  <si>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</si>
  <si>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</si>
  <si>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</si>
  <si>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</si>
  <si>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</si>
  <si>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</si>
  <si>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</si>
  <si>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</si>
  <si>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</si>
  <si>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</si>
  <si>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</si>
  <si>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</si>
  <si>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</si>
  <si>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</si>
  <si>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</si>
  <si>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</si>
  <si>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</si>
  <si>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</si>
  <si>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</si>
  <si>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</si>
  <si>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</si>
  <si>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</si>
  <si>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</si>
  <si>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</si>
  <si>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</si>
  <si>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</si>
  <si>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</si>
  <si>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</si>
  <si>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</si>
  <si>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</si>
  <si>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</si>
  <si>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</si>
  <si>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</si>
  <si>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</si>
  <si>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</si>
  <si>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</si>
  <si>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</si>
  <si>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</si>
  <si>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</si>
  <si>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</si>
  <si>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</si>
  <si>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</si>
  <si>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</si>
  <si>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</si>
  <si>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</si>
  <si>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</si>
  <si>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</si>
  <si>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</si>
  <si>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</si>
  <si>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</si>
  <si>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</si>
  <si>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</si>
  <si>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</si>
  <si>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</si>
  <si>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</si>
  <si>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</si>
  <si>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</si>
  <si>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</si>
  <si>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</si>
  <si>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</si>
  <si>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</si>
  <si>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</si>
  <si>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</si>
  <si>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</si>
  <si>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</si>
  <si>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</si>
  <si>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</si>
  <si>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</si>
  <si>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</si>
  <si>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</si>
  <si>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</si>
  <si>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</si>
  <si>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</si>
  <si>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</si>
  <si>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</si>
  <si>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</si>
  <si>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</si>
  <si>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</si>
  <si>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</si>
  <si>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</si>
  <si>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</si>
  <si>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</si>
  <si>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</si>
  <si>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</si>
  <si>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</si>
  <si>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</si>
  <si>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</si>
  <si>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</si>
  <si>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</si>
  <si>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</si>
  <si>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</si>
  <si>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</si>
  <si>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</si>
  <si>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</si>
  <si>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</si>
  <si>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</si>
  <si>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</si>
  <si>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</si>
  <si>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</si>
  <si>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</si>
  <si>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</si>
  <si>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</si>
  <si>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</si>
  <si>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</si>
  <si>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</si>
  <si>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</si>
  <si>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</si>
  <si>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</si>
  <si>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</si>
  <si>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</si>
  <si>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</si>
  <si>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</si>
  <si>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</si>
  <si>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</si>
  <si>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</si>
  <si>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</si>
  <si>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</si>
  <si>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</si>
  <si>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</si>
  <si>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</si>
  <si>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</si>
  <si>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</si>
  <si>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</si>
  <si>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</si>
  <si>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</si>
  <si>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</si>
  <si>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</si>
  <si>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</si>
  <si>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</si>
  <si>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</si>
  <si>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</si>
  <si>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</si>
  <si>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</si>
  <si>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</si>
  <si>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</si>
  <si>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</si>
  <si>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</si>
  <si>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</si>
  <si>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</si>
  <si>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</si>
  <si>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</si>
  <si>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</si>
  <si>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</si>
  <si>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</si>
  <si>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</si>
  <si>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</si>
  <si>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</si>
  <si>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</si>
  <si>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</si>
  <si>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</si>
  <si>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</si>
  <si>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</si>
  <si>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</si>
  <si>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</si>
  <si>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</si>
  <si>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</si>
  <si>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</si>
  <si>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</si>
  <si>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</si>
  <si>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</si>
  <si>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</si>
  <si>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</si>
  <si>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</si>
  <si>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</si>
  <si>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</si>
  <si>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</si>
  <si>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</si>
  <si>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</si>
  <si>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</si>
  <si>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</si>
  <si>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</si>
  <si>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</si>
  <si>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</si>
  <si>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</si>
  <si>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</si>
  <si>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</si>
  <si>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</si>
  <si>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</si>
  <si>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</si>
  <si>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</si>
  <si>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</si>
  <si>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</si>
  <si>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</si>
  <si>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</si>
  <si>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</si>
  <si>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</si>
  <si>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</si>
  <si>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</si>
  <si>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</si>
  <si>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</si>
  <si>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</si>
  <si>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</si>
  <si>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</si>
  <si>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</si>
  <si>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</si>
  <si>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</si>
  <si>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</si>
  <si>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</si>
  <si>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</si>
  <si>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</si>
  <si>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</si>
  <si>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</si>
  <si>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</si>
  <si>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</si>
  <si>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</si>
  <si>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</si>
  <si>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</si>
  <si>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</si>
  <si>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</si>
  <si>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</si>
  <si>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</si>
  <si>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</si>
  <si>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</si>
  <si>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</si>
  <si>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</si>
  <si>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</si>
  <si>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</si>
  <si>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</si>
  <si>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</si>
  <si>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</si>
  <si>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</si>
  <si>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</si>
  <si>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</si>
  <si>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</si>
  <si>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</si>
  <si>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</si>
  <si>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</si>
  <si>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</si>
  <si>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</si>
  <si>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</si>
  <si>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</si>
  <si>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</si>
  <si>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</si>
  <si>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</si>
  <si>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</si>
  <si>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</si>
  <si>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</si>
  <si>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</si>
  <si>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</si>
  <si>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</si>
  <si>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</si>
  <si>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</si>
  <si>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</si>
  <si>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</si>
  <si>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</si>
  <si>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</si>
  <si>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</si>
  <si>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</si>
  <si>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</si>
  <si>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</si>
  <si>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</si>
  <si>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</si>
  <si>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</si>
  <si>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</si>
  <si>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</si>
  <si>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</si>
  <si>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</si>
  <si>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</si>
  <si>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</si>
  <si>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</si>
  <si>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</si>
  <si>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</si>
  <si>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</si>
  <si>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</si>
  <si>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</si>
  <si>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</si>
  <si>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</si>
  <si>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</si>
  <si>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</si>
  <si>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</si>
  <si>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</si>
  <si>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</si>
  <si>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</si>
  <si>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</si>
  <si>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</si>
  <si>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</si>
  <si>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</si>
  <si>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</si>
  <si>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</si>
  <si>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</si>
  <si>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</si>
  <si>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</si>
  <si>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</si>
  <si>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</si>
  <si>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</si>
  <si>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</si>
  <si>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</si>
  <si>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</si>
  <si>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</si>
  <si>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</si>
  <si>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</si>
  <si>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</si>
  <si>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</si>
  <si>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</si>
  <si>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</si>
  <si>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</si>
  <si>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</si>
  <si>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</si>
  <si>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</si>
  <si>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</si>
  <si>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</si>
  <si>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</si>
  <si>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</si>
  <si>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</si>
  <si>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</si>
  <si>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</si>
  <si>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</si>
  <si>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</si>
  <si>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</si>
  <si>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</si>
  <si>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</si>
  <si>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</si>
  <si>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</si>
  <si>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</si>
  <si>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</si>
  <si>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</si>
  <si>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</si>
  <si>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</si>
  <si>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</si>
  <si>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</si>
  <si>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</si>
  <si>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</si>
  <si>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</si>
  <si>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</si>
  <si>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</si>
  <si>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</si>
  <si>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</si>
  <si>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</si>
  <si>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</si>
  <si>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</si>
  <si>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</si>
  <si>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</si>
  <si>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</si>
  <si>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</si>
  <si>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</si>
  <si>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</si>
  <si>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</si>
  <si>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</si>
  <si>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</si>
  <si>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</si>
  <si>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</si>
  <si>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</si>
  <si>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</si>
  <si>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</si>
  <si>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</si>
  <si>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</si>
  <si>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</si>
  <si>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</si>
  <si>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</si>
  <si>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</si>
  <si>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</si>
  <si>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</si>
  <si>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</si>
  <si>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</si>
  <si>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</si>
  <si>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</si>
  <si>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</si>
  <si>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</si>
  <si>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</si>
  <si>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</si>
  <si>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</si>
  <si>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</si>
  <si>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</si>
  <si>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</si>
  <si>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</si>
  <si>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</si>
  <si>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</si>
  <si>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</si>
  <si>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</si>
  <si>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</si>
  <si>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</si>
  <si>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</si>
  <si>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</si>
  <si>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</si>
  <si>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</si>
  <si>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</si>
  <si>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</si>
  <si>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</si>
  <si>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</si>
  <si>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</si>
  <si>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</si>
  <si>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</si>
  <si>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</si>
  <si>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</si>
  <si>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</si>
  <si>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</si>
  <si>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</si>
  <si>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</si>
  <si>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</si>
  <si>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</si>
  <si>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</si>
  <si>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</si>
  <si>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</si>
  <si>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</si>
  <si>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</si>
  <si>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</si>
  <si>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</si>
  <si>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</si>
  <si>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</si>
  <si>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</si>
  <si>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</si>
  <si>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</si>
  <si>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</si>
  <si>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</si>
  <si>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</si>
  <si>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</si>
  <si>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</si>
  <si>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</si>
  <si>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</si>
  <si>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</si>
  <si>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</si>
  <si>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</si>
  <si>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</si>
  <si>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</si>
  <si>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</si>
  <si>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</si>
  <si>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</si>
  <si>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</si>
  <si>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</si>
  <si>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</si>
  <si>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</si>
  <si>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</si>
  <si>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</si>
  <si>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</si>
  <si>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</si>
  <si>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</si>
  <si>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</si>
  <si>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</si>
  <si>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</si>
  <si>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</si>
  <si>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</si>
  <si>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</si>
  <si>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</si>
  <si>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</si>
  <si>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</si>
  <si>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</si>
  <si>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</si>
  <si>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</si>
  <si>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</si>
  <si>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</si>
  <si>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</si>
  <si>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</si>
  <si>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</si>
  <si>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</si>
  <si>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</si>
  <si>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</si>
  <si>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</si>
  <si>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</si>
  <si>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</si>
  <si>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</si>
  <si>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</si>
  <si>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</si>
  <si>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</si>
  <si>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</si>
  <si>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</si>
  <si>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</si>
  <si>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</si>
  <si>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</si>
  <si>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</si>
  <si>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</si>
  <si>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</si>
  <si>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</si>
  <si>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</si>
  <si>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</si>
  <si>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</si>
  <si>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</si>
  <si>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</si>
  <si>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</si>
  <si>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</si>
  <si>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</si>
  <si>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</si>
  <si>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</si>
  <si>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</si>
  <si>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</si>
  <si>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</si>
  <si>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</si>
  <si>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</si>
  <si>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</si>
  <si>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</si>
  <si>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</si>
  <si>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</si>
  <si>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</si>
  <si>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</si>
  <si>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</si>
  <si>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</si>
  <si>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</si>
  <si>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</si>
  <si>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</si>
  <si>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</si>
  <si>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</si>
  <si>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</si>
  <si>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</si>
  <si>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</si>
  <si>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</si>
  <si>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</si>
  <si>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</si>
  <si>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</si>
  <si>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</si>
  <si>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</si>
  <si>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</si>
  <si>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</si>
  <si>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</si>
  <si>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</si>
  <si>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</si>
  <si>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</si>
  <si>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</si>
  <si>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</si>
  <si>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</si>
  <si>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</si>
  <si>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</si>
  <si>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</si>
  <si>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</si>
  <si>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</si>
  <si>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</si>
  <si>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</si>
  <si>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</si>
  <si>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</si>
  <si>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</si>
  <si>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</si>
  <si>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</si>
  <si>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</si>
  <si>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</si>
  <si>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</si>
  <si>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</si>
  <si>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</si>
  <si>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</si>
  <si>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</si>
  <si>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</si>
  <si>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</si>
  <si>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</si>
  <si>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</si>
  <si>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</si>
  <si>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</si>
  <si>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</si>
  <si>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</si>
  <si>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</si>
  <si>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</si>
  <si>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</si>
  <si>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</si>
  <si>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</si>
  <si>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</si>
  <si>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</si>
  <si>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</si>
  <si>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</si>
  <si>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</si>
  <si>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</si>
  <si>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</si>
  <si>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</si>
  <si>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</si>
  <si>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</si>
  <si>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</si>
  <si>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</si>
  <si>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</si>
  <si>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</si>
  <si>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</si>
  <si>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</si>
  <si>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</si>
  <si>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</si>
  <si>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</si>
  <si>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</si>
  <si>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</si>
  <si>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</si>
  <si>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</si>
  <si>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</si>
  <si>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</si>
  <si>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</si>
  <si>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</si>
  <si>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</si>
  <si>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</si>
  <si>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</si>
  <si>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</si>
  <si>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</si>
  <si>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</si>
  <si>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</si>
  <si>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</si>
  <si>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</si>
  <si>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</si>
  <si>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</si>
  <si>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</si>
  <si>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</si>
  <si>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</si>
  <si>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</si>
  <si>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</si>
  <si>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</si>
  <si>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</si>
  <si>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</si>
  <si>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</si>
  <si>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</si>
  <si>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</si>
  <si>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</si>
  <si>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</si>
  <si>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</si>
  <si>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</si>
  <si>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</si>
  <si>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</si>
  <si>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</si>
  <si>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</si>
  <si>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</si>
  <si>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</si>
  <si>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</si>
  <si>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</si>
  <si>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</si>
  <si>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</si>
  <si>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</si>
  <si>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</si>
  <si>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</si>
  <si>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</si>
  <si>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</si>
  <si>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</si>
  <si>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</si>
  <si>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</si>
  <si>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</si>
  <si>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</si>
  <si>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</si>
  <si>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</si>
  <si>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</si>
  <si>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</si>
  <si>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</si>
  <si>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</si>
  <si>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</si>
  <si>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</si>
  <si>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</si>
  <si>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</si>
  <si>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</si>
  <si>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</si>
  <si>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</si>
  <si>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</si>
  <si>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</si>
  <si>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</si>
  <si>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</si>
  <si>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</si>
  <si>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</si>
  <si>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</si>
  <si>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</si>
  <si>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</si>
  <si>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</si>
  <si>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</si>
  <si>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</si>
  <si>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</si>
  <si>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</si>
  <si>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</si>
  <si>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</si>
  <si>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</si>
  <si>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</si>
  <si>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</si>
  <si>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</si>
  <si>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</si>
  <si>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</si>
  <si>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</si>
  <si>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</si>
  <si>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</si>
  <si>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</si>
  <si>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</si>
  <si>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</si>
  <si>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</si>
  <si>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</si>
  <si>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</si>
  <si>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</si>
  <si>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</si>
  <si>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</si>
  <si>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</si>
  <si>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</si>
  <si>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</si>
  <si>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</si>
  <si>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</si>
  <si>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</si>
  <si>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</si>
  <si>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</si>
  <si>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</si>
  <si>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</si>
  <si>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</si>
  <si>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</si>
  <si>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</si>
  <si>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</si>
  <si>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</si>
  <si>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</si>
  <si>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</si>
  <si>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</si>
  <si>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</si>
  <si>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</si>
  <si>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</si>
  <si>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</si>
  <si>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</si>
  <si>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</si>
  <si>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</si>
  <si>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</si>
  <si>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</si>
  <si>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</si>
  <si>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</si>
  <si>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</si>
  <si>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</si>
  <si>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</si>
  <si>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</si>
  <si>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</si>
  <si>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</si>
  <si>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</si>
  <si>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</si>
  <si>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</si>
  <si>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</si>
  <si>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</si>
  <si>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</si>
  <si>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</si>
  <si>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</si>
  <si>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</si>
  <si>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</si>
  <si>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</si>
  <si>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</si>
  <si>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</si>
  <si>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</si>
  <si>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</si>
  <si>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</si>
  <si>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</si>
  <si>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</si>
  <si>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</si>
  <si>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</si>
  <si>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</si>
  <si>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</si>
  <si>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</si>
  <si>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</si>
  <si>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</si>
  <si>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</si>
  <si>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</si>
  <si>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</si>
  <si>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</si>
  <si>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</si>
  <si>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</si>
  <si>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</si>
  <si>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</si>
  <si>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</si>
  <si>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</si>
  <si>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</si>
  <si>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</si>
  <si>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</si>
  <si>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</si>
  <si>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</si>
  <si>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</si>
  <si>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</si>
  <si>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</si>
  <si>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</si>
  <si>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</si>
  <si>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</si>
  <si>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</si>
  <si>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</si>
  <si>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</si>
  <si>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</si>
  <si>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</si>
  <si>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</si>
  <si>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</si>
  <si>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</si>
  <si>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</si>
  <si>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</si>
  <si>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</si>
  <si>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</si>
  <si>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</si>
  <si>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</si>
  <si>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</si>
  <si>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</si>
  <si>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</si>
  <si>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</si>
  <si>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</si>
  <si>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</si>
  <si>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</si>
  <si>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</si>
  <si>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</si>
  <si>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</si>
  <si>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</si>
  <si>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</si>
  <si>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</si>
  <si>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</si>
  <si>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</si>
  <si>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</si>
  <si>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</si>
  <si>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</si>
  <si>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</si>
  <si>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</si>
  <si>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</si>
  <si>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</si>
  <si>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</si>
  <si>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</si>
  <si>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</si>
  <si>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</si>
  <si>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</si>
  <si>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</si>
  <si>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</si>
  <si>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</si>
  <si>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</si>
  <si>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</si>
  <si>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</si>
  <si>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</si>
  <si>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</si>
  <si>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</si>
  <si>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</si>
  <si>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</si>
  <si>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</si>
  <si>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</si>
  <si>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</si>
  <si>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</si>
  <si>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</si>
  <si>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</si>
  <si>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</si>
  <si>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</si>
  <si>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</si>
  <si>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</si>
  <si>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</si>
  <si>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</si>
  <si>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</si>
  <si>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</si>
  <si>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</si>
  <si>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</si>
  <si>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</si>
  <si>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</si>
  <si>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</si>
  <si>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</si>
  <si>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</si>
  <si>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</si>
  <si>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</si>
  <si>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</si>
  <si>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</si>
  <si>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</si>
  <si>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</si>
  <si>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</si>
  <si>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</si>
  <si>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</si>
  <si>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</si>
  <si>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</si>
  <si>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</si>
  <si>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</si>
  <si>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</si>
  <si>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</si>
  <si>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</si>
  <si>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</si>
  <si>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</si>
  <si>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</si>
  <si>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</si>
  <si>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</si>
  <si>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</si>
  <si>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</si>
  <si>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</si>
  <si>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</si>
  <si>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</si>
  <si>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</si>
  <si>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</si>
  <si>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</si>
  <si>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</si>
  <si>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</si>
  <si>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</si>
  <si>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</si>
  <si>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</si>
  <si>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</si>
  <si>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</si>
  <si>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</si>
  <si>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</si>
  <si>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</si>
  <si>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</si>
  <si>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</si>
  <si>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</si>
  <si>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</si>
  <si>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</si>
  <si>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</si>
  <si>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</si>
  <si>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</si>
  <si>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</si>
  <si>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</si>
  <si>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</si>
  <si>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</si>
  <si>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</si>
  <si>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</si>
  <si>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</si>
  <si>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</si>
  <si>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</si>
  <si>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</si>
  <si>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</si>
  <si>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</si>
  <si>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</si>
  <si>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</si>
  <si>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</si>
  <si>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</si>
  <si>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</si>
  <si>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</si>
  <si>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</si>
  <si>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</si>
  <si>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</si>
  <si>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</si>
  <si>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</si>
  <si>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</si>
  <si>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</si>
  <si>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</si>
  <si>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</si>
  <si>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</si>
  <si>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</si>
  <si>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</si>
  <si>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</si>
  <si>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</si>
  <si>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</si>
  <si>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</si>
  <si>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</si>
  <si>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</si>
  <si>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</si>
  <si>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</si>
  <si>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</si>
  <si>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</si>
  <si>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</si>
  <si>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</si>
  <si>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</si>
  <si>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</si>
  <si>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</si>
  <si>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</si>
  <si>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</si>
  <si>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</si>
  <si>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</si>
  <si>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</si>
  <si>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</si>
  <si>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</si>
  <si>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</si>
  <si>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</si>
  <si>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</si>
  <si>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</si>
  <si>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</si>
  <si>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</si>
  <si>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</si>
  <si>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</si>
  <si>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</si>
  <si>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</si>
  <si>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</si>
  <si>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</si>
  <si>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</si>
  <si>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</si>
  <si>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</si>
  <si>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</si>
  <si>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</si>
  <si>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</si>
  <si>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</si>
  <si>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</si>
  <si>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</si>
  <si>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</si>
  <si>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</si>
  <si>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</si>
  <si>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</si>
  <si>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</si>
  <si>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</si>
  <si>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</si>
  <si>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</si>
  <si>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</si>
  <si>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</si>
  <si>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</si>
  <si>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</si>
  <si>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</si>
  <si>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</si>
  <si>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</si>
  <si>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</si>
  <si>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</si>
  <si>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</si>
  <si>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</si>
  <si>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</si>
  <si>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</si>
  <si>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</si>
  <si>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</si>
  <si>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</si>
  <si>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</si>
  <si>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</si>
  <si>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</si>
  <si>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</si>
  <si>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</si>
  <si>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</si>
  <si>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</si>
  <si>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</si>
  <si>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</si>
  <si>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</si>
  <si>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</si>
  <si>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</si>
  <si>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</si>
  <si>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</si>
  <si>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</si>
  <si>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</si>
  <si>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</si>
  <si>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</si>
  <si>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</si>
  <si>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</si>
  <si>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</si>
  <si>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</si>
  <si>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</si>
  <si>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</si>
  <si>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</si>
  <si>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</si>
  <si>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</si>
  <si>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</si>
  <si>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</si>
  <si>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</si>
  <si>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</si>
  <si>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</si>
  <si>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</si>
  <si>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</si>
  <si>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</si>
  <si>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</si>
  <si>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</si>
  <si>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</si>
  <si>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</si>
  <si>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</si>
  <si>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</si>
  <si>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</si>
  <si>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</si>
  <si>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</si>
  <si>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</si>
  <si>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</si>
  <si>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</si>
  <si>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</si>
  <si>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</si>
  <si>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</si>
  <si>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</si>
  <si>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</si>
  <si>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</si>
  <si>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</si>
  <si>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</si>
  <si>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</si>
  <si>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</si>
  <si>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</si>
  <si>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</si>
  <si>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</si>
  <si>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</si>
  <si>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</si>
  <si>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</si>
  <si>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</si>
  <si>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</si>
  <si>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</si>
  <si>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</si>
  <si>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</si>
  <si>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</si>
  <si>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</si>
  <si>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</si>
  <si>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</si>
  <si>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</si>
  <si>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</si>
  <si>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</si>
  <si>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</si>
  <si>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</si>
  <si>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</si>
  <si>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</si>
  <si>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</si>
  <si>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</si>
  <si>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</si>
  <si>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</si>
  <si>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</si>
  <si>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</si>
  <si>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</si>
  <si>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</si>
  <si>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</si>
  <si>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</si>
  <si>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</si>
  <si>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</si>
  <si>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</si>
  <si>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</si>
  <si>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</si>
  <si>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</si>
  <si>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</si>
  <si>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</si>
  <si>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</si>
  <si>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</si>
  <si>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</si>
  <si>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</si>
  <si>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</si>
  <si>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</si>
  <si>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</si>
  <si>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</si>
  <si>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</si>
  <si>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</si>
  <si>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</si>
  <si>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</si>
  <si>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</si>
  <si>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</si>
  <si>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</si>
  <si>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</si>
  <si>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</si>
  <si>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</si>
  <si>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</si>
  <si>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</si>
  <si>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</si>
  <si>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</si>
  <si>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</si>
  <si>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</si>
  <si>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</si>
  <si>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</si>
  <si>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</si>
  <si>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</si>
  <si>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</si>
  <si>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</si>
  <si>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</si>
  <si>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</si>
  <si>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</si>
  <si>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</si>
  <si>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</si>
  <si>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</si>
  <si>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</si>
  <si>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</si>
  <si>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</si>
  <si>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</si>
  <si>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</si>
  <si>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</si>
  <si>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</si>
  <si>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</si>
  <si>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</si>
  <si>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</si>
  <si>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</si>
  <si>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</si>
  <si>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</si>
  <si>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</si>
  <si>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</si>
  <si>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</si>
  <si>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</si>
  <si>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</si>
  <si>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</si>
  <si>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</si>
  <si>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</si>
  <si>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</si>
  <si>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</si>
  <si>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</si>
  <si>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</si>
  <si>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</si>
  <si>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</si>
  <si>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</si>
  <si>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</si>
  <si>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</si>
  <si>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</si>
  <si>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</si>
  <si>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</si>
  <si>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</si>
  <si>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</si>
  <si>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</si>
  <si>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</si>
  <si>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</si>
  <si>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</si>
  <si>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</si>
  <si>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</si>
  <si>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</si>
  <si>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</si>
  <si>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</si>
  <si>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</si>
  <si>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</si>
  <si>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</si>
  <si>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</si>
  <si>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</si>
  <si>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</si>
  <si>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</si>
  <si>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</si>
  <si>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</si>
  <si>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</si>
  <si>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</si>
  <si>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</si>
  <si>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</si>
  <si>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</si>
  <si>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</si>
  <si>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</si>
  <si>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</si>
  <si>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</si>
  <si>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</si>
  <si>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</si>
  <si>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</si>
  <si>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</si>
  <si>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</si>
  <si>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</si>
  <si>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</si>
  <si>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</si>
  <si>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</si>
  <si>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</si>
  <si>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</si>
  <si>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</si>
  <si>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</si>
  <si>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</si>
  <si>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</si>
  <si>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</si>
  <si>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</si>
  <si>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</si>
  <si>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</si>
  <si>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</si>
  <si>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</si>
  <si>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</si>
  <si>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</si>
  <si>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</si>
  <si>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</si>
  <si>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</si>
  <si>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</si>
  <si>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</si>
  <si>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</si>
  <si>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</si>
  <si>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</si>
  <si>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</si>
  <si>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</si>
  <si>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</si>
  <si>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</si>
  <si>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</si>
  <si>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</si>
  <si>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</si>
  <si>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</si>
  <si>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</si>
  <si>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</si>
  <si>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</si>
  <si>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</si>
  <si>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</si>
  <si>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</si>
  <si>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</si>
  <si>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</si>
  <si>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</si>
  <si>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</si>
  <si>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</si>
  <si>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</si>
  <si>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</si>
  <si>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</si>
  <si>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</si>
  <si>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</si>
  <si>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</si>
  <si>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</si>
  <si>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</si>
  <si>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</si>
  <si>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</si>
  <si>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</si>
  <si>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</si>
  <si>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</si>
  <si>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</si>
  <si>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</si>
  <si>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</si>
  <si>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</si>
  <si>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</si>
  <si>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</si>
  <si>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</si>
  <si>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</si>
  <si>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</si>
  <si>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</si>
  <si>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</si>
  <si>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</si>
  <si>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</si>
  <si>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</si>
  <si>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</si>
  <si>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</si>
  <si>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</si>
  <si>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</si>
  <si>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</si>
  <si>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</si>
  <si>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</si>
  <si>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</si>
  <si>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</si>
  <si>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</si>
  <si>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</si>
  <si>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</si>
  <si>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</si>
  <si>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</si>
  <si>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</si>
  <si>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</si>
  <si>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</si>
  <si>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</si>
  <si>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</si>
  <si>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</si>
  <si>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</si>
  <si>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</si>
  <si>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</si>
  <si>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</si>
  <si>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</si>
  <si>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</si>
  <si>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</si>
  <si>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</si>
  <si>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</si>
  <si>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</si>
  <si>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</si>
  <si>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</si>
  <si>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</si>
  <si>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</si>
  <si>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</si>
  <si>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</si>
  <si>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</si>
  <si>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</si>
  <si>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</si>
  <si>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</si>
  <si>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</si>
  <si>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</si>
  <si>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</si>
  <si>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</si>
  <si>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</si>
  <si>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</si>
  <si>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</si>
  <si>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</si>
  <si>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</si>
  <si>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</si>
  <si>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</si>
  <si>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</si>
  <si>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</si>
  <si>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</si>
  <si>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</si>
  <si>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</si>
  <si>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</si>
  <si>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</si>
  <si>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</si>
  <si>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</si>
  <si>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</si>
  <si>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</si>
  <si>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</si>
  <si>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</si>
  <si>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</si>
  <si>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</si>
  <si>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</si>
  <si>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</si>
  <si>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</si>
  <si>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</si>
  <si>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</si>
  <si>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</si>
  <si>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</si>
  <si>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</si>
  <si>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</si>
  <si>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</si>
  <si>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</si>
  <si>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</si>
  <si>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</si>
  <si>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</si>
  <si>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</si>
  <si>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</si>
  <si>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</si>
  <si>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</si>
  <si>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</si>
  <si>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</si>
  <si>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</si>
  <si>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</si>
  <si>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</si>
  <si>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</si>
  <si>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</si>
  <si>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</si>
  <si>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</si>
  <si>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</si>
  <si>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</si>
  <si>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</si>
  <si>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</si>
  <si>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</si>
  <si>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</si>
  <si>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</si>
  <si>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</si>
  <si>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</si>
  <si>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</si>
  <si>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</si>
  <si>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</si>
  <si>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</si>
  <si>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</si>
  <si>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</si>
  <si>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</si>
  <si>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</si>
  <si>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</si>
  <si>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</si>
  <si>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</si>
  <si>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</si>
  <si>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</si>
  <si>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</si>
  <si>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</si>
  <si>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</si>
  <si>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</si>
  <si>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</si>
  <si>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</si>
  <si>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</si>
  <si>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</si>
  <si>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</si>
  <si>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</si>
  <si>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</si>
  <si>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</si>
  <si>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</si>
  <si>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</si>
  <si>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</si>
  <si>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</si>
  <si>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</si>
  <si>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</si>
  <si>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</si>
  <si>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</si>
  <si>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</si>
  <si>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</si>
  <si>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</si>
  <si>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</si>
  <si>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</si>
  <si>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</si>
  <si>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</si>
  <si>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</si>
  <si>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</si>
  <si>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</si>
  <si>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</si>
  <si>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</si>
  <si>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</si>
  <si>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</si>
  <si>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</si>
  <si>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</si>
  <si>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</si>
  <si>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</si>
  <si>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</si>
  <si>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</si>
  <si>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</si>
  <si>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</si>
  <si>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</si>
  <si>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</si>
  <si>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</si>
  <si>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</si>
  <si>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</si>
  <si>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</si>
  <si>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</si>
  <si>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</si>
  <si>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</si>
  <si>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</si>
  <si>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</si>
  <si>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</si>
  <si>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</si>
  <si>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</si>
  <si>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</si>
  <si>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</si>
  <si>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</si>
  <si>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</si>
  <si>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</si>
  <si>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</si>
  <si>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</si>
  <si>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</si>
  <si>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</si>
  <si>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</si>
  <si>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</si>
  <si>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</si>
  <si>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</si>
  <si>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</si>
  <si>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</si>
  <si>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</si>
  <si>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</si>
  <si>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</si>
  <si>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</si>
  <si>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</si>
  <si>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</si>
  <si>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</si>
  <si>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</si>
  <si>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</si>
  <si>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</si>
  <si>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</si>
  <si>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</si>
  <si>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</si>
  <si>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</si>
  <si>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</si>
  <si>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</si>
  <si>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</si>
  <si>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</si>
  <si>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</si>
  <si>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</si>
  <si>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</si>
  <si>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</si>
  <si>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</si>
  <si>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</si>
  <si>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</si>
  <si>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</si>
  <si>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</si>
  <si>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</si>
  <si>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</si>
  <si>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</si>
  <si>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</si>
  <si>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</si>
  <si>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</si>
  <si>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</si>
  <si>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</si>
  <si>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</si>
  <si>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</si>
  <si>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</si>
  <si>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</si>
  <si>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</si>
  <si>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</si>
  <si>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</si>
  <si>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</si>
  <si>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</si>
  <si>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</si>
  <si>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</si>
  <si>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</si>
  <si>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</si>
  <si>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</si>
  <si>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</si>
  <si>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</si>
  <si>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</si>
  <si>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</si>
  <si>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</si>
  <si>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</si>
  <si>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</si>
  <si>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</si>
  <si>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</si>
  <si>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</si>
  <si>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</si>
  <si>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</si>
  <si>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</si>
  <si>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</si>
  <si>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</si>
  <si>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</si>
  <si>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</si>
  <si>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</si>
  <si>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</si>
  <si>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</si>
  <si>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</si>
  <si>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</si>
  <si>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</si>
  <si>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</si>
  <si>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</si>
  <si>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</si>
  <si>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</si>
  <si>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</si>
  <si>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</si>
  <si>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</si>
  <si>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</si>
  <si>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</si>
  <si>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</si>
  <si>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</si>
  <si>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</si>
  <si>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</si>
  <si>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</si>
  <si>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</si>
  <si>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</si>
  <si>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</si>
  <si>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</si>
  <si>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</si>
  <si>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</si>
  <si>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</si>
  <si>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</si>
  <si>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</si>
  <si>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</si>
  <si>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</si>
  <si>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</si>
  <si>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</si>
  <si>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</si>
  <si>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</si>
  <si>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</si>
  <si>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</si>
  <si>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</si>
  <si>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</si>
  <si>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</si>
  <si>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</si>
  <si>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</si>
  <si>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</si>
  <si>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</si>
  <si>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</si>
  <si>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</si>
  <si>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</si>
  <si>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</si>
  <si>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</si>
  <si>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</si>
  <si>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</si>
  <si>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</si>
  <si>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</si>
  <si>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</si>
  <si>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</si>
  <si>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</si>
  <si>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</si>
  <si>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</si>
  <si>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</si>
  <si>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</si>
  <si>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</si>
  <si>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</si>
  <si>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</si>
  <si>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</si>
  <si>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</si>
  <si>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</si>
  <si>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</si>
  <si>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</si>
  <si>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</si>
  <si>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</si>
  <si>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</si>
  <si>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</si>
  <si>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</si>
  <si>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</si>
  <si>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</si>
  <si>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</si>
  <si>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</si>
  <si>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</si>
  <si>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</si>
  <si>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</si>
  <si>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</si>
  <si>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</si>
  <si>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</si>
  <si>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</si>
  <si>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</si>
  <si>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</si>
  <si>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</si>
  <si>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</si>
  <si>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</si>
  <si>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</si>
  <si>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</si>
  <si>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</si>
  <si>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</si>
  <si>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</si>
  <si>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</si>
  <si>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</si>
  <si>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</si>
  <si>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</si>
  <si>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</si>
  <si>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</si>
  <si>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</si>
  <si>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</si>
  <si>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</si>
  <si>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</si>
  <si>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</si>
  <si>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</si>
  <si>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</si>
  <si>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</si>
  <si>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</si>
  <si>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</si>
  <si>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</si>
  <si>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</si>
  <si>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</si>
  <si>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</si>
  <si>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</si>
  <si>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</si>
  <si>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</si>
  <si>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</si>
  <si>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</si>
  <si>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</si>
  <si>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</si>
  <si>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</si>
  <si>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</si>
  <si>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</si>
  <si>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</si>
  <si>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</si>
  <si>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</si>
  <si>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</si>
  <si>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</si>
  <si>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</si>
  <si>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</si>
  <si>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</si>
  <si>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</si>
  <si>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</si>
  <si>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</si>
  <si>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</si>
  <si>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</si>
  <si>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</si>
  <si>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</si>
  <si>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</si>
  <si>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</si>
  <si>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</si>
  <si>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</si>
  <si>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</si>
  <si>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</si>
  <si>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</si>
  <si>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</si>
  <si>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</si>
  <si>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</si>
  <si>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</si>
  <si>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</si>
  <si>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</si>
  <si>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</si>
  <si>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</si>
  <si>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</si>
  <si>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</si>
  <si>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</si>
  <si>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</si>
  <si>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</si>
  <si>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</si>
  <si>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</si>
  <si>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</si>
  <si>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</si>
  <si>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</si>
  <si>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</si>
  <si>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</si>
  <si>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</si>
  <si>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</si>
  <si>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</si>
  <si>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</si>
  <si>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</si>
  <si>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</si>
  <si>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</si>
  <si>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</si>
  <si>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</si>
  <si>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</si>
  <si>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</si>
  <si>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</si>
  <si>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</si>
  <si>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</si>
  <si>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</si>
  <si>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</si>
  <si>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</si>
  <si>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</si>
  <si>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</si>
  <si>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</si>
  <si>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</si>
  <si>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</si>
  <si>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</si>
  <si>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</si>
  <si>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</si>
  <si>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</si>
  <si>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</si>
  <si>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</si>
  <si>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</si>
  <si>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</si>
  <si>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</si>
  <si>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</si>
  <si>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</si>
  <si>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</si>
  <si>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</si>
  <si>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</si>
  <si>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</si>
  <si>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</si>
  <si>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</si>
  <si>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</si>
  <si>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</si>
  <si>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</si>
  <si>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</si>
  <si>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</si>
  <si>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</si>
  <si>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</si>
  <si>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</si>
  <si>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</si>
  <si>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</si>
  <si>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</si>
  <si>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</si>
  <si>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</si>
  <si>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</si>
  <si>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</si>
  <si>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</si>
  <si>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</si>
  <si>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</si>
  <si>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</si>
  <si>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</si>
  <si>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</si>
  <si>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</si>
  <si>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</si>
  <si>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</si>
  <si>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</si>
  <si>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</si>
  <si>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</si>
  <si>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</si>
  <si>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</si>
  <si>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</si>
  <si>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</si>
  <si>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</si>
  <si>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</si>
  <si>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</si>
  <si>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</si>
  <si>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</si>
  <si>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</si>
  <si>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</si>
  <si>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</si>
  <si>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</si>
  <si>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</si>
  <si>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</si>
  <si>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</si>
  <si>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</si>
  <si>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</si>
  <si>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</si>
  <si>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</si>
  <si>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</si>
  <si>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</si>
  <si>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</si>
  <si>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</si>
  <si>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</si>
  <si>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</si>
  <si>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</si>
  <si>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</si>
  <si>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</si>
  <si>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</si>
  <si>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</si>
  <si>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</si>
  <si>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</si>
  <si>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</si>
  <si>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</si>
  <si>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</si>
  <si>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</si>
  <si>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</si>
  <si>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</si>
  <si>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</si>
  <si>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</si>
  <si>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</si>
  <si>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</si>
  <si>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</si>
  <si>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</si>
  <si>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</si>
  <si>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</si>
  <si>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</si>
  <si>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</si>
  <si>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</si>
  <si>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</si>
  <si>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</si>
  <si>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</si>
  <si>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</si>
  <si>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</si>
  <si>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</si>
  <si>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</si>
  <si>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</si>
  <si>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</si>
  <si>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</si>
  <si>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</si>
  <si>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</si>
  <si>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</si>
  <si>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</si>
  <si>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</si>
  <si>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</si>
  <si>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</si>
  <si>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</si>
  <si>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</si>
  <si>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</si>
  <si>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</si>
  <si>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</si>
  <si>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</si>
  <si>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</si>
  <si>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</si>
  <si>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</si>
  <si>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</si>
  <si>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</si>
  <si>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</si>
  <si>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</si>
  <si>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</si>
  <si>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</si>
  <si>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</si>
  <si>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</si>
  <si>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</si>
  <si>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</si>
  <si>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</si>
  <si>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</si>
  <si>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</si>
  <si>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</si>
  <si>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</si>
  <si>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</si>
  <si>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</si>
  <si>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</si>
  <si>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</si>
  <si>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</si>
  <si>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</si>
  <si>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</si>
  <si>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</si>
  <si>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</si>
  <si>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</si>
  <si>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</si>
  <si>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</si>
  <si>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</si>
  <si>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</si>
  <si>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</si>
  <si>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</si>
  <si>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</si>
  <si>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</si>
  <si>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</si>
  <si>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</si>
  <si>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</si>
  <si>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</si>
  <si>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</si>
  <si>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</si>
  <si>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</si>
  <si>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</si>
  <si>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</si>
  <si>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</si>
  <si>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</si>
  <si>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</si>
  <si>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</si>
  <si>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</si>
  <si>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</si>
  <si>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</si>
  <si>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</si>
  <si>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</si>
  <si>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</si>
  <si>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</si>
  <si>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</si>
  <si>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</si>
  <si>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</si>
  <si>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</si>
  <si>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</si>
  <si>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</si>
  <si>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</si>
  <si>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</si>
  <si>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</si>
  <si>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</si>
  <si>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</si>
  <si>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</si>
  <si>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</si>
  <si>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</si>
  <si>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</si>
  <si>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</si>
  <si>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</si>
  <si>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</si>
  <si>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</si>
  <si>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</si>
  <si>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</si>
  <si>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</si>
  <si>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</si>
  <si>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</si>
  <si>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</si>
  <si>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</si>
  <si>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</si>
  <si>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</si>
  <si>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</si>
  <si>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</si>
  <si>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</si>
  <si>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</si>
  <si>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</si>
  <si>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</si>
  <si>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</si>
  <si>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</si>
  <si>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</si>
  <si>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</si>
  <si>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</si>
  <si>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</si>
  <si>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</si>
  <si>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</si>
  <si>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</si>
  <si>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</si>
  <si>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</si>
  <si>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</si>
  <si>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</si>
  <si>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</si>
  <si>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</si>
  <si>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</si>
  <si>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</si>
  <si>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</si>
  <si>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</si>
  <si>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</si>
  <si>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</si>
  <si>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</si>
  <si>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</si>
  <si>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</si>
  <si>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</si>
  <si>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</si>
  <si>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</si>
  <si>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</si>
  <si>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</si>
  <si>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</si>
  <si>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</si>
  <si>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</si>
  <si>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</si>
  <si>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</si>
  <si>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</si>
  <si>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</si>
  <si>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</si>
  <si>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</si>
  <si>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</si>
  <si>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</si>
  <si>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</si>
  <si>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</si>
  <si>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</si>
  <si>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</si>
  <si>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</si>
  <si>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</si>
  <si>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</si>
  <si>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</si>
  <si>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</si>
  <si>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</si>
  <si>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</si>
  <si>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</si>
  <si>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</si>
  <si>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</si>
  <si>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</si>
  <si>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</si>
  <si>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</si>
  <si>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</si>
  <si>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</si>
  <si>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</si>
  <si>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</si>
  <si>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</si>
  <si>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</si>
  <si>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</si>
  <si>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</si>
  <si>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</si>
  <si>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</si>
  <si>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</si>
  <si>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</si>
  <si>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</si>
  <si>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</si>
  <si>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</si>
  <si>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</si>
  <si>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</si>
  <si>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</si>
  <si>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</si>
  <si>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</si>
  <si>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</si>
  <si>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</si>
  <si>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</si>
  <si>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</si>
  <si>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</si>
  <si>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</si>
  <si>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</si>
  <si>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</si>
  <si>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</si>
  <si>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</si>
  <si>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</si>
  <si>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</si>
  <si>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</si>
  <si>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</si>
  <si>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</si>
  <si>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</si>
  <si>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</si>
  <si>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</si>
  <si>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</si>
  <si>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</si>
  <si>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</si>
  <si>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</si>
  <si>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</si>
  <si>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</si>
  <si>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</si>
  <si>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</si>
  <si>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</si>
  <si>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</si>
  <si>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</si>
  <si>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</si>
  <si>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</si>
  <si>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</si>
  <si>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</si>
  <si>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</si>
  <si>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</si>
  <si>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</si>
  <si>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</si>
  <si>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</si>
  <si>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</si>
  <si>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</si>
  <si>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</si>
  <si>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</si>
  <si>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</si>
  <si>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</si>
  <si>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</si>
  <si>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</si>
  <si>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</si>
  <si>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</si>
  <si>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</si>
  <si>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</si>
  <si>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</si>
  <si>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</si>
  <si>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</si>
  <si>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</si>
  <si>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</si>
  <si>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</si>
  <si>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</si>
  <si>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</si>
  <si>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</si>
  <si>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</si>
  <si>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</si>
  <si>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</si>
  <si>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</si>
  <si>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</si>
  <si>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</si>
  <si>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</si>
  <si>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</si>
  <si>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</si>
  <si>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</si>
  <si>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</si>
  <si>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</si>
  <si>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</si>
  <si>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</si>
  <si>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</si>
  <si>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</si>
  <si>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</si>
  <si>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</si>
  <si>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</si>
  <si>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</si>
  <si>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</si>
  <si>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</si>
  <si>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</si>
  <si>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</si>
  <si>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</si>
  <si>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</si>
  <si>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</si>
  <si>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</si>
  <si>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</si>
  <si>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</si>
  <si>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</si>
  <si>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</si>
  <si>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</si>
  <si>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</si>
  <si>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</si>
  <si>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</si>
  <si>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</si>
  <si>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</si>
  <si>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</si>
  <si>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</si>
  <si>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</si>
  <si>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</si>
  <si>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</si>
  <si>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</si>
  <si>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</si>
  <si>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</si>
  <si>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</si>
  <si>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</si>
  <si>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</si>
  <si>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</si>
  <si>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</si>
  <si>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</si>
  <si>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</si>
  <si>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</si>
  <si>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</si>
  <si>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</si>
  <si>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</si>
  <si>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</si>
  <si>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</si>
  <si>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</si>
  <si>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</si>
  <si>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</si>
  <si>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</si>
  <si>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</si>
  <si>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</si>
  <si>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</si>
  <si>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</si>
  <si>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</si>
  <si>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</si>
  <si>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</si>
  <si>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</si>
  <si>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</si>
  <si>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</si>
  <si>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</si>
  <si>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</si>
  <si>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</si>
  <si>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</si>
  <si>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</si>
  <si>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</si>
  <si>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</si>
  <si>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</si>
  <si>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</si>
  <si>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</si>
  <si>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</si>
  <si>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</si>
  <si>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</si>
  <si>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</si>
  <si>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</si>
  <si>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</si>
  <si>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</si>
  <si>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</si>
  <si>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</si>
  <si>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</si>
  <si>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</si>
  <si>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</si>
  <si>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</si>
  <si>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</si>
  <si>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</si>
  <si>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</si>
  <si>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</si>
  <si>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</si>
  <si>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</si>
  <si>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</si>
  <si>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</si>
  <si>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</si>
  <si>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</si>
  <si>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</si>
  <si>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</si>
  <si>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</si>
  <si>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</si>
  <si>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</si>
  <si>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</si>
  <si>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</si>
  <si>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</si>
  <si>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</si>
  <si>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</si>
  <si>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</si>
  <si>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</si>
  <si>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</si>
  <si>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</si>
  <si>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</si>
  <si>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</si>
  <si>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</si>
  <si>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</si>
  <si>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</si>
  <si>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</si>
  <si>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</si>
  <si>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</si>
  <si>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</si>
  <si>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</si>
  <si>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</si>
  <si>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</si>
  <si>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</si>
  <si>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</si>
  <si>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</si>
  <si>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</si>
  <si>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</si>
  <si>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</si>
  <si>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</si>
  <si>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</si>
  <si>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</si>
  <si>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</si>
  <si>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</si>
  <si>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</si>
  <si>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</si>
  <si>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</si>
  <si>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</si>
  <si>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</si>
  <si>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</si>
  <si>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</si>
  <si>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</si>
  <si>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</si>
  <si>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</si>
  <si>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</si>
  <si>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</si>
  <si>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</si>
  <si>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</si>
  <si>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</si>
  <si>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</si>
  <si>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</si>
  <si>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</si>
  <si>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</si>
  <si>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</si>
  <si>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</si>
  <si>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</si>
  <si>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</si>
  <si>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</si>
  <si>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</si>
  <si>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</si>
  <si>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</si>
  <si>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</si>
  <si>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</si>
  <si>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</si>
  <si>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</si>
  <si>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</si>
  <si>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</si>
  <si>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</si>
  <si>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</si>
  <si>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</si>
  <si>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</si>
  <si>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</si>
  <si>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</si>
  <si>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</si>
  <si>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</si>
  <si>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</si>
  <si>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</si>
  <si>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</si>
  <si>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</si>
  <si>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</si>
  <si>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</si>
  <si>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</si>
  <si>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</si>
  <si>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</si>
  <si>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</si>
  <si>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</si>
  <si>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</si>
  <si>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</si>
  <si>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</si>
  <si>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</si>
  <si>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</si>
  <si>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</si>
  <si>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</si>
  <si>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</si>
  <si>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</si>
  <si>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</si>
  <si>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</si>
  <si>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</si>
  <si>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</si>
  <si>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</si>
  <si>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</si>
  <si>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</si>
  <si>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</si>
  <si>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</si>
  <si>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</si>
  <si>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</si>
  <si>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</si>
  <si>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</si>
  <si>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</si>
  <si>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</si>
  <si>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</si>
  <si>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</si>
  <si>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</si>
  <si>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</si>
  <si>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</si>
  <si>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</si>
  <si>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</si>
  <si>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</si>
  <si>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</si>
  <si>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</si>
  <si>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</si>
  <si>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</si>
  <si>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</si>
  <si>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</si>
  <si>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</si>
  <si>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</si>
  <si>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</si>
  <si>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</si>
  <si>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</si>
  <si>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</si>
  <si>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</si>
  <si>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</si>
  <si>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</si>
  <si>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</si>
  <si>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</si>
  <si>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</si>
  <si>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</si>
  <si>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</si>
  <si>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</si>
  <si>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</si>
  <si>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</si>
  <si>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</si>
  <si>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</si>
  <si>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</si>
  <si>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</si>
  <si>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</si>
  <si>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</si>
  <si>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</si>
  <si>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</si>
  <si>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</si>
  <si>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</si>
  <si>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</si>
  <si>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</si>
  <si>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</si>
  <si>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</si>
  <si>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</si>
  <si>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</si>
  <si>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</si>
  <si>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</si>
  <si>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</si>
  <si>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</si>
  <si>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</si>
  <si>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</si>
  <si>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</si>
  <si>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</si>
  <si>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</si>
  <si>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</si>
  <si>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</si>
  <si>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</si>
  <si>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</si>
  <si>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</si>
  <si>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</si>
  <si>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</si>
  <si>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</si>
  <si>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</si>
  <si>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</si>
  <si>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</si>
  <si>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</si>
  <si>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</si>
  <si>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</si>
  <si>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</si>
  <si>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</si>
  <si>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</si>
  <si>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</si>
  <si>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</si>
  <si>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</si>
  <si>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</si>
  <si>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</si>
  <si>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</si>
  <si>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</si>
  <si>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</si>
  <si>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</si>
  <si>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</si>
  <si>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</si>
  <si>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</si>
  <si>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</si>
  <si>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</si>
  <si>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</si>
  <si>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</si>
  <si>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</si>
  <si>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</si>
  <si>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</si>
  <si>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</si>
  <si>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</si>
  <si>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</si>
  <si>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</si>
  <si>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</si>
  <si>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</si>
  <si>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</si>
  <si>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</si>
  <si>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</si>
  <si>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</si>
  <si>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</si>
  <si>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</si>
  <si>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</si>
  <si>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</si>
  <si>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</si>
  <si>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</si>
  <si>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</si>
  <si>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</si>
  <si>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</si>
  <si>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</si>
  <si>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</si>
  <si>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</si>
  <si>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</si>
  <si>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</si>
  <si>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</si>
  <si>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</si>
  <si>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</si>
  <si>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</si>
  <si>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</si>
  <si>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</si>
  <si>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</si>
  <si>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</si>
  <si>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</si>
  <si>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</si>
  <si>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</si>
  <si>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</si>
  <si>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</si>
  <si>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</si>
  <si>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</si>
  <si>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</si>
  <si>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</si>
  <si>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</si>
  <si>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</si>
  <si>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</si>
  <si>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</si>
  <si>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</si>
  <si>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</si>
  <si>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</si>
  <si>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</si>
  <si>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</si>
  <si>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</si>
  <si>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</si>
  <si>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</si>
  <si>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</si>
  <si>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</si>
  <si>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</si>
  <si>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</si>
  <si>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</si>
  <si>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</si>
  <si>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</si>
  <si>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</si>
  <si>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</si>
  <si>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</si>
  <si>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</si>
  <si>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</si>
  <si>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</si>
  <si>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</si>
  <si>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</si>
  <si>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</si>
  <si>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</si>
  <si>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</si>
  <si>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</si>
  <si>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</si>
  <si>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</si>
  <si>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</si>
  <si>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</si>
  <si>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</si>
  <si>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</si>
  <si>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</si>
  <si>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</si>
  <si>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</si>
  <si>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</si>
  <si>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</si>
  <si>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</si>
  <si>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</si>
  <si>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</si>
  <si>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</si>
  <si>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</si>
  <si>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</si>
  <si>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</si>
  <si>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</si>
  <si>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</si>
  <si>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</si>
  <si>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</si>
  <si>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</si>
  <si>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</si>
  <si>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</si>
  <si>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</si>
  <si>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</si>
  <si>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</si>
  <si>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</si>
  <si>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</si>
  <si>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</si>
  <si>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</si>
  <si>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</si>
  <si>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</si>
  <si>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</si>
  <si>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</si>
  <si>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</si>
  <si>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</si>
  <si>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</si>
  <si>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</si>
  <si>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</si>
  <si>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</si>
  <si>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</si>
  <si>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</si>
  <si>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</si>
  <si>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</si>
  <si>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</si>
  <si>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</si>
  <si>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</si>
  <si>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</si>
  <si>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</si>
  <si>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</si>
  <si>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</si>
  <si>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</si>
  <si>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</si>
  <si>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</si>
  <si>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</si>
  <si>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</si>
  <si>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</si>
  <si>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</si>
  <si>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</si>
  <si>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</si>
  <si>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</si>
  <si>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</si>
  <si>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</si>
  <si>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</si>
  <si>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</si>
  <si>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</si>
  <si>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</si>
  <si>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</si>
  <si>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</si>
  <si>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</si>
  <si>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</si>
  <si>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</si>
  <si>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</si>
  <si>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</si>
  <si>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</si>
  <si>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</si>
  <si>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</si>
  <si>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</si>
  <si>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</si>
  <si>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</si>
  <si>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</si>
  <si>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</si>
  <si>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</si>
  <si>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</si>
  <si>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</si>
  <si>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</si>
  <si>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</si>
  <si>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</si>
  <si>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</si>
  <si>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</si>
  <si>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</si>
  <si>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</si>
  <si>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</si>
  <si>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</si>
  <si>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</si>
  <si>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</si>
  <si>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</si>
  <si>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</si>
  <si>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</si>
  <si>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</si>
  <si>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</si>
  <si>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</si>
  <si>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</si>
  <si>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</si>
  <si>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</si>
  <si>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</si>
  <si>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</si>
  <si>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</si>
  <si>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</si>
  <si>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</si>
  <si>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</si>
  <si>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</si>
  <si>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</si>
  <si>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</si>
  <si>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</si>
  <si>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</si>
  <si>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</si>
  <si>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</si>
  <si>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</si>
  <si>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</si>
  <si>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</si>
  <si>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</si>
  <si>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</si>
  <si>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</si>
  <si>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</si>
  <si>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</si>
  <si>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</si>
  <si>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</si>
  <si>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</si>
  <si>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</si>
  <si>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</si>
  <si>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</si>
  <si>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</si>
  <si>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</si>
  <si>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</si>
  <si>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</si>
  <si>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</si>
  <si>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</si>
  <si>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</si>
  <si>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</si>
  <si>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</si>
  <si>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</si>
  <si>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</si>
  <si>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</si>
  <si>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</si>
  <si>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</si>
  <si>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</si>
  <si>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</si>
  <si>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</si>
  <si>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</si>
  <si>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</si>
  <si>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</si>
  <si>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</si>
  <si>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</si>
  <si>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</si>
  <si>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</si>
  <si>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</si>
  <si>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</si>
  <si>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</si>
  <si>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</si>
  <si>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</si>
  <si>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</si>
  <si>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</si>
  <si>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</si>
  <si>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</si>
  <si>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</si>
  <si>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</si>
  <si>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</si>
  <si>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</si>
  <si>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</si>
  <si>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</si>
  <si>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</si>
  <si>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</si>
  <si>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</si>
  <si>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</si>
  <si>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</si>
  <si>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</si>
  <si>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</si>
  <si>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</si>
  <si>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</si>
  <si>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</si>
  <si>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</si>
  <si>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</si>
  <si>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</si>
  <si>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</si>
  <si>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</si>
  <si>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</si>
  <si>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</si>
  <si>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</si>
  <si>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</si>
  <si>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</si>
  <si>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</si>
  <si>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</si>
  <si>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</si>
  <si>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</si>
  <si>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</si>
  <si>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</si>
  <si>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</si>
  <si>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</si>
  <si>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</si>
  <si>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</si>
  <si>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</si>
  <si>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</si>
  <si>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</si>
  <si>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</si>
  <si>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</si>
  <si>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</si>
  <si>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</si>
  <si>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</si>
  <si>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</si>
  <si>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</si>
  <si>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</si>
  <si>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</si>
  <si>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</si>
  <si>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</si>
  <si>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</si>
  <si>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</si>
  <si>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</si>
  <si>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</si>
  <si>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</si>
  <si>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</si>
  <si>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</si>
  <si>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</si>
  <si>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</si>
  <si>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</si>
  <si>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</si>
  <si>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</si>
  <si>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</si>
  <si>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</si>
  <si>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</si>
  <si>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</si>
  <si>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</si>
  <si>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</si>
  <si>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</si>
  <si>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</si>
  <si>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</si>
  <si>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</si>
  <si>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</si>
  <si>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</si>
  <si>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</si>
  <si>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</si>
  <si>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</si>
  <si>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</si>
  <si>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</si>
  <si>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</si>
  <si>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</si>
  <si>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</si>
  <si>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</si>
  <si>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</si>
  <si>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</si>
  <si>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</si>
  <si>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</si>
  <si>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</si>
  <si>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</si>
  <si>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</si>
  <si>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</si>
  <si>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</si>
  <si>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</si>
  <si>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</si>
  <si>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</si>
  <si>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</si>
  <si>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</si>
  <si>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</si>
  <si>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</si>
  <si>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</si>
  <si>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</si>
  <si>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</si>
  <si>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</si>
  <si>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</si>
  <si>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</si>
  <si>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</si>
  <si>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</si>
  <si>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</si>
  <si>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</si>
  <si>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</si>
  <si>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</si>
  <si>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</si>
  <si>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</si>
  <si>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</si>
  <si>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</si>
  <si>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</si>
  <si>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</si>
  <si>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</si>
  <si>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</si>
  <si>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</si>
  <si>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</si>
  <si>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</si>
  <si>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</si>
  <si>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</si>
  <si>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</si>
  <si>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</si>
  <si>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</si>
  <si>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</si>
  <si>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</si>
  <si>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</si>
  <si>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</si>
  <si>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</si>
  <si>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</si>
  <si>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</si>
  <si>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</si>
  <si>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</si>
  <si>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</si>
  <si>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</si>
  <si>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</si>
  <si>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</si>
  <si>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</si>
  <si>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</si>
  <si>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</si>
  <si>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</si>
  <si>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</si>
  <si>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</si>
  <si>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</si>
  <si>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</si>
  <si>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</si>
  <si>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</si>
  <si>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</si>
  <si>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</si>
  <si>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</si>
  <si>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</si>
  <si>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</si>
  <si>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</si>
  <si>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</si>
  <si>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</si>
  <si>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</si>
  <si>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</si>
  <si>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</si>
  <si>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</si>
  <si>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</si>
  <si>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</si>
  <si>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</si>
  <si>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</si>
  <si>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</si>
  <si>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</si>
  <si>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</si>
  <si>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</si>
  <si>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</si>
  <si>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</si>
  <si>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</si>
  <si>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</si>
  <si>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</si>
  <si>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</si>
  <si>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</si>
  <si>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</si>
  <si>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</si>
  <si>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</si>
  <si>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</si>
  <si>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</si>
  <si>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</si>
  <si>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</si>
  <si>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</si>
  <si>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</si>
  <si>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</si>
  <si>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</si>
  <si>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</si>
  <si>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</si>
  <si>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</si>
  <si>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</si>
  <si>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</si>
  <si>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</si>
  <si>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</si>
  <si>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</si>
  <si>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</si>
  <si>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</si>
  <si>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</si>
  <si>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</si>
  <si>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</si>
  <si>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</si>
  <si>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</si>
  <si>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</si>
  <si>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</si>
  <si>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</si>
  <si>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</si>
  <si>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</si>
  <si>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</si>
  <si>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</si>
  <si>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</si>
  <si>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</si>
  <si>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</si>
  <si>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</si>
  <si>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</si>
  <si>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</si>
  <si>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</si>
  <si>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</si>
  <si>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</si>
  <si>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</si>
  <si>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</si>
  <si>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</si>
  <si>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</si>
  <si>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</si>
  <si>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</si>
  <si>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</si>
  <si>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</si>
  <si>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</si>
  <si>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</si>
  <si>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</si>
  <si>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</si>
  <si>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</si>
  <si>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</si>
  <si>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</si>
  <si>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</si>
  <si>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</si>
  <si>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</si>
  <si>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</si>
  <si>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</si>
  <si>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</si>
  <si>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</si>
  <si>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</si>
  <si>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</si>
  <si>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</si>
  <si>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</si>
  <si>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</si>
  <si>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</si>
  <si>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</si>
  <si>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</si>
  <si>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</si>
  <si>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</si>
  <si>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</si>
  <si>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</si>
  <si>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</si>
  <si>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</si>
  <si>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</si>
  <si>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</si>
  <si>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</si>
  <si>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</si>
  <si>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</si>
  <si>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</si>
  <si>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</si>
  <si>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</si>
  <si>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</si>
  <si>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</si>
  <si>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</si>
  <si>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</si>
  <si>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</si>
  <si>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</si>
  <si>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</si>
  <si>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</si>
  <si>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</si>
  <si>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</si>
  <si>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</si>
  <si>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</si>
  <si>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</si>
  <si>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</si>
  <si>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</si>
  <si>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</si>
  <si>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</si>
  <si>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</si>
  <si>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</si>
  <si>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</si>
  <si>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</si>
  <si>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</si>
  <si>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</si>
  <si>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</si>
  <si>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</si>
  <si>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</si>
  <si>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</si>
  <si>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</si>
  <si>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</si>
  <si>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</si>
  <si>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</si>
  <si>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</si>
  <si>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</si>
  <si>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</si>
  <si>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</si>
  <si>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</si>
  <si>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</si>
  <si>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</si>
  <si>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</si>
  <si>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</si>
  <si>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</si>
  <si>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</si>
  <si>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</si>
  <si>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</si>
  <si>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</si>
  <si>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</si>
  <si>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</si>
  <si>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</si>
  <si>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</si>
  <si>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</si>
  <si>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</si>
  <si>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</si>
  <si>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</si>
  <si>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</si>
  <si>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</si>
  <si>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</si>
  <si>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</si>
  <si>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</si>
  <si>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</si>
  <si>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</si>
  <si>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</si>
  <si>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</si>
  <si>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</si>
  <si>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</si>
  <si>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</si>
  <si>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</si>
  <si>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</si>
  <si>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</si>
  <si>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</si>
  <si>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</si>
  <si>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</si>
  <si>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</si>
  <si>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</si>
  <si>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</si>
  <si>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</si>
  <si>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</si>
  <si>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</si>
  <si>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</si>
  <si>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</si>
  <si>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</si>
  <si>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</si>
  <si>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</si>
  <si>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</si>
  <si>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</si>
  <si>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</si>
  <si>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</si>
  <si>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</si>
  <si>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</si>
  <si>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</si>
  <si>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</si>
  <si>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</si>
  <si>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</si>
  <si>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</si>
  <si>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</si>
  <si>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</si>
  <si>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</si>
  <si>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</si>
  <si>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</si>
  <si>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</si>
  <si>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</si>
  <si>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</si>
  <si>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</si>
  <si>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</si>
  <si>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</si>
  <si>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</si>
  <si>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</si>
  <si>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</si>
  <si>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</si>
  <si>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</si>
  <si>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</si>
  <si>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</si>
  <si>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</si>
  <si>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</si>
  <si>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</si>
  <si>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</si>
  <si>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</si>
  <si>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</si>
  <si>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</si>
  <si>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</si>
  <si>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</si>
  <si>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</si>
  <si>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</si>
  <si>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</si>
  <si>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</si>
  <si>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</si>
  <si>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</si>
  <si>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</si>
  <si>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</si>
  <si>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</si>
  <si>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</si>
  <si>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</si>
  <si>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</si>
  <si>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</si>
  <si>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</si>
  <si>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</si>
  <si>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</si>
  <si>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</si>
  <si>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</si>
  <si>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</si>
  <si>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</si>
  <si>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</si>
  <si>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</si>
  <si>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</si>
  <si>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</si>
  <si>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</si>
  <si>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</si>
  <si>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</si>
  <si>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</si>
  <si>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</si>
  <si>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</si>
  <si>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</si>
  <si>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</si>
  <si>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</si>
  <si>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</si>
  <si>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</si>
  <si>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</si>
  <si>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</si>
  <si>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</si>
  <si>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</si>
  <si>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</si>
  <si>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</si>
  <si>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</si>
  <si>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</si>
  <si>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</si>
  <si>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</si>
  <si>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</si>
  <si>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</si>
  <si>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</si>
  <si>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</si>
  <si>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</si>
  <si>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</si>
  <si>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</si>
  <si>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</si>
  <si>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</si>
  <si>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</si>
  <si>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</si>
  <si>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</si>
  <si>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</si>
  <si>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</si>
  <si>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</si>
  <si>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</si>
  <si>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</si>
  <si>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</si>
  <si>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</si>
  <si>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</si>
  <si>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</si>
  <si>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</si>
  <si>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</si>
  <si>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</si>
  <si>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</si>
  <si>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</si>
  <si>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</si>
  <si>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</si>
  <si>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</si>
  <si>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</si>
  <si>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</si>
  <si>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</si>
  <si>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</si>
  <si>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</si>
  <si>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</si>
  <si>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</si>
  <si>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</si>
  <si>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</si>
  <si>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</si>
  <si>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</si>
  <si>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</si>
  <si>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</si>
  <si>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</si>
  <si>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</si>
  <si>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</si>
  <si>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</si>
  <si>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</si>
  <si>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</si>
  <si>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</si>
  <si>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</si>
  <si>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</si>
  <si>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</si>
  <si>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</si>
  <si>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</si>
  <si>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</si>
  <si>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</si>
  <si>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</si>
  <si>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</si>
  <si>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</si>
  <si>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</si>
  <si>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</si>
  <si>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</si>
  <si>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</si>
  <si>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</si>
  <si>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</si>
  <si>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</si>
  <si>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</si>
  <si>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</si>
  <si>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</si>
  <si>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</si>
  <si>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</si>
  <si>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</si>
  <si>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</si>
  <si>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</si>
  <si>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</si>
  <si>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</si>
  <si>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</si>
  <si>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</si>
  <si>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</si>
  <si>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</si>
  <si>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</si>
  <si>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</si>
  <si>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</si>
  <si>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</si>
  <si>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</si>
  <si>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</si>
  <si>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</si>
  <si>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</si>
  <si>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</si>
  <si>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</si>
  <si>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</si>
  <si>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</si>
  <si>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</si>
  <si>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</si>
  <si>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</si>
  <si>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</si>
  <si>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</si>
  <si>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</si>
  <si>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</si>
  <si>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</si>
  <si>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</si>
  <si>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</si>
  <si>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</si>
  <si>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</si>
  <si>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</si>
  <si>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</si>
  <si>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</si>
  <si>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</si>
  <si>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</si>
  <si>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</si>
  <si>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</si>
  <si>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</si>
  <si>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</si>
  <si>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</si>
  <si>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</si>
  <si>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</si>
  <si>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</si>
  <si>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</si>
  <si>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</si>
  <si>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</si>
  <si>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</si>
  <si>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</si>
  <si>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</si>
  <si>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</si>
  <si>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</si>
  <si>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</si>
  <si>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</si>
  <si>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</si>
  <si>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</si>
  <si>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</si>
  <si>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</si>
  <si>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</si>
  <si>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</si>
  <si>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</si>
  <si>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</si>
  <si>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</si>
  <si>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</si>
  <si>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</si>
  <si>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</si>
  <si>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</si>
  <si>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</si>
  <si>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</si>
  <si>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</si>
  <si>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</si>
  <si>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</si>
  <si>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</si>
  <si>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</si>
  <si>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</si>
  <si>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</si>
  <si>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</si>
  <si>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</si>
  <si>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</si>
  <si>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</si>
  <si>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</si>
  <si>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</si>
  <si>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</si>
  <si>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</si>
  <si>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</si>
  <si>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</si>
  <si>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</si>
  <si>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</si>
  <si>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</si>
  <si>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</si>
  <si>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</si>
  <si>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</si>
  <si>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</si>
  <si>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</si>
  <si>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</si>
  <si>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</si>
  <si>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</si>
  <si>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</si>
  <si>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</si>
  <si>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</si>
  <si>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</si>
  <si>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</si>
  <si>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</si>
  <si>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</si>
  <si>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</si>
  <si>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</si>
  <si>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</si>
  <si>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</si>
  <si>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</si>
  <si>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</si>
  <si>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</si>
  <si>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</si>
  <si>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</si>
  <si>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</si>
  <si>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</si>
  <si>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</si>
  <si>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</si>
  <si>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</si>
  <si>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</si>
  <si>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</si>
  <si>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</si>
  <si>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</si>
  <si>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</si>
  <si>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</si>
  <si>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</si>
  <si>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</si>
  <si>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</si>
  <si>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</si>
  <si>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</si>
  <si>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</si>
  <si>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</si>
  <si>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</si>
  <si>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</si>
  <si>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</si>
  <si>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</si>
  <si>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</si>
  <si>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</si>
  <si>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</si>
  <si>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</si>
  <si>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</si>
  <si>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</si>
  <si>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</si>
  <si>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</si>
  <si>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</si>
  <si>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</si>
  <si>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</si>
  <si>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</si>
  <si>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</si>
  <si>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</si>
  <si>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</si>
  <si>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</si>
  <si>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</si>
  <si>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</si>
  <si>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</si>
  <si>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</si>
  <si>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</si>
  <si>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</si>
  <si>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</si>
  <si>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</si>
  <si>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</si>
  <si>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</si>
  <si>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</si>
  <si>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</si>
  <si>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</si>
  <si>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</si>
  <si>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</si>
  <si>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</si>
  <si>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</si>
  <si>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</si>
  <si>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</si>
  <si>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</si>
  <si>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</si>
  <si>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</si>
  <si>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</si>
  <si>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</si>
  <si>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</si>
  <si>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</si>
  <si>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</si>
  <si>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</si>
  <si>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</si>
  <si>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</si>
  <si>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</si>
  <si>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</si>
  <si>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</si>
  <si>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</si>
  <si>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</si>
  <si>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</si>
  <si>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</si>
  <si>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</si>
  <si>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</si>
  <si>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</si>
  <si>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</si>
  <si>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</si>
  <si>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</si>
  <si>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</si>
  <si>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</si>
  <si>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</si>
  <si>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</si>
  <si>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</si>
  <si>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</si>
  <si>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</si>
  <si>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</si>
  <si>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</si>
  <si>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</si>
  <si>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</si>
  <si>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</si>
  <si>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</si>
  <si>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</si>
  <si>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</si>
  <si>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</si>
  <si>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</si>
  <si>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</si>
  <si>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</si>
  <si>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</si>
  <si>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</si>
  <si>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</si>
  <si>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</si>
  <si>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</si>
  <si>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</si>
  <si>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</si>
  <si>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</si>
  <si>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</si>
  <si>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</si>
  <si>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</si>
  <si>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</si>
  <si>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</si>
  <si>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</si>
  <si>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</si>
  <si>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</si>
  <si>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</si>
  <si>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</si>
  <si>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</si>
  <si>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</si>
  <si>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</si>
  <si>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</si>
  <si>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</si>
  <si>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</si>
  <si>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</si>
  <si>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</si>
  <si>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</si>
  <si>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</si>
  <si>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</si>
  <si>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</si>
  <si>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</si>
  <si>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</si>
  <si>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</si>
  <si>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</si>
  <si>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</si>
  <si>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</si>
  <si>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</si>
  <si>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</si>
  <si>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</si>
  <si>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</si>
  <si>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</si>
  <si>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</si>
  <si>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</si>
  <si>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</si>
  <si>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</si>
  <si>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</si>
  <si>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</si>
  <si>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</si>
  <si>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</si>
  <si>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</si>
  <si>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</si>
  <si>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</si>
  <si>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</si>
  <si>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</si>
  <si>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</si>
  <si>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</si>
  <si>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</si>
  <si>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</si>
  <si>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</si>
  <si>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</si>
  <si>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</si>
  <si>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</si>
  <si>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</si>
  <si>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</si>
  <si>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</si>
  <si>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</si>
  <si>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</si>
  <si>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</si>
  <si>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</si>
  <si>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</si>
  <si>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</si>
  <si>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</si>
  <si>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</si>
  <si>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</si>
  <si>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</si>
  <si>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</si>
  <si>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</si>
  <si>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</si>
  <si>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</si>
  <si>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</si>
  <si>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</si>
  <si>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</si>
  <si>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</si>
  <si>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</si>
  <si>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</si>
  <si>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</si>
  <si>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</si>
  <si>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</si>
  <si>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</si>
  <si>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</si>
  <si>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</si>
  <si>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</si>
  <si>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</si>
  <si>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</si>
  <si>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</si>
  <si>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</si>
  <si>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</si>
  <si>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</si>
  <si>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</si>
  <si>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</si>
  <si>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</si>
  <si>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</si>
  <si>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</si>
  <si>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</si>
  <si>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</si>
  <si>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</si>
  <si>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</si>
  <si>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</si>
  <si>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</si>
  <si>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</si>
  <si>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</si>
  <si>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</si>
  <si>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</si>
  <si>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</si>
  <si>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</si>
  <si>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</si>
  <si>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</si>
  <si>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</si>
  <si>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</si>
  <si>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</si>
  <si>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</si>
  <si>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</si>
  <si>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</si>
  <si>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</si>
  <si>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</si>
  <si>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</si>
  <si>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</si>
  <si>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</si>
  <si>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</si>
  <si>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</si>
  <si>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</si>
  <si>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</si>
  <si>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</si>
  <si>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</si>
  <si>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</si>
  <si>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</si>
  <si>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</si>
  <si>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</si>
  <si>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</si>
  <si>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</si>
  <si>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</si>
  <si>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</si>
  <si>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</si>
  <si>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</si>
  <si>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</si>
  <si>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</si>
  <si>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</si>
  <si>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</si>
  <si>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</si>
  <si>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</si>
  <si>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</si>
  <si>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</si>
  <si>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</si>
  <si>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</si>
  <si>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</si>
  <si>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</si>
  <si>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</si>
  <si>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</si>
  <si>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</si>
  <si>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</si>
  <si>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</si>
  <si>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</si>
  <si>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</si>
  <si>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</si>
  <si>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</si>
  <si>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</si>
  <si>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</si>
  <si>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</si>
  <si>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</si>
  <si>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</si>
  <si>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</si>
  <si>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</si>
  <si>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</si>
  <si>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</si>
  <si>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</si>
  <si>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</si>
  <si>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</si>
  <si>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</si>
  <si>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</si>
  <si>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</si>
  <si>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</si>
  <si>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</si>
  <si>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</si>
  <si>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</si>
  <si>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</si>
  <si>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</si>
  <si>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</si>
  <si>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</si>
  <si>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</si>
  <si>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</si>
  <si>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</si>
  <si>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</si>
  <si>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</si>
  <si>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</si>
  <si>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</si>
  <si>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</si>
  <si>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</si>
  <si>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</si>
  <si>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</si>
  <si>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</si>
  <si>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</si>
  <si>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</si>
  <si>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</si>
  <si>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</si>
  <si>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</si>
  <si>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</si>
  <si>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</si>
  <si>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</si>
  <si>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</si>
  <si>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</si>
  <si>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</si>
  <si>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</si>
  <si>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</si>
  <si>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</si>
  <si>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</si>
  <si>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</si>
  <si>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</si>
  <si>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</si>
  <si>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</si>
  <si>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</si>
  <si>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</si>
  <si>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</si>
  <si>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</si>
  <si>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</si>
  <si>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</si>
  <si>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</si>
  <si>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</si>
  <si>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</si>
  <si>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</si>
  <si>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</si>
  <si>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</si>
  <si>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</si>
  <si>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</si>
  <si>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</si>
  <si>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</si>
  <si>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</si>
  <si>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</si>
  <si>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</si>
  <si>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</si>
  <si>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</si>
  <si>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</si>
  <si>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</si>
  <si>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</si>
  <si>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</si>
  <si>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</si>
  <si>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</si>
  <si>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</si>
  <si>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</si>
  <si>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</si>
  <si>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</si>
  <si>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</si>
  <si>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</si>
  <si>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</si>
  <si>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</si>
  <si>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</si>
  <si>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</si>
  <si>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</si>
  <si>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</si>
  <si>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</si>
  <si>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</si>
  <si>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</si>
  <si>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</si>
  <si>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</si>
  <si>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</si>
  <si>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</si>
  <si>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</si>
  <si>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</si>
  <si>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</si>
  <si>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</si>
  <si>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</si>
  <si>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</si>
  <si>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</si>
  <si>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</si>
  <si>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</si>
  <si>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</si>
  <si>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</si>
  <si>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</si>
  <si>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</si>
  <si>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</si>
  <si>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</si>
  <si>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</si>
  <si>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</si>
  <si>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</si>
  <si>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</si>
  <si>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</si>
  <si>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</si>
  <si>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</si>
  <si>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</si>
  <si>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</si>
  <si>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</si>
  <si>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</si>
  <si>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</si>
  <si>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</si>
  <si>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</si>
  <si>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</si>
  <si>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</si>
  <si>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</si>
  <si>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</si>
  <si>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</si>
  <si>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</si>
  <si>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</si>
  <si>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</si>
  <si>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</si>
  <si>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</si>
  <si>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</si>
  <si>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</si>
  <si>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</si>
  <si>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</si>
  <si>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</si>
  <si>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</si>
  <si>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</si>
  <si>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</si>
  <si>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</si>
  <si>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</si>
  <si>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</si>
  <si>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</si>
  <si>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</si>
  <si>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</si>
  <si>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</si>
  <si>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</si>
  <si>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</si>
  <si>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</si>
  <si>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</si>
  <si>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</si>
  <si>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</si>
  <si>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</si>
  <si>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</si>
  <si>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</si>
  <si>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</si>
  <si>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</si>
  <si>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</si>
  <si>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</si>
  <si>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</si>
  <si>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</si>
  <si>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</si>
  <si>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</si>
  <si>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</si>
  <si>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</si>
  <si>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</si>
  <si>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</si>
  <si>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</si>
  <si>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</si>
  <si>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</si>
  <si>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</si>
  <si>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</si>
  <si>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</si>
  <si>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</si>
  <si>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</si>
  <si>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</si>
  <si>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</si>
  <si>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</si>
  <si>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</si>
  <si>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</si>
  <si>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</si>
  <si>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</si>
  <si>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</si>
  <si>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</si>
  <si>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</si>
  <si>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</si>
  <si>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</si>
  <si>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</si>
  <si>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</si>
  <si>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</si>
  <si>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</si>
  <si>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</si>
  <si>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</si>
  <si>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</si>
  <si>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</si>
  <si>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</si>
  <si>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</si>
  <si>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</si>
  <si>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</si>
  <si>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</si>
  <si>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</si>
  <si>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</si>
  <si>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</si>
  <si>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</si>
  <si>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</si>
  <si>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</si>
  <si>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</si>
  <si>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</si>
  <si>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</si>
  <si>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</si>
  <si>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</si>
  <si>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</si>
  <si>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</si>
  <si>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</si>
  <si>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</si>
  <si>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</si>
  <si>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</si>
  <si>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</si>
  <si>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</si>
  <si>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</si>
  <si>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</si>
  <si>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</si>
  <si>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</si>
  <si>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</si>
  <si>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</si>
  <si>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</si>
  <si>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</si>
  <si>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</si>
  <si>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</si>
  <si>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</si>
  <si>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</si>
  <si>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</si>
  <si>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</si>
  <si>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</si>
  <si>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</si>
  <si>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</si>
  <si>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</si>
  <si>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</si>
  <si>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</si>
  <si>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</si>
  <si>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</si>
  <si>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</si>
  <si>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</si>
  <si>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</si>
  <si>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</si>
  <si>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</si>
  <si>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</si>
  <si>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</si>
  <si>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</si>
  <si>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</si>
  <si>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</si>
  <si>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</si>
  <si>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</si>
  <si>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</si>
  <si>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</si>
  <si>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</si>
  <si>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</si>
  <si>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</si>
  <si>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</si>
  <si>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</si>
  <si>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</si>
  <si>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</si>
  <si>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</si>
  <si>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</si>
  <si>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</si>
  <si>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</si>
  <si>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</si>
  <si>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</si>
  <si>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</si>
  <si>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</si>
  <si>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</si>
  <si>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</si>
  <si>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</si>
  <si>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</si>
  <si>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</si>
  <si>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</si>
  <si>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</si>
  <si>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</si>
  <si>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</si>
  <si>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</si>
  <si>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</si>
  <si>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</si>
  <si>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</si>
  <si>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</si>
  <si>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</si>
  <si>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</si>
  <si>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</si>
  <si>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</si>
  <si>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</si>
  <si>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</si>
  <si>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</si>
  <si>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</si>
  <si>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</si>
  <si>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</si>
  <si>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</si>
  <si>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</si>
  <si>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</si>
  <si>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</si>
  <si>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</si>
  <si>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</si>
  <si>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</si>
  <si>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</si>
  <si>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</si>
  <si>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</si>
  <si>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</si>
  <si>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</si>
  <si>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</si>
  <si>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</si>
  <si>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</si>
  <si>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</si>
  <si>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</si>
  <si>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</si>
  <si>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</si>
  <si>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</si>
  <si>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</si>
  <si>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</si>
  <si>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</si>
  <si>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</si>
  <si>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</si>
  <si>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</si>
  <si>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</si>
  <si>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</si>
  <si>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</si>
  <si>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</si>
  <si>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</si>
  <si>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</si>
  <si>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</si>
  <si>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</si>
  <si>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</si>
  <si>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</si>
  <si>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</si>
  <si>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</si>
  <si>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</si>
  <si>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</si>
  <si>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</si>
  <si>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</si>
  <si>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</si>
  <si>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</si>
  <si>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</si>
  <si>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</si>
  <si>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</si>
  <si>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</si>
  <si>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</si>
  <si>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</si>
  <si>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</si>
  <si>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</si>
  <si>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</si>
  <si>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</si>
  <si>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</si>
  <si>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</si>
  <si>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</si>
  <si>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</si>
  <si>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</si>
  <si>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</si>
  <si>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</si>
  <si>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</si>
  <si>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</si>
  <si>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</si>
  <si>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</si>
  <si>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</si>
  <si>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</si>
  <si>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</si>
  <si>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</si>
  <si>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</si>
  <si>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</si>
  <si>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</si>
  <si>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</si>
  <si>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</si>
  <si>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</si>
  <si>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</si>
  <si>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</si>
  <si>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</si>
  <si>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</si>
  <si>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</si>
  <si>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</si>
  <si>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</si>
  <si>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</si>
  <si>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</si>
  <si>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</si>
  <si>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</si>
  <si>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</si>
  <si>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</si>
  <si>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</si>
  <si>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</si>
  <si>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</si>
  <si>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</si>
  <si>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</si>
  <si>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</si>
  <si>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</si>
  <si>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</si>
  <si>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</si>
  <si>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</si>
  <si>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</si>
  <si>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</si>
  <si>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</si>
  <si>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</si>
  <si>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</si>
  <si>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</si>
  <si>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</si>
  <si>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</si>
  <si>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</si>
  <si>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</si>
  <si>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</si>
  <si>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</si>
  <si>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</si>
  <si>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</si>
  <si>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</si>
  <si>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</si>
  <si>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</si>
  <si>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</si>
  <si>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</si>
  <si>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</si>
  <si>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</si>
  <si>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</si>
  <si>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</si>
  <si>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</si>
  <si>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</si>
  <si>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</si>
  <si>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</si>
  <si>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</si>
  <si>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</si>
  <si>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</si>
  <si>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</si>
  <si>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</si>
  <si>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</si>
  <si>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</si>
  <si>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</si>
  <si>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</si>
  <si>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</si>
  <si>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</si>
  <si>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</si>
  <si>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</si>
  <si>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</si>
  <si>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</si>
  <si>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</si>
  <si>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</si>
  <si>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</si>
  <si>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</si>
  <si>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</si>
  <si>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</si>
  <si>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</si>
  <si>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</si>
  <si>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</si>
  <si>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</si>
  <si>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</si>
  <si>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</si>
  <si>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</si>
  <si>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</si>
  <si>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</si>
  <si>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</si>
  <si>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</si>
  <si>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</si>
  <si>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</si>
  <si>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</si>
  <si>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</si>
  <si>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</si>
  <si>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</si>
  <si>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</si>
  <si>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</si>
  <si>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</si>
  <si>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</si>
  <si>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</si>
  <si>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</si>
  <si>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</si>
  <si>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</si>
  <si>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</si>
  <si>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</si>
  <si>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</si>
  <si>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</si>
  <si>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</si>
  <si>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</si>
  <si>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</si>
  <si>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</si>
  <si>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</si>
  <si>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</si>
  <si>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</si>
  <si>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</si>
  <si>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</si>
  <si>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</si>
  <si>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</si>
  <si>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</si>
  <si>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</si>
  <si>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</si>
  <si>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</si>
  <si>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</si>
  <si>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</si>
  <si>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</si>
  <si>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</si>
  <si>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</si>
  <si>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</si>
  <si>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</si>
  <si>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</si>
  <si>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</si>
  <si>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</si>
  <si>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</si>
  <si>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</si>
  <si>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</si>
  <si>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</si>
  <si>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</si>
  <si>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</si>
  <si>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</si>
  <si>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</si>
  <si>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</si>
  <si>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</si>
  <si>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</si>
  <si>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</si>
  <si>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</si>
  <si>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</si>
  <si>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</si>
  <si>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</si>
  <si>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</si>
  <si>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</si>
  <si>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</si>
  <si>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</si>
  <si>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</si>
  <si>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</si>
  <si>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</si>
  <si>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</si>
  <si>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</si>
  <si>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</si>
  <si>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</si>
  <si>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</si>
  <si>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</si>
  <si>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</si>
  <si>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</si>
  <si>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</si>
  <si>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</si>
  <si>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</si>
  <si>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</si>
  <si>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</si>
  <si>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</si>
  <si>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</si>
  <si>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</si>
  <si>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</si>
  <si>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</si>
  <si>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</si>
  <si>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</si>
  <si>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</si>
  <si>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</si>
  <si>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</si>
  <si>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</si>
  <si>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</si>
  <si>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</si>
  <si>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</si>
  <si>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</si>
  <si>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</si>
  <si>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</si>
  <si>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</si>
  <si>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</si>
  <si>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</si>
  <si>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</si>
  <si>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</si>
  <si>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</si>
  <si>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</si>
  <si>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</si>
  <si>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</si>
  <si>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</si>
  <si>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</si>
  <si>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</si>
  <si>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</si>
  <si>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</si>
  <si>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</si>
  <si>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</si>
  <si>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</si>
  <si>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</si>
  <si>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</si>
  <si>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</si>
  <si>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</si>
  <si>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</si>
  <si>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</si>
  <si>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</si>
  <si>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</si>
  <si>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</si>
  <si>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</si>
  <si>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</si>
  <si>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</si>
  <si>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</si>
  <si>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</si>
  <si>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</si>
  <si>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</si>
  <si>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</si>
  <si>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</si>
  <si>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</si>
  <si>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</si>
  <si>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</si>
  <si>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</si>
  <si>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</si>
  <si>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</si>
  <si>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</si>
  <si>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</si>
  <si>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</si>
  <si>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</si>
  <si>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</si>
  <si>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</si>
  <si>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</si>
  <si>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</si>
  <si>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</si>
  <si>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</si>
  <si>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</si>
  <si>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</si>
  <si>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</si>
  <si>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</si>
  <si>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</si>
  <si>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</si>
  <si>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</si>
  <si>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</si>
  <si>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</si>
  <si>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</si>
  <si>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</si>
  <si>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</si>
  <si>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</si>
  <si>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</si>
  <si>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</si>
  <si>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</si>
  <si>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</si>
  <si>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</si>
  <si>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</si>
  <si>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</si>
  <si>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</si>
  <si>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</si>
  <si>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</si>
  <si>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</si>
  <si>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</si>
  <si>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</si>
  <si>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</si>
  <si>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</si>
  <si>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</si>
  <si>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</si>
  <si>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</si>
  <si>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</si>
  <si>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</si>
  <si>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</si>
  <si>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</si>
  <si>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</si>
  <si>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</si>
  <si>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</si>
  <si>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</si>
  <si>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</si>
  <si>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</si>
  <si>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</si>
  <si>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</si>
  <si>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</si>
  <si>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</si>
  <si>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</si>
  <si>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</si>
  <si>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</si>
  <si>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</si>
  <si>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</si>
  <si>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</si>
  <si>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</si>
  <si>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</si>
  <si>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</si>
  <si>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</si>
  <si>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</si>
  <si>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</si>
  <si>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</si>
  <si>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</si>
  <si>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</si>
  <si>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</si>
  <si>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</si>
  <si>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</si>
  <si>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</si>
  <si>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</si>
  <si>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</si>
  <si>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</si>
  <si>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</si>
  <si>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</si>
  <si>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</si>
  <si>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</si>
  <si>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</si>
  <si>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</si>
  <si>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</si>
  <si>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</si>
  <si>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</si>
  <si>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</si>
  <si>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</si>
  <si>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</si>
  <si>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</si>
  <si>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</si>
  <si>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</si>
  <si>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</si>
  <si>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</si>
  <si>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</si>
  <si>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</si>
  <si>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</si>
  <si>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</si>
  <si>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</si>
  <si>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</si>
  <si>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</si>
  <si>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</si>
  <si>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</si>
  <si>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</si>
  <si>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</si>
  <si>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</si>
  <si>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</si>
  <si>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</si>
  <si>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</si>
  <si>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</si>
  <si>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</si>
  <si>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</si>
  <si>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</si>
  <si>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</si>
  <si>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</si>
  <si>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</si>
  <si>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</si>
  <si>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</si>
  <si>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</si>
  <si>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</si>
  <si>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</si>
  <si>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</si>
  <si>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</si>
  <si>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</si>
  <si>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</si>
  <si>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</si>
  <si>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</si>
  <si>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</si>
  <si>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</si>
  <si>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</si>
  <si>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</si>
  <si>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</si>
  <si>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</si>
  <si>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</si>
  <si>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</si>
  <si>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</si>
  <si>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</si>
  <si>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</si>
  <si>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</si>
  <si>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</si>
  <si>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</si>
  <si>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</si>
  <si>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</si>
  <si>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</si>
  <si>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</si>
  <si>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</si>
  <si>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</si>
  <si>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</si>
  <si>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</si>
  <si>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</si>
  <si>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</si>
  <si>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</si>
  <si>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</si>
  <si>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</si>
  <si>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</si>
  <si>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</si>
  <si>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</si>
  <si>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</si>
  <si>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</si>
  <si>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</si>
  <si>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</si>
  <si>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</si>
  <si>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</si>
  <si>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</si>
  <si>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</si>
  <si>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</si>
  <si>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</si>
  <si>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</si>
  <si>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</si>
  <si>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</si>
  <si>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</si>
  <si>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</si>
  <si>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</si>
  <si>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</si>
  <si>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</si>
  <si>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</si>
  <si>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</si>
  <si>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</si>
  <si>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</si>
  <si>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</si>
  <si>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</si>
  <si>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</si>
  <si>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</si>
  <si>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</si>
  <si>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</si>
  <si>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</si>
  <si>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</si>
  <si>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</si>
  <si>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</si>
  <si>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</si>
  <si>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</si>
  <si>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</si>
  <si>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</si>
  <si>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</si>
  <si>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</si>
  <si>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</si>
  <si>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</si>
  <si>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</si>
  <si>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</si>
  <si>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</si>
  <si>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</si>
  <si>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</si>
  <si>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</si>
  <si>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</si>
  <si>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</si>
  <si>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</si>
  <si>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</si>
  <si>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</si>
  <si>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</si>
  <si>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</si>
  <si>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</si>
  <si>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</si>
  <si>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</si>
  <si>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</si>
  <si>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</si>
  <si>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</si>
  <si>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</si>
  <si>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</si>
  <si>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</si>
  <si>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</si>
  <si>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</si>
  <si>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</si>
  <si>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</si>
  <si>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</si>
  <si>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</si>
  <si>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</si>
  <si>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</si>
  <si>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</si>
  <si>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</si>
  <si>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</si>
  <si>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</si>
  <si>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</si>
  <si>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</si>
  <si>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</si>
  <si>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</si>
  <si>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</si>
  <si>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</si>
  <si>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</si>
  <si>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</si>
  <si>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</si>
  <si>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</si>
  <si>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</si>
  <si>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</si>
  <si>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</si>
  <si>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</si>
  <si>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</si>
  <si>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</si>
  <si>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</si>
  <si>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</si>
  <si>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</si>
  <si>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</si>
  <si>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</si>
  <si>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</si>
  <si>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</si>
  <si>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</si>
  <si>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</si>
  <si>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</si>
  <si>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</si>
  <si>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</si>
  <si>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</si>
  <si>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</si>
  <si>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</si>
  <si>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</si>
  <si>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</si>
  <si>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</si>
  <si>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</si>
  <si>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</si>
  <si>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</si>
  <si>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</si>
  <si>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</si>
  <si>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</si>
  <si>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</si>
  <si>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</si>
  <si>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</si>
  <si>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</si>
  <si>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</si>
  <si>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</si>
  <si>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</si>
  <si>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</si>
  <si>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</si>
  <si>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</si>
  <si>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</si>
  <si>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</si>
  <si>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</si>
  <si>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</si>
  <si>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</si>
  <si>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</si>
  <si>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</si>
  <si>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</si>
  <si>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</si>
  <si>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</si>
  <si>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</si>
  <si>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</si>
  <si>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</si>
  <si>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</si>
  <si>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</si>
  <si>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</si>
  <si>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</si>
  <si>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</si>
  <si>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</si>
  <si>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</si>
  <si>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</si>
  <si>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</si>
  <si>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</si>
  <si>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</si>
  <si>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</si>
  <si>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</si>
  <si>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</si>
  <si>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</si>
  <si>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</si>
  <si>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</si>
  <si>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</si>
  <si>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</si>
  <si>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</si>
  <si>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</si>
  <si>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</si>
  <si>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</si>
  <si>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</si>
  <si>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</si>
  <si>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</si>
  <si>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</si>
  <si>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</si>
  <si>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</si>
  <si>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</si>
  <si>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</si>
  <si>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</si>
  <si>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</si>
  <si>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</si>
  <si>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</si>
  <si>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</si>
  <si>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</si>
  <si>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</si>
  <si>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</si>
  <si>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</si>
  <si>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</si>
  <si>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</si>
  <si>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</si>
  <si>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</si>
  <si>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</si>
  <si>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</si>
  <si>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</si>
  <si>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</si>
  <si>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</si>
  <si>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</si>
  <si>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</si>
  <si>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</si>
  <si>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</si>
  <si>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</si>
  <si>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</si>
  <si>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</si>
  <si>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</si>
  <si>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</si>
  <si>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</si>
  <si>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</si>
  <si>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</si>
  <si>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</si>
  <si>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</si>
  <si>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</si>
  <si>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</si>
  <si>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</si>
  <si>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</si>
  <si>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</si>
  <si>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</si>
  <si>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</si>
  <si>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</si>
  <si>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</si>
  <si>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</si>
  <si>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</si>
  <si>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</si>
  <si>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</si>
  <si>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</si>
  <si>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</si>
  <si>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</si>
  <si>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</si>
  <si>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</si>
  <si>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</si>
  <si>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</si>
  <si>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</si>
  <si>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</si>
  <si>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</si>
  <si>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</si>
  <si>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</si>
  <si>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</si>
  <si>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</si>
  <si>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</si>
  <si>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</si>
  <si>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</si>
  <si>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</si>
  <si>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</si>
  <si>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</si>
  <si>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</si>
  <si>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</si>
  <si>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</si>
  <si>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</si>
  <si>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</si>
  <si>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</si>
  <si>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</si>
  <si>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</si>
  <si>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</si>
  <si>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</si>
  <si>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</si>
  <si>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</si>
  <si>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</si>
  <si>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</si>
  <si>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</si>
  <si>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</si>
  <si>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</si>
  <si>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</si>
  <si>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</si>
  <si>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</si>
  <si>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</si>
  <si>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</si>
  <si>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</si>
  <si>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</si>
  <si>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</si>
  <si>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</si>
  <si>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</si>
  <si>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</si>
  <si>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</si>
  <si>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</si>
  <si>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</si>
  <si>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</si>
  <si>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</si>
  <si>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</si>
  <si>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</si>
  <si>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</si>
  <si>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</si>
  <si>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</si>
  <si>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</si>
  <si>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</si>
  <si>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</si>
  <si>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</si>
  <si>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</si>
  <si>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</si>
  <si>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</si>
  <si>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</si>
  <si>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</si>
  <si>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</si>
  <si>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</si>
  <si>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</si>
  <si>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</si>
  <si>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</si>
  <si>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</si>
  <si>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</si>
  <si>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</si>
  <si>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</si>
  <si>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</si>
  <si>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</si>
  <si>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</si>
  <si>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</si>
  <si>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</si>
  <si>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</si>
  <si>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</si>
  <si>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</si>
  <si>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</si>
  <si>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</si>
  <si>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</si>
  <si>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</si>
  <si>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</si>
  <si>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</si>
  <si>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</si>
  <si>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</si>
  <si>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</si>
  <si>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</si>
  <si>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</si>
  <si>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</si>
  <si>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</si>
  <si>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</si>
  <si>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</si>
  <si>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</si>
  <si>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</si>
  <si>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</si>
  <si>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</si>
  <si>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</si>
  <si>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</si>
  <si>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</si>
  <si>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</si>
  <si>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</si>
  <si>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</si>
  <si>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</si>
  <si>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</si>
  <si>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</si>
  <si>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</si>
  <si>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</si>
  <si>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</si>
  <si>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</si>
  <si>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</si>
  <si>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</si>
  <si>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</si>
  <si>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</si>
  <si>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</si>
  <si>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</si>
  <si>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</si>
  <si>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</si>
  <si>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</si>
  <si>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</si>
  <si>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</si>
  <si>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</si>
  <si>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</si>
  <si>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</si>
  <si>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</si>
  <si>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</si>
  <si>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</si>
  <si>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</si>
  <si>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</si>
  <si>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</si>
  <si>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</si>
  <si>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</si>
  <si>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</si>
  <si>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</si>
  <si>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</si>
  <si>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</si>
  <si>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</si>
  <si>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</si>
  <si>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</si>
  <si>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</si>
  <si>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</si>
  <si>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</si>
  <si>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</si>
  <si>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</si>
  <si>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</si>
  <si>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</si>
  <si>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</si>
  <si>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</si>
  <si>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</si>
  <si>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</si>
  <si>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</si>
  <si>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</si>
  <si>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</si>
  <si>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</si>
  <si>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</si>
  <si>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</si>
  <si>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</si>
  <si>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</si>
  <si>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</si>
  <si>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</si>
  <si>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</si>
  <si>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</si>
  <si>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</si>
  <si>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</si>
  <si>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</si>
  <si>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</si>
  <si>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</si>
  <si>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</si>
  <si>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</si>
  <si>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</si>
  <si>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</si>
  <si>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</si>
  <si>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</si>
  <si>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</si>
  <si>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</si>
  <si>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</si>
  <si>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</si>
  <si>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</si>
  <si>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</si>
  <si>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</si>
  <si>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</si>
  <si>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</si>
  <si>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</si>
  <si>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</si>
  <si>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</si>
  <si>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</si>
  <si>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</si>
  <si>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</si>
  <si>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</si>
  <si>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</si>
  <si>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</si>
  <si>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</si>
  <si>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</si>
  <si>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</si>
  <si>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</si>
  <si>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</si>
  <si>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</si>
  <si>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</si>
  <si>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</si>
  <si>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</si>
  <si>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</si>
  <si>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</si>
  <si>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</si>
  <si>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</si>
  <si>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</si>
  <si>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</si>
  <si>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</si>
  <si>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</si>
  <si>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</si>
  <si>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</si>
  <si>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</si>
  <si>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</si>
  <si>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</si>
  <si>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</si>
  <si>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</si>
  <si>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</si>
  <si>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</si>
  <si>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</si>
  <si>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</si>
  <si>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</si>
  <si>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</si>
  <si>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</si>
  <si>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</si>
  <si>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</si>
  <si>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</si>
  <si>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</si>
  <si>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</si>
  <si>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</si>
  <si>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</si>
  <si>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</si>
  <si>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</si>
  <si>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</si>
  <si>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</si>
  <si>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</si>
  <si>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</si>
  <si>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</si>
  <si>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</si>
  <si>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</si>
  <si>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</si>
  <si>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</si>
  <si>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</si>
  <si>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</si>
  <si>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</si>
  <si>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</si>
  <si>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</si>
  <si>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</si>
  <si>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</si>
  <si>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</si>
  <si>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</si>
  <si>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</si>
  <si>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</si>
  <si>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</si>
  <si>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</si>
  <si>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</si>
  <si>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</si>
  <si>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</si>
  <si>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</si>
  <si>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</si>
  <si>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</si>
  <si>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</si>
  <si>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</si>
  <si>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</si>
  <si>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</si>
  <si>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</si>
  <si>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</si>
  <si>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</si>
  <si>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</si>
  <si>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</si>
  <si>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</si>
  <si>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</si>
  <si>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</si>
  <si>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</si>
  <si>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</si>
  <si>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</si>
  <si>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</si>
  <si>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</si>
  <si>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</si>
  <si>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</si>
  <si>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</si>
  <si>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</si>
  <si>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</si>
  <si>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</si>
  <si>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</si>
  <si>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</si>
  <si>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</si>
  <si>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</si>
  <si>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</si>
  <si>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</si>
  <si>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</si>
  <si>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</si>
  <si>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</si>
  <si>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</si>
  <si>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</si>
  <si>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</si>
  <si>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</si>
  <si>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</si>
  <si>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</si>
  <si>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</si>
  <si>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</si>
  <si>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</si>
  <si>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</si>
  <si>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</si>
  <si>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</si>
  <si>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</si>
  <si>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</si>
  <si>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</si>
  <si>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</si>
  <si>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</si>
  <si>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</si>
  <si>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</si>
  <si>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</si>
  <si>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</si>
  <si>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</si>
  <si>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</si>
  <si>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</si>
  <si>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</si>
  <si>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</si>
  <si>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</si>
  <si>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</si>
  <si>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</si>
  <si>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</si>
  <si>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</si>
  <si>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</si>
  <si>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</si>
  <si>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</si>
  <si>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</si>
  <si>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</si>
  <si>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</si>
  <si>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</si>
  <si>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</si>
  <si>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</si>
  <si>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</si>
  <si>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</si>
  <si>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</si>
  <si>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</si>
  <si>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</si>
  <si>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</si>
  <si>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</si>
  <si>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</si>
  <si>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</si>
  <si>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</si>
  <si>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</si>
  <si>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</si>
  <si>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</si>
  <si>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</si>
  <si>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</si>
  <si>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</si>
  <si>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</si>
  <si>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</si>
  <si>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</si>
  <si>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</si>
  <si>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</si>
  <si>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</si>
  <si>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</si>
  <si>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</si>
  <si>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</si>
  <si>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</si>
  <si>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</si>
  <si>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</si>
  <si>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</si>
  <si>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</si>
  <si>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</si>
  <si>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</si>
  <si>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</si>
  <si>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</si>
  <si>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</si>
  <si>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</si>
  <si>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</si>
  <si>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</si>
  <si>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</si>
  <si>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</si>
  <si>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</si>
  <si>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</si>
  <si>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</si>
  <si>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</si>
  <si>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</si>
  <si>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</si>
  <si>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</si>
  <si>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</si>
  <si>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</si>
  <si>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</si>
  <si>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</si>
  <si>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</si>
  <si>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</si>
  <si>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</si>
  <si>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</si>
  <si>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</si>
  <si>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</si>
  <si>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</si>
  <si>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</si>
  <si>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</si>
  <si>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</si>
  <si>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</si>
  <si>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</si>
  <si>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</si>
  <si>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</si>
  <si>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</si>
  <si>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</si>
  <si>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</si>
  <si>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</si>
  <si>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</si>
  <si>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</si>
  <si>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</si>
  <si>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</si>
  <si>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</si>
  <si>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</si>
  <si>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</si>
  <si>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</si>
  <si>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</si>
  <si>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</si>
  <si>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</si>
  <si>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</si>
  <si>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</si>
  <si>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</si>
  <si>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</si>
  <si>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</si>
  <si>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</si>
  <si>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</si>
  <si>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</si>
  <si>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</si>
  <si>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</si>
  <si>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</si>
  <si>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</si>
  <si>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</si>
  <si>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</si>
  <si>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</si>
  <si>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</si>
  <si>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</si>
  <si>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</si>
  <si>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</si>
  <si>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</si>
  <si>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</si>
  <si>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</si>
  <si>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</si>
  <si>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</si>
  <si>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</si>
  <si>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</si>
  <si>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</si>
  <si>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</si>
  <si>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</si>
  <si>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</si>
  <si>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</si>
  <si>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</si>
  <si>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</si>
  <si>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</si>
  <si>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</si>
  <si>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</si>
  <si>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</si>
  <si>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</si>
  <si>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</si>
  <si>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</si>
  <si>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</si>
  <si>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</si>
  <si>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</si>
  <si>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</si>
  <si>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</si>
  <si>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</si>
  <si>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</si>
  <si>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</si>
  <si>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</si>
  <si>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</si>
  <si>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</si>
  <si>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</si>
  <si>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</si>
  <si>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</si>
  <si>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</si>
  <si>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</si>
  <si>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</si>
  <si>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</si>
  <si>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</si>
  <si>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</si>
  <si>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</si>
  <si>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</si>
  <si>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</si>
  <si>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</si>
  <si>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</si>
  <si>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</si>
  <si>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</si>
  <si>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</si>
  <si>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</si>
  <si>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</si>
  <si>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</si>
  <si>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</si>
  <si>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</si>
  <si>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</si>
  <si>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</si>
  <si>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</si>
  <si>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</si>
  <si>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</si>
  <si>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</si>
  <si>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</si>
  <si>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</si>
  <si>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</si>
  <si>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</si>
  <si>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</si>
  <si>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</si>
  <si>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</si>
  <si>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</si>
  <si>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</si>
  <si>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</si>
  <si>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</si>
  <si>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</si>
  <si>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</si>
  <si>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</si>
  <si>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</si>
  <si>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</si>
  <si>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</si>
  <si>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</si>
  <si>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</si>
  <si>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</si>
  <si>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</si>
  <si>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</si>
  <si>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</si>
  <si>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</si>
  <si>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</si>
  <si>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</si>
  <si>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</si>
  <si>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</si>
  <si>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</si>
  <si>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</si>
  <si>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</si>
  <si>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</si>
  <si>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</si>
  <si>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</si>
  <si>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</si>
  <si>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</si>
  <si>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</si>
  <si>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</si>
  <si>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</si>
  <si>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</si>
  <si>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</si>
  <si>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</si>
  <si>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</si>
  <si>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</si>
  <si>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</si>
  <si>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</si>
  <si>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</si>
  <si>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</si>
  <si>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</si>
  <si>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</si>
  <si>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</si>
  <si>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</si>
  <si>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</si>
  <si>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</si>
  <si>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</si>
  <si>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</si>
  <si>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</si>
  <si>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</si>
  <si>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</si>
  <si>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</si>
  <si>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</si>
  <si>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</si>
  <si>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</si>
  <si>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</si>
  <si>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</si>
  <si>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</si>
  <si>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</si>
  <si>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</si>
  <si>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</si>
  <si>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</si>
  <si>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</si>
  <si>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</si>
  <si>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</si>
  <si>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</si>
  <si>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</si>
  <si>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</si>
  <si>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</si>
  <si>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</si>
  <si>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</si>
  <si>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</si>
  <si>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</si>
  <si>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</si>
  <si>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</si>
  <si>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</si>
  <si>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</si>
  <si>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</si>
  <si>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</si>
  <si>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</si>
  <si>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</si>
  <si>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</si>
  <si>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</si>
  <si>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</si>
  <si>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</si>
  <si>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</si>
  <si>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</si>
  <si>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</si>
  <si>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</si>
  <si>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</si>
  <si>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</si>
  <si>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</si>
  <si>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</si>
  <si>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</si>
  <si>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</si>
  <si>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</si>
  <si>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</si>
  <si>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</si>
  <si>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</si>
  <si>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</si>
  <si>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</si>
  <si>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</si>
  <si>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</si>
  <si>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</si>
  <si>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</si>
  <si>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</si>
  <si>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</si>
  <si>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</si>
  <si>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</si>
  <si>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</si>
  <si>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</si>
  <si>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</si>
  <si>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</si>
  <si>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</si>
  <si>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</si>
  <si>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</si>
  <si>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</si>
  <si>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</si>
  <si>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</si>
  <si>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</si>
  <si>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</si>
  <si>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</si>
  <si>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</si>
  <si>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</si>
  <si>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</si>
  <si>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</si>
  <si>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</si>
  <si>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</si>
  <si>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</si>
  <si>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</si>
  <si>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</si>
  <si>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</si>
  <si>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</si>
  <si>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</si>
  <si>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</si>
  <si>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</si>
  <si>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</si>
  <si>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</si>
  <si>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</si>
  <si>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</si>
  <si>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</si>
  <si>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</si>
  <si>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</si>
  <si>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</si>
  <si>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</si>
  <si>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</si>
  <si>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</si>
  <si>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</si>
  <si>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</si>
  <si>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</si>
  <si>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</si>
  <si>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</si>
  <si>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</si>
  <si>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</si>
  <si>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</si>
  <si>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</si>
  <si>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</si>
  <si>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</si>
  <si>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</si>
  <si>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</si>
  <si>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</si>
  <si>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</si>
  <si>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</si>
  <si>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</si>
  <si>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</si>
  <si>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</si>
  <si>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</si>
  <si>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</si>
  <si>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</si>
  <si>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</si>
  <si>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</si>
  <si>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</si>
  <si>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</si>
  <si>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</si>
  <si>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</si>
  <si>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</si>
  <si>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</si>
  <si>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</si>
  <si>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</si>
  <si>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</si>
  <si>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</si>
  <si>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</si>
  <si>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</si>
  <si>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</si>
  <si>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</si>
  <si>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</si>
  <si>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</si>
  <si>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</si>
  <si>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</si>
  <si>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</si>
  <si>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</si>
  <si>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</si>
  <si>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</si>
  <si>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</si>
  <si>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</si>
  <si>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</si>
  <si>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</si>
  <si>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</si>
  <si>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</si>
  <si>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</si>
  <si>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</si>
  <si>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</si>
  <si>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</si>
  <si>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</si>
  <si>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</si>
  <si>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</si>
  <si>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</si>
  <si>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</si>
  <si>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</si>
  <si>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</si>
  <si>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</si>
  <si>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</si>
  <si>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</si>
  <si>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</si>
  <si>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</si>
  <si>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</si>
  <si>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</si>
  <si>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</si>
  <si>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</si>
  <si>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</si>
  <si>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</si>
  <si>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</si>
  <si>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</si>
  <si>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</si>
  <si>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</si>
  <si>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</si>
  <si>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</si>
  <si>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</si>
  <si>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</si>
  <si>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</si>
  <si>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</si>
  <si>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</si>
  <si>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</si>
  <si>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</si>
  <si>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</si>
  <si>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</si>
  <si>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</si>
  <si>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</si>
  <si>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</si>
  <si>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</si>
  <si>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</si>
  <si>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</si>
  <si>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</si>
  <si>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</si>
  <si>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</si>
  <si>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</si>
  <si>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</si>
  <si>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</si>
  <si>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</si>
  <si>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</si>
  <si>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</si>
  <si>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</si>
  <si>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</si>
  <si>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</si>
  <si>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</si>
  <si>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</si>
  <si>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</si>
  <si>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</si>
  <si>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</si>
  <si>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</si>
  <si>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</si>
  <si>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</si>
  <si>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</si>
  <si>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</si>
  <si>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</si>
  <si>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</si>
  <si>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</si>
  <si>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</si>
  <si>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</si>
  <si>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</si>
  <si>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</si>
  <si>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</si>
  <si>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</si>
  <si>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</si>
  <si>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</si>
  <si>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</si>
  <si>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</si>
  <si>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</si>
  <si>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</si>
  <si>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</si>
  <si>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</si>
  <si>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</si>
  <si>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</si>
  <si>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</si>
  <si>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</si>
  <si>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</si>
  <si>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</si>
  <si>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</si>
  <si>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</si>
  <si>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</si>
  <si>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</si>
  <si>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</si>
  <si>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</si>
  <si>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</si>
  <si>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</si>
  <si>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</si>
  <si>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</si>
  <si>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</si>
  <si>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</si>
  <si>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</si>
  <si>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</si>
  <si>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</si>
  <si>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</si>
  <si>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</si>
  <si>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</si>
  <si>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</si>
  <si>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</si>
  <si>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</si>
  <si>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</si>
  <si>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</si>
  <si>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</si>
  <si>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</si>
  <si>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</si>
  <si>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</si>
  <si>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</si>
  <si>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</si>
  <si>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</si>
  <si>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</si>
  <si>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</si>
  <si>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</si>
  <si>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</si>
  <si>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</si>
  <si>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</si>
  <si>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</si>
  <si>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</si>
  <si>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</si>
  <si>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</si>
  <si>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</si>
  <si>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</si>
  <si>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</si>
  <si>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</si>
  <si>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</si>
  <si>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</si>
  <si>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</si>
  <si>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</si>
  <si>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</si>
  <si>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</si>
  <si>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</si>
  <si>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</si>
  <si>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</si>
  <si>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</si>
  <si>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</si>
  <si>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</si>
  <si>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</si>
  <si>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</si>
  <si>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</si>
  <si>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</si>
  <si>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</si>
  <si>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</si>
  <si>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</si>
  <si>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</si>
  <si>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</si>
  <si>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</si>
  <si>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</si>
  <si>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</si>
  <si>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</si>
  <si>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</si>
  <si>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</si>
  <si>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</si>
  <si>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</si>
  <si>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</si>
  <si>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</si>
  <si>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</si>
  <si>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</si>
  <si>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</si>
  <si>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</si>
  <si>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</si>
  <si>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</si>
  <si>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</si>
  <si>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</si>
  <si>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</si>
  <si>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</si>
  <si>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</si>
  <si>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</si>
  <si>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</si>
  <si>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</si>
  <si>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</si>
  <si>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</si>
  <si>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</si>
  <si>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</si>
  <si>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</si>
  <si>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</si>
  <si>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</si>
  <si>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</si>
  <si>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</si>
  <si>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</si>
  <si>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</si>
  <si>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</si>
  <si>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</si>
  <si>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</si>
  <si>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</si>
  <si>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</si>
  <si>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</si>
  <si>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</si>
  <si>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</si>
  <si>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</si>
  <si>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</si>
  <si>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</si>
  <si>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</si>
  <si>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</si>
  <si>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</si>
  <si>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</si>
  <si>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</si>
  <si>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</si>
  <si>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</si>
  <si>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</si>
  <si>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</si>
  <si>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</si>
  <si>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</si>
  <si>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</si>
  <si>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</si>
  <si>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</si>
  <si>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</si>
  <si>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</si>
  <si>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</si>
  <si>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</si>
  <si>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</si>
  <si>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</si>
  <si>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</si>
  <si>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</si>
  <si>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</si>
  <si>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</si>
  <si>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</si>
  <si>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</si>
  <si>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</si>
  <si>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</si>
  <si>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</si>
  <si>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</si>
  <si>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</si>
  <si>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</si>
  <si>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</si>
  <si>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</si>
  <si>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</si>
  <si>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</si>
  <si>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</si>
  <si>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</si>
  <si>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</si>
  <si>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</si>
  <si>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</si>
  <si>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</si>
  <si>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</si>
  <si>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</si>
  <si>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</si>
  <si>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</si>
  <si>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</si>
  <si>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</si>
  <si>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</si>
  <si>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</si>
  <si>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</si>
  <si>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</si>
  <si>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</si>
  <si>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</si>
  <si>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</si>
  <si>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</si>
  <si>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</si>
  <si>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</si>
  <si>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</si>
  <si>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</si>
  <si>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</si>
  <si>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</si>
  <si>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</si>
  <si>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</si>
  <si>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</si>
  <si>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</si>
  <si>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</si>
  <si>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</si>
  <si>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</si>
  <si>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</si>
  <si>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</si>
  <si>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</si>
  <si>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</si>
  <si>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</si>
  <si>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</si>
  <si>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</si>
  <si>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</si>
  <si>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</si>
  <si>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</si>
  <si>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</si>
  <si>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</si>
  <si>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</si>
  <si>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</si>
  <si>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</si>
  <si>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</si>
  <si>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</si>
  <si>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</si>
  <si>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</si>
  <si>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</si>
  <si>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</si>
  <si>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</si>
  <si>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</si>
  <si>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</si>
  <si>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</si>
  <si>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</si>
  <si>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</si>
  <si>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</si>
  <si>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</si>
  <si>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</si>
  <si>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</si>
  <si>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</si>
  <si>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</si>
  <si>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</si>
  <si>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</si>
  <si>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</si>
  <si>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</si>
  <si>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</si>
  <si>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</si>
  <si>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</si>
  <si>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</si>
  <si>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</si>
  <si>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</si>
  <si>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</si>
  <si>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</si>
  <si>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</si>
  <si>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</si>
  <si>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</si>
  <si>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</si>
  <si>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</si>
  <si>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</si>
  <si>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</si>
  <si>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</si>
  <si>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</si>
  <si>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</si>
  <si>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</si>
  <si>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</si>
  <si>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</si>
  <si>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</si>
  <si>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</si>
  <si>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</si>
  <si>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</si>
  <si>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</si>
  <si>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</si>
  <si>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</si>
  <si>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</si>
  <si>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</si>
  <si>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</si>
  <si>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</si>
  <si>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</si>
  <si>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</si>
  <si>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</si>
  <si>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</si>
  <si>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</si>
  <si>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</si>
  <si>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</si>
  <si>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</si>
  <si>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</si>
  <si>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</si>
  <si>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</si>
  <si>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</si>
  <si>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</si>
  <si>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</si>
  <si>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</si>
  <si>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</si>
  <si>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</si>
  <si>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</si>
  <si>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</si>
  <si>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</si>
  <si>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</si>
  <si>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</si>
  <si>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</si>
  <si>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</si>
  <si>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</si>
  <si>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</si>
  <si>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</si>
  <si>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</si>
  <si>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</si>
  <si>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</si>
  <si>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</si>
  <si>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</si>
  <si>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</si>
  <si>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</si>
  <si>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</si>
  <si>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</si>
  <si>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</si>
  <si>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</si>
  <si>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</si>
  <si>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</si>
  <si>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</si>
  <si>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</si>
  <si>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</si>
  <si>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</si>
  <si>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</si>
  <si>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</si>
  <si>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</si>
  <si>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</si>
  <si>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</si>
  <si>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</si>
  <si>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</si>
  <si>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</si>
  <si>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</si>
  <si>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</si>
  <si>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</si>
  <si>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</si>
  <si>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</si>
  <si>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</si>
  <si>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</si>
  <si>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</si>
  <si>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</si>
  <si>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</si>
  <si>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</si>
  <si>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</si>
  <si>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</si>
  <si>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</si>
  <si>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</si>
  <si>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</si>
  <si>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</si>
  <si>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</si>
  <si>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</si>
  <si>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</si>
  <si>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</si>
  <si>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</si>
  <si>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</si>
  <si>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</si>
  <si>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</si>
  <si>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</si>
  <si>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</si>
  <si>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</si>
  <si>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</si>
  <si>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</si>
  <si>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</si>
  <si>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</si>
  <si>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</si>
  <si>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</si>
  <si>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</si>
  <si>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</si>
  <si>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</si>
  <si>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</si>
  <si>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</si>
  <si>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</si>
  <si>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</si>
  <si>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</si>
  <si>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</si>
  <si>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</si>
  <si>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</si>
  <si>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</si>
  <si>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</si>
  <si>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</si>
  <si>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</si>
  <si>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</si>
  <si>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</si>
  <si>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</si>
  <si>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</si>
  <si>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</si>
  <si>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</si>
  <si>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</si>
  <si>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</si>
  <si>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</si>
  <si>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</si>
  <si>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</si>
  <si>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</si>
  <si>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</si>
  <si>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</si>
  <si>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</si>
  <si>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</si>
  <si>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</si>
  <si>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</si>
  <si>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</si>
  <si>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</si>
  <si>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</si>
  <si>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</si>
  <si>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</si>
  <si>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</si>
  <si>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</si>
  <si>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</si>
  <si>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</si>
  <si>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</si>
  <si>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</si>
  <si>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</si>
  <si>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</si>
  <si>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</si>
  <si>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</si>
  <si>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</si>
  <si>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</si>
  <si>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</si>
  <si>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</si>
  <si>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</si>
  <si>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</si>
  <si>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</si>
  <si>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</si>
  <si>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</si>
  <si>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</si>
  <si>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</si>
  <si>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</si>
  <si>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</si>
  <si>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</si>
  <si>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</si>
  <si>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</si>
  <si>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</si>
  <si>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</si>
  <si>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</si>
  <si>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</si>
  <si>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</si>
  <si>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</si>
  <si>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</si>
  <si>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</si>
  <si>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</si>
  <si>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</si>
  <si>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</si>
  <si>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</si>
  <si>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</si>
  <si>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</si>
  <si>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</si>
  <si>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</si>
  <si>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</si>
  <si>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</si>
  <si>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</si>
  <si>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</si>
  <si>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</si>
  <si>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</si>
  <si>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</si>
  <si>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</si>
  <si>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</si>
  <si>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</si>
  <si>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</si>
  <si>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</si>
  <si>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</si>
  <si>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</si>
  <si>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</si>
  <si>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</si>
  <si>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</si>
  <si>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</si>
  <si>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</si>
  <si>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</si>
  <si>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</si>
  <si>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</si>
  <si>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</si>
  <si>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</si>
  <si>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</si>
  <si>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</si>
  <si>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</si>
  <si>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</si>
  <si>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</si>
  <si>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</si>
  <si>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</si>
  <si>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</si>
  <si>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</si>
  <si>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</si>
  <si>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</si>
  <si>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</si>
  <si>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</si>
  <si>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</si>
  <si>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</si>
  <si>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</si>
  <si>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</si>
  <si>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</si>
  <si>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</si>
  <si>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</si>
  <si>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</si>
  <si>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</si>
  <si>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</si>
  <si>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</si>
  <si>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</si>
  <si>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</si>
  <si>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</si>
  <si>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</si>
  <si>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</si>
  <si>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</si>
  <si>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</si>
  <si>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</si>
  <si>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</si>
  <si>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</si>
  <si>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</si>
  <si>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</si>
  <si>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</si>
  <si>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</si>
  <si>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</si>
  <si>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</si>
  <si>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</si>
  <si>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</si>
  <si>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</si>
  <si>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</si>
  <si>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</si>
  <si>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</si>
  <si>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</si>
  <si>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</si>
  <si>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</si>
  <si>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</si>
  <si>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</si>
  <si>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</si>
  <si>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</si>
  <si>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</si>
  <si>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</si>
  <si>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</si>
  <si>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</si>
  <si>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</si>
  <si>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</si>
  <si>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</si>
  <si>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</si>
  <si>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</si>
  <si>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</si>
  <si>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</si>
  <si>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</si>
  <si>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</si>
  <si>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</si>
  <si>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</si>
  <si>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</si>
  <si>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</si>
  <si>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</si>
  <si>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</si>
  <si>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</si>
  <si>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</si>
  <si>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</si>
  <si>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</si>
  <si>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</si>
  <si>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</si>
  <si>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</si>
  <si>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</si>
  <si>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</si>
  <si>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</si>
  <si>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</si>
  <si>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</si>
  <si>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</si>
  <si>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</si>
  <si>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</si>
  <si>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</si>
  <si>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</si>
  <si>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</si>
  <si>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</si>
  <si>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</si>
  <si>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</si>
  <si>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</si>
  <si>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</si>
  <si>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</si>
  <si>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</si>
  <si>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</si>
  <si>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</si>
  <si>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</si>
  <si>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</si>
  <si>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</si>
  <si>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</si>
  <si>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</si>
  <si>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</si>
  <si>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</si>
  <si>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</si>
  <si>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</si>
  <si>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</si>
  <si>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</si>
  <si>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</si>
  <si>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</si>
  <si>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</si>
  <si>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</si>
  <si>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</si>
  <si>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</si>
  <si>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</si>
  <si>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</si>
  <si>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</si>
  <si>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</si>
  <si>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</si>
  <si>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</si>
  <si>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</si>
  <si>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</si>
  <si>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</si>
  <si>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</si>
  <si>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</si>
  <si>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</si>
  <si>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</si>
  <si>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</si>
  <si>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</si>
  <si>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</si>
  <si>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</si>
  <si>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</si>
  <si>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</si>
  <si>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</si>
  <si>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</si>
  <si>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</si>
  <si>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</si>
  <si>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</si>
  <si>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</si>
  <si>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</si>
  <si>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</si>
  <si>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</si>
  <si>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</si>
  <si>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</si>
  <si>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</si>
  <si>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</si>
  <si>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</si>
  <si>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</si>
  <si>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</si>
  <si>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</si>
  <si>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</si>
  <si>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</si>
  <si>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</si>
  <si>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</si>
  <si>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</si>
  <si>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</si>
  <si>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</si>
  <si>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</si>
  <si>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</si>
  <si>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</si>
  <si>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</si>
  <si>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</si>
  <si>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</si>
  <si>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</si>
  <si>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</si>
  <si>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</si>
  <si>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</si>
  <si>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</si>
  <si>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</si>
  <si>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</si>
  <si>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</si>
  <si>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</si>
  <si>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</si>
  <si>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</si>
  <si>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</si>
  <si>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</si>
  <si>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</si>
  <si>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</si>
  <si>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</si>
  <si>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</si>
  <si>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</si>
  <si>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</si>
  <si>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</si>
  <si>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</si>
  <si>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</si>
  <si>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</si>
  <si>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</si>
  <si>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</si>
  <si>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</si>
  <si>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</si>
  <si>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</si>
  <si>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</si>
  <si>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</si>
  <si>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</si>
  <si>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</si>
  <si>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</si>
  <si>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</si>
  <si>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</si>
  <si>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</si>
  <si>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</si>
  <si>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</si>
  <si>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</si>
  <si>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</si>
  <si>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</si>
  <si>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</si>
  <si>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</si>
  <si>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</si>
  <si>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</si>
  <si>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</si>
  <si>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</si>
  <si>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</si>
  <si>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</si>
  <si>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</si>
  <si>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</si>
  <si>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</si>
  <si>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</si>
  <si>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</si>
  <si>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</si>
  <si>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</si>
  <si>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</si>
  <si>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</si>
  <si>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</si>
  <si>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</si>
  <si>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</si>
  <si>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</si>
  <si>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</si>
  <si>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</si>
  <si>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</si>
  <si>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</si>
  <si>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</si>
  <si>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</si>
  <si>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</si>
  <si>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</si>
  <si>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</si>
  <si>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</si>
  <si>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</si>
  <si>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</si>
  <si>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</si>
  <si>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</si>
  <si>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</si>
  <si>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</si>
  <si>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</si>
  <si>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</si>
  <si>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</si>
  <si>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</si>
  <si>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</si>
  <si>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</si>
  <si>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</si>
  <si>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</si>
  <si>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</si>
  <si>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</si>
  <si>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</si>
  <si>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</si>
  <si>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</si>
  <si>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</si>
  <si>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</si>
  <si>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</si>
  <si>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</si>
  <si>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</si>
  <si>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</si>
  <si>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</si>
  <si>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</si>
  <si>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</si>
  <si>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</si>
  <si>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</si>
  <si>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</si>
  <si>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</si>
  <si>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</si>
  <si>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</si>
  <si>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</si>
  <si>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</si>
  <si>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</si>
  <si>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</si>
  <si>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</si>
  <si>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</si>
  <si>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</si>
  <si>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</si>
  <si>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</si>
  <si>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</si>
  <si>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</si>
  <si>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</si>
  <si>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</si>
  <si>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</si>
  <si>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</si>
  <si>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</si>
  <si>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</si>
  <si>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</si>
  <si>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</si>
  <si>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</si>
  <si>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</si>
  <si>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</si>
  <si>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</si>
  <si>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</si>
  <si>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</si>
  <si>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</si>
  <si>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</si>
  <si>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</si>
  <si>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</si>
  <si>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</si>
  <si>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</si>
  <si>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</si>
  <si>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</si>
  <si>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</si>
  <si>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</si>
  <si>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</si>
  <si>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</si>
  <si>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</si>
  <si>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</si>
  <si>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</si>
  <si>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</si>
  <si>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</si>
  <si>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</si>
  <si>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</si>
  <si>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</si>
  <si>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</si>
  <si>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</si>
  <si>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</si>
  <si>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</si>
  <si>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</si>
  <si>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</si>
  <si>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</si>
  <si>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</si>
  <si>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</si>
  <si>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</si>
  <si>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</si>
  <si>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</si>
  <si>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</si>
  <si>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</si>
  <si>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</si>
  <si>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</si>
  <si>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</si>
  <si>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</si>
  <si>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</si>
  <si>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</si>
  <si>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</si>
  <si>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</si>
  <si>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</si>
  <si>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</si>
  <si>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</si>
  <si>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</si>
  <si>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</si>
  <si>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</si>
  <si>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</si>
  <si>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</si>
  <si>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</si>
  <si>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</si>
  <si>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</si>
  <si>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</si>
  <si>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</si>
  <si>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</si>
  <si>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</si>
  <si>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</si>
  <si>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</si>
  <si>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</si>
  <si>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</si>
  <si>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</si>
  <si>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</si>
  <si>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</si>
  <si>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</si>
  <si>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</si>
  <si>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</si>
  <si>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</si>
  <si>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</si>
  <si>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</si>
  <si>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</si>
  <si>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</si>
  <si>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</si>
  <si>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</si>
  <si>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</si>
  <si>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</si>
  <si>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</si>
  <si>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</si>
  <si>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</si>
  <si>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</si>
  <si>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</si>
  <si>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</si>
  <si>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</si>
  <si>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</si>
  <si>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</si>
  <si>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</si>
  <si>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</si>
  <si>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</si>
  <si>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</si>
  <si>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</si>
  <si>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</si>
  <si>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</si>
  <si>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</si>
  <si>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</si>
  <si>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</si>
  <si>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</si>
  <si>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</si>
  <si>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</si>
  <si>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</si>
  <si>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</si>
  <si>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</si>
  <si>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</si>
  <si>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</si>
  <si>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</si>
  <si>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</si>
  <si>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</si>
  <si>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</si>
  <si>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</si>
  <si>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</si>
  <si>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</si>
  <si>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</si>
  <si>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</si>
  <si>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</si>
  <si>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</si>
  <si>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</si>
  <si>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</si>
  <si>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</si>
  <si>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</si>
  <si>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</si>
  <si>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</si>
  <si>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</si>
  <si>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</si>
  <si>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</si>
  <si>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</si>
  <si>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</si>
  <si>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</si>
  <si>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</si>
  <si>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</si>
  <si>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</si>
  <si>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</si>
  <si>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</si>
  <si>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</si>
  <si>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</si>
  <si>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</si>
  <si>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</si>
  <si>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</si>
  <si>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</si>
  <si>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</si>
  <si>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</si>
  <si>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</si>
  <si>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</si>
  <si>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</si>
  <si>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</si>
  <si>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</si>
  <si>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</si>
  <si>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</si>
  <si>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</si>
  <si>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</si>
  <si>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</si>
  <si>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</si>
  <si>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</si>
  <si>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</si>
  <si>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</si>
  <si>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</si>
  <si>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</si>
  <si>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</si>
  <si>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</si>
  <si>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</si>
  <si>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</si>
  <si>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</si>
  <si>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</si>
  <si>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</si>
  <si>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</si>
  <si>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</si>
  <si>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</si>
  <si>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</si>
  <si>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</si>
  <si>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</si>
  <si>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</si>
  <si>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</si>
  <si>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</si>
  <si>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</si>
  <si>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</si>
  <si>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</si>
  <si>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</si>
  <si>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</si>
  <si>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</si>
  <si>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</si>
  <si>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</si>
  <si>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</si>
  <si>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</si>
  <si>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</si>
  <si>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</si>
  <si>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</si>
  <si>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</si>
  <si>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</si>
  <si>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</si>
  <si>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</si>
  <si>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</si>
  <si>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</si>
  <si>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</si>
  <si>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</si>
  <si>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</si>
  <si>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</si>
  <si>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</si>
  <si>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</si>
  <si>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</si>
  <si>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</si>
  <si>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</si>
  <si>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</si>
  <si>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</si>
  <si>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</si>
  <si>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</si>
  <si>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</si>
  <si>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</si>
  <si>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</si>
  <si>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</si>
  <si>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</si>
  <si>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</si>
  <si>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</si>
  <si>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</si>
  <si>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</si>
  <si>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</si>
  <si>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</si>
  <si>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</si>
  <si>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</si>
  <si>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</si>
  <si>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</si>
  <si>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</si>
  <si>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</si>
  <si>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</si>
  <si>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</si>
  <si>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</si>
  <si>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</si>
  <si>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</si>
  <si>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</si>
  <si>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</si>
  <si>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</si>
  <si>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</si>
  <si>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</si>
  <si>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</si>
  <si>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</si>
  <si>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</si>
  <si>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</si>
  <si>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</si>
  <si>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</si>
  <si>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</si>
  <si>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</si>
  <si>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</si>
  <si>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</si>
  <si>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</si>
  <si>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</si>
  <si>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</si>
  <si>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</si>
  <si>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</si>
  <si>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</si>
  <si>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</si>
  <si>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</si>
  <si>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</si>
  <si>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</si>
  <si>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</si>
  <si>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</si>
  <si>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</si>
  <si>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</si>
  <si>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</si>
  <si>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</si>
  <si>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</si>
  <si>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</si>
  <si>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</si>
  <si>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</si>
  <si>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</si>
  <si>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</si>
  <si>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</si>
  <si>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</si>
  <si>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</si>
  <si>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</si>
  <si>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</si>
  <si>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</si>
  <si>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</si>
  <si>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</si>
  <si>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</si>
  <si>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</si>
  <si>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</si>
  <si>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</si>
  <si>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</si>
  <si>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</si>
  <si>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</si>
  <si>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</si>
  <si>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</si>
  <si>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</si>
  <si>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</si>
  <si>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</si>
  <si>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</si>
  <si>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</si>
  <si>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</si>
  <si>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</si>
  <si>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</si>
  <si>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</si>
  <si>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</si>
  <si>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</si>
  <si>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</si>
  <si>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</si>
  <si>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</si>
  <si>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</si>
  <si>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</si>
  <si>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</si>
  <si>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</si>
  <si>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</si>
  <si>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</si>
  <si>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</si>
  <si>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</si>
  <si>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</si>
  <si>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</si>
  <si>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</si>
  <si>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</si>
  <si>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</si>
  <si>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</si>
  <si>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</si>
  <si>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</si>
  <si>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</si>
  <si>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</si>
  <si>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</si>
  <si>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</si>
  <si>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</si>
  <si>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</si>
  <si>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</si>
  <si>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</si>
  <si>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</si>
  <si>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</si>
  <si>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</si>
  <si>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</si>
  <si>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</si>
  <si>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</si>
  <si>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</si>
  <si>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</si>
  <si>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</si>
  <si>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</si>
  <si>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</si>
  <si>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</si>
  <si>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</si>
  <si>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</si>
  <si>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</si>
  <si>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</si>
  <si>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</si>
  <si>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</si>
  <si>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</si>
  <si>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</si>
  <si>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</si>
  <si>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</si>
  <si>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</si>
  <si>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</si>
  <si>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</si>
  <si>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</si>
  <si>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</si>
  <si>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</si>
  <si>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</si>
  <si>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</si>
  <si>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</si>
  <si>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</si>
  <si>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</si>
  <si>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</si>
  <si>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</si>
  <si>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</si>
  <si>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</si>
  <si>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</si>
  <si>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</si>
  <si>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</si>
  <si>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</si>
  <si>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</si>
  <si>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</si>
  <si>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</si>
  <si>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</si>
  <si>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</si>
  <si>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</si>
  <si>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</si>
  <si>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</si>
  <si>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</si>
  <si>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</si>
  <si>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</si>
  <si>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</si>
  <si>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</si>
  <si>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</si>
  <si>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</si>
  <si>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</si>
  <si>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</si>
  <si>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</si>
  <si>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</si>
  <si>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</si>
  <si>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</si>
  <si>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</si>
  <si>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</si>
  <si>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</si>
  <si>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</si>
  <si>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</si>
  <si>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</si>
  <si>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</si>
  <si>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</si>
  <si>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</si>
  <si>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</si>
  <si>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</si>
  <si>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</si>
  <si>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</si>
  <si>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</si>
  <si>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</si>
  <si>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</si>
  <si>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</si>
  <si>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</si>
  <si>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</si>
  <si>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</si>
  <si>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</si>
  <si>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</si>
  <si>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</si>
  <si>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</si>
  <si>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</si>
  <si>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</si>
  <si>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</si>
  <si>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</si>
  <si>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</si>
  <si>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</si>
  <si>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</si>
  <si>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</si>
  <si>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</si>
  <si>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</si>
  <si>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</si>
  <si>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</si>
  <si>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</si>
  <si>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</si>
  <si>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</si>
  <si>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</si>
  <si>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</si>
  <si>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</si>
  <si>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</si>
  <si>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</si>
  <si>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</si>
  <si>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</si>
  <si>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</si>
  <si>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</si>
  <si>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</si>
  <si>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</si>
  <si>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</si>
  <si>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</si>
  <si>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</si>
  <si>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</si>
  <si>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</si>
  <si>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</si>
  <si>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</si>
  <si>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</si>
  <si>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</si>
  <si>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</si>
  <si>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</si>
  <si>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</si>
  <si>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</si>
  <si>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</si>
  <si>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</si>
  <si>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</si>
  <si>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</si>
  <si>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</si>
  <si>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</si>
  <si>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</si>
  <si>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</si>
  <si>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</si>
  <si>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</si>
  <si>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</si>
  <si>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</si>
  <si>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</si>
  <si>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</si>
  <si>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</si>
  <si>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</si>
  <si>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</si>
  <si>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</si>
  <si>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</si>
  <si>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</si>
  <si>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</si>
  <si>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</si>
  <si>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</si>
  <si>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</si>
  <si>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</si>
  <si>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</si>
  <si>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</si>
  <si>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</si>
  <si>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</si>
  <si>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</si>
  <si>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</si>
  <si>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</si>
  <si>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</si>
  <si>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</si>
  <si>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</si>
  <si>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</si>
  <si>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</si>
  <si>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</si>
  <si>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</si>
  <si>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</si>
  <si>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</si>
  <si>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</si>
  <si>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</si>
  <si>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</si>
  <si>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</si>
  <si>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</si>
  <si>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</si>
  <si>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</si>
  <si>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</si>
  <si>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</si>
  <si>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</si>
  <si>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</si>
  <si>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</si>
  <si>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</si>
  <si>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</si>
  <si>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</si>
  <si>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</si>
  <si>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</si>
  <si>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</si>
  <si>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</si>
  <si>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</si>
  <si>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</si>
  <si>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</si>
  <si>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</si>
  <si>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</si>
  <si>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</si>
  <si>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</si>
  <si>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</si>
  <si>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</si>
  <si>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</si>
  <si>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</si>
  <si>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</si>
  <si>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</si>
  <si>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</si>
  <si>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</si>
  <si>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</si>
  <si>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</si>
  <si>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</si>
  <si>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</si>
  <si>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</si>
  <si>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</si>
  <si>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</si>
  <si>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</si>
  <si>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</si>
  <si>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</si>
  <si>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</si>
  <si>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</si>
  <si>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</si>
  <si>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</si>
  <si>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</si>
  <si>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</si>
  <si>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</si>
  <si>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</si>
  <si>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</si>
  <si>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</si>
  <si>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</si>
  <si>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</si>
  <si>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</si>
  <si>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</si>
  <si>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</si>
  <si>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</si>
  <si>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</si>
  <si>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</si>
  <si>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</si>
  <si>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</si>
  <si>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</si>
  <si>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</si>
  <si>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</si>
  <si>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</si>
  <si>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</si>
  <si>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</si>
  <si>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</si>
  <si>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</si>
  <si>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</si>
  <si>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</si>
  <si>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</si>
  <si>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</si>
  <si>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</si>
  <si>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</si>
  <si>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</si>
  <si>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</si>
  <si>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</si>
  <si>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</si>
  <si>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</si>
  <si>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</si>
  <si>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</si>
  <si>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</si>
  <si>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</si>
  <si>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</si>
  <si>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</si>
  <si>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</si>
  <si>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</si>
  <si>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</si>
  <si>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</si>
  <si>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</si>
  <si>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</si>
  <si>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</si>
  <si>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</si>
  <si>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</si>
  <si>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</si>
  <si>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</si>
  <si>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</si>
  <si>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</si>
  <si>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</si>
  <si>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</si>
  <si>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</si>
  <si>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</si>
  <si>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</si>
  <si>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</si>
  <si>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</si>
  <si>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</si>
  <si>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</si>
  <si>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</si>
  <si>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</si>
  <si>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</si>
  <si>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</si>
  <si>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</si>
  <si>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</si>
  <si>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</si>
  <si>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</si>
  <si>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</si>
  <si>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</si>
  <si>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</si>
  <si>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</si>
  <si>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</si>
  <si>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</si>
  <si>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</si>
  <si>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</si>
  <si>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</si>
  <si>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</si>
  <si>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</si>
  <si>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</si>
  <si>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</si>
  <si>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</si>
  <si>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</si>
  <si>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</si>
  <si>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</si>
  <si>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</si>
  <si>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</si>
  <si>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</si>
  <si>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</si>
  <si>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</si>
  <si>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</si>
  <si>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</si>
  <si>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</si>
  <si>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</si>
  <si>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</si>
  <si>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</si>
  <si>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</si>
  <si>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</si>
  <si>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</si>
  <si>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</si>
  <si>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</si>
  <si>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</si>
  <si>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</si>
  <si>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</si>
  <si>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</si>
  <si>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</si>
  <si>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</si>
  <si>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</si>
  <si>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</si>
  <si>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</si>
  <si>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</si>
  <si>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</si>
  <si>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</si>
  <si>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</si>
  <si>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</si>
  <si>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</si>
  <si>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</si>
  <si>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</si>
  <si>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</si>
  <si>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</si>
  <si>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</si>
  <si>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</si>
  <si>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</si>
  <si>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</si>
  <si>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</si>
  <si>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</si>
  <si>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</si>
  <si>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</si>
  <si>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</si>
  <si>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</si>
  <si>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</si>
  <si>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</si>
  <si>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</si>
  <si>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</si>
  <si>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</si>
  <si>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</si>
  <si>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</si>
  <si>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</si>
  <si>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</si>
  <si>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</si>
  <si>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</si>
  <si>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</si>
  <si>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</si>
  <si>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</si>
  <si>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</si>
  <si>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</si>
  <si>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</si>
  <si>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</si>
  <si>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</si>
  <si>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</si>
  <si>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</si>
  <si>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</si>
  <si>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</si>
  <si>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</si>
  <si>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</si>
  <si>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</si>
  <si>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</si>
  <si>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</si>
  <si>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</si>
  <si>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</si>
  <si>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</si>
  <si>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</si>
  <si>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</si>
  <si>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</si>
  <si>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</si>
  <si>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</si>
  <si>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</si>
  <si>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</si>
  <si>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</si>
  <si>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</si>
  <si>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</si>
  <si>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</si>
  <si>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</si>
  <si>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</si>
  <si>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</si>
  <si>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</si>
  <si>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</si>
  <si>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</si>
  <si>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</si>
  <si>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</si>
  <si>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</si>
  <si>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</si>
  <si>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</si>
  <si>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</si>
  <si>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</si>
  <si>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</si>
  <si>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</si>
  <si>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</si>
  <si>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</si>
  <si>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</si>
  <si>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</si>
  <si>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</si>
  <si>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</si>
  <si>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</si>
  <si>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</si>
  <si>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</si>
  <si>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</si>
  <si>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</si>
  <si>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</si>
  <si>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</si>
  <si>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</si>
  <si>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</si>
  <si>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</si>
  <si>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</si>
  <si>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</si>
  <si>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</si>
  <si>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</si>
  <si>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</si>
  <si>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</si>
  <si>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</si>
  <si>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</si>
  <si>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</si>
  <si>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</si>
  <si>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</si>
  <si>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</si>
  <si>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</si>
  <si>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</si>
  <si>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</si>
  <si>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</si>
  <si>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</si>
  <si>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</si>
  <si>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</si>
  <si>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</si>
  <si>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</si>
  <si>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</si>
  <si>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</si>
  <si>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</si>
  <si>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</si>
  <si>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</si>
  <si>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</si>
  <si>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</si>
  <si>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</si>
  <si>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</si>
  <si>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</si>
  <si>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</si>
  <si>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</si>
  <si>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</si>
  <si>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</si>
  <si>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</si>
  <si>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</si>
  <si>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</si>
  <si>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</si>
  <si>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</si>
  <si>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</si>
  <si>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</si>
  <si>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</si>
  <si>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</si>
  <si>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</si>
  <si>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</si>
  <si>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</si>
  <si>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</si>
  <si>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</si>
  <si>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</si>
  <si>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</si>
  <si>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</si>
  <si>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</si>
  <si>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</si>
  <si>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</si>
  <si>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</si>
  <si>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</si>
  <si>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</si>
  <si>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</si>
  <si>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</si>
  <si>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</si>
  <si>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</si>
  <si>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</si>
  <si>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</si>
  <si>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</si>
  <si>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</si>
  <si>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</si>
  <si>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</si>
  <si>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</si>
  <si>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</si>
  <si>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</si>
  <si>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</si>
  <si>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</si>
  <si>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</si>
  <si>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</si>
  <si>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</si>
  <si>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</si>
  <si>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</si>
  <si>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</si>
  <si>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</si>
  <si>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</si>
  <si>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</si>
  <si>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</si>
  <si>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</si>
  <si>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</si>
  <si>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</si>
  <si>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</si>
  <si>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</si>
  <si>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</si>
  <si>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</si>
  <si>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</si>
  <si>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</si>
  <si>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</si>
  <si>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</si>
  <si>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</si>
  <si>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</si>
  <si>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</si>
  <si>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</si>
  <si>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</si>
  <si>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</si>
  <si>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</si>
  <si>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</si>
  <si>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</si>
  <si>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</si>
  <si>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</si>
  <si>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</si>
  <si>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</si>
  <si>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</si>
  <si>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</si>
  <si>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</si>
  <si>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</si>
  <si>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</si>
  <si>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</si>
  <si>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</si>
  <si>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</si>
  <si>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</si>
  <si>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</si>
  <si>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</si>
  <si>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</si>
  <si>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</si>
  <si>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</si>
  <si>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</si>
  <si>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</si>
  <si>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</si>
  <si>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</si>
  <si>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</si>
  <si>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</si>
  <si>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</si>
  <si>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</si>
  <si>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</si>
  <si>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</si>
  <si>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</si>
  <si>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</si>
  <si>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</si>
  <si>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</si>
  <si>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</si>
  <si>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</si>
  <si>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</si>
  <si>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</si>
  <si>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</si>
  <si>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</si>
  <si>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</si>
  <si>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</si>
  <si>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</si>
  <si>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</si>
  <si>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</si>
  <si>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</si>
  <si>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</si>
  <si>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</si>
  <si>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</si>
  <si>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</si>
  <si>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</si>
  <si>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</si>
  <si>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</si>
  <si>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</si>
  <si>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</si>
  <si>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</si>
  <si>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</si>
  <si>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</si>
  <si>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</si>
  <si>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</si>
  <si>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</si>
  <si>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</si>
  <si>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</si>
  <si>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</si>
  <si>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</si>
  <si>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</si>
  <si>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</si>
  <si>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</si>
  <si>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</si>
  <si>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</si>
  <si>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</si>
  <si>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</si>
  <si>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</si>
  <si>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</si>
  <si>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</si>
  <si>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</si>
  <si>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</si>
  <si>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</si>
  <si>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</si>
  <si>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</si>
  <si>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</si>
  <si>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</si>
  <si>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</si>
  <si>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</si>
  <si>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</si>
  <si>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</si>
  <si>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</si>
  <si>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</si>
  <si>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</si>
  <si>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</si>
  <si>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</si>
  <si>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</si>
  <si>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</si>
  <si>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</si>
  <si>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</si>
  <si>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</si>
  <si>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</si>
  <si>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</si>
  <si>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</si>
  <si>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</si>
  <si>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</si>
  <si>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</si>
  <si>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</si>
  <si>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</si>
  <si>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</si>
  <si>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</si>
  <si>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</si>
  <si>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</si>
  <si>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</si>
  <si>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</si>
  <si>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</si>
  <si>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</si>
  <si>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</si>
  <si>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</si>
  <si>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</si>
  <si>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</si>
  <si>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</si>
  <si>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</si>
  <si>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</si>
  <si>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</si>
  <si>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</si>
  <si>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</si>
  <si>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</si>
  <si>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</si>
  <si>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</si>
  <si>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</si>
  <si>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</si>
  <si>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</si>
  <si>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</si>
  <si>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</si>
  <si>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</si>
  <si>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</si>
  <si>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</si>
  <si>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</si>
  <si>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</si>
  <si>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</si>
  <si>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</si>
  <si>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</si>
  <si>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</si>
  <si>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</si>
  <si>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</si>
  <si>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</si>
  <si>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</si>
  <si>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</si>
  <si>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</si>
  <si>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</si>
  <si>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</si>
  <si>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</si>
  <si>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</si>
  <si>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</si>
  <si>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</si>
  <si>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</si>
  <si>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</si>
  <si>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</si>
  <si>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</si>
  <si>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</si>
  <si>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</si>
  <si>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</si>
  <si>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</si>
  <si>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</si>
  <si>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</si>
  <si>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</si>
  <si>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</si>
  <si>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</si>
  <si>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</si>
  <si>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</si>
  <si>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</si>
  <si>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</si>
  <si>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</si>
  <si>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</si>
  <si>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</si>
  <si>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</si>
  <si>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</si>
  <si>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</si>
  <si>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</si>
  <si>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</si>
  <si>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</si>
  <si>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</si>
  <si>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</si>
  <si>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</si>
  <si>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</si>
  <si>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</si>
  <si>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</si>
  <si>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</si>
  <si>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</si>
  <si>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</si>
  <si>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</si>
  <si>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</si>
  <si>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</si>
  <si>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</si>
  <si>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</si>
  <si>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</si>
  <si>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</si>
  <si>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</si>
  <si>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</si>
  <si>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</si>
  <si>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</si>
  <si>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</si>
  <si>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</si>
  <si>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</si>
  <si>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</si>
  <si>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</si>
  <si>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</si>
  <si>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</si>
  <si>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</si>
  <si>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</si>
  <si>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</si>
  <si>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</si>
  <si>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</si>
  <si>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</si>
  <si>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</si>
  <si>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</si>
  <si>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</si>
  <si>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</si>
  <si>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</si>
  <si>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</si>
  <si>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</si>
  <si>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</si>
  <si>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</si>
  <si>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</si>
  <si>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</si>
  <si>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</si>
  <si>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</si>
  <si>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</si>
  <si>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</si>
  <si>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</si>
  <si>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</si>
  <si>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</si>
  <si>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</si>
  <si>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</si>
  <si>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</si>
  <si>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</si>
  <si>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</si>
  <si>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</si>
  <si>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</si>
  <si>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</si>
  <si>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</si>
  <si>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</si>
  <si>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</si>
  <si>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</si>
  <si>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</si>
  <si>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</si>
  <si>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</si>
  <si>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</si>
  <si>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</si>
  <si>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</si>
  <si>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</si>
  <si>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</si>
  <si>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</si>
  <si>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</si>
  <si>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</si>
  <si>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</si>
  <si>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</si>
  <si>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</si>
  <si>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</si>
  <si>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</si>
  <si>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</si>
  <si>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</si>
  <si>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</si>
  <si>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</si>
  <si>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</si>
  <si>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</si>
  <si>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</si>
  <si>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</si>
  <si>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</si>
  <si>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</si>
  <si>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</si>
  <si>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</si>
  <si>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</si>
  <si>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</si>
  <si>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</si>
  <si>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</si>
  <si>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</si>
  <si>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</si>
  <si>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</si>
  <si>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</si>
  <si>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</si>
  <si>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</si>
  <si>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</si>
  <si>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</si>
  <si>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</si>
  <si>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</si>
  <si>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</si>
  <si>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</si>
  <si>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</si>
  <si>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</si>
  <si>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</si>
  <si>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</si>
  <si>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</si>
  <si>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</si>
  <si>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</si>
  <si>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</si>
  <si>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</si>
  <si>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</si>
  <si>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</si>
  <si>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</si>
  <si>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</si>
  <si>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</si>
  <si>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</si>
  <si>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</si>
  <si>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</si>
  <si>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</si>
  <si>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</si>
  <si>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</si>
  <si>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</si>
  <si>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</si>
  <si>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</si>
  <si>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</si>
  <si>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</si>
  <si>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</si>
  <si>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</si>
  <si>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</si>
  <si>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</si>
  <si>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</si>
  <si>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</si>
  <si>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</si>
  <si>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</si>
  <si>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</si>
  <si>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</si>
  <si>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</si>
  <si>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</si>
  <si>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</si>
  <si>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</si>
  <si>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</si>
  <si>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</si>
  <si>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</si>
  <si>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</si>
  <si>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</si>
  <si>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</si>
  <si>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</si>
  <si>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</si>
  <si>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</si>
  <si>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</si>
  <si>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</si>
  <si>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</si>
  <si>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</si>
  <si>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</si>
  <si>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</si>
  <si>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</si>
  <si>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</si>
  <si>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</si>
  <si>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</si>
  <si>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</si>
  <si>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</si>
  <si>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</si>
  <si>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</si>
  <si>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</si>
  <si>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</si>
  <si>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</si>
  <si>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</si>
  <si>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</si>
  <si>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</si>
  <si>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</si>
  <si>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</si>
  <si>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</si>
  <si>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</si>
  <si>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</si>
  <si>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</si>
  <si>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</si>
  <si>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</si>
  <si>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</si>
  <si>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</si>
  <si>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</si>
  <si>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</si>
  <si>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</si>
  <si>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</si>
  <si>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</si>
  <si>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</si>
  <si>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</si>
  <si>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</si>
  <si>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</si>
  <si>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</si>
  <si>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</si>
  <si>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</si>
  <si>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</si>
  <si>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</si>
  <si>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</si>
  <si>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</si>
  <si>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</si>
  <si>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</si>
  <si>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</si>
  <si>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</si>
  <si>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</si>
  <si>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</si>
  <si>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</si>
  <si>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</si>
  <si>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</si>
  <si>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</si>
  <si>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</si>
  <si>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</si>
  <si>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</si>
  <si>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</si>
  <si>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</si>
  <si>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</si>
  <si>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</si>
  <si>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</si>
  <si>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</si>
  <si>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</si>
  <si>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</si>
  <si>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</si>
  <si>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</si>
  <si>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</si>
  <si>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</si>
  <si>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</si>
  <si>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</si>
  <si>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</si>
  <si>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</si>
  <si>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</si>
  <si>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</si>
  <si>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</si>
  <si>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</si>
  <si>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</si>
  <si>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</si>
  <si>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</si>
  <si>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</si>
  <si>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</si>
  <si>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</si>
  <si>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</si>
  <si>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</si>
  <si>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</si>
  <si>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</si>
  <si>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</si>
  <si>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</si>
  <si>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</si>
  <si>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</si>
  <si>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</si>
  <si>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</si>
  <si>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</si>
  <si>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</si>
  <si>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</si>
  <si>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</si>
  <si>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</si>
  <si>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</si>
  <si>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</si>
  <si>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</si>
  <si>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</si>
  <si>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</si>
  <si>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</si>
  <si>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</si>
  <si>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</si>
  <si>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</si>
  <si>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</si>
  <si>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</si>
  <si>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</si>
  <si>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</si>
  <si>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</si>
  <si>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</si>
  <si>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</si>
  <si>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</si>
  <si>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</si>
  <si>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</si>
  <si>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</si>
  <si>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</si>
  <si>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</si>
  <si>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</si>
  <si>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</si>
  <si>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</si>
  <si>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</si>
  <si>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</si>
  <si>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</si>
  <si>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</si>
  <si>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</si>
  <si>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</si>
  <si>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</si>
  <si>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</si>
  <si>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</si>
  <si>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</si>
  <si>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</si>
  <si>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</si>
  <si>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</si>
  <si>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</si>
  <si>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</si>
  <si>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</si>
  <si>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</si>
  <si>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</si>
  <si>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</si>
  <si>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</si>
  <si>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</si>
  <si>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</si>
  <si>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</si>
  <si>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</si>
  <si>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</si>
  <si>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</si>
  <si>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</si>
  <si>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</si>
  <si>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</si>
  <si>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</si>
  <si>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</si>
  <si>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</si>
  <si>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</si>
  <si>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</si>
  <si>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</si>
  <si>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</si>
  <si>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</si>
  <si>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</si>
  <si>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</si>
  <si>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</si>
  <si>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</si>
  <si>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</si>
  <si>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</si>
  <si>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</si>
  <si>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</si>
  <si>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</si>
  <si>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</si>
  <si>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</si>
  <si>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</si>
  <si>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</si>
  <si>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</si>
  <si>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</si>
  <si>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</si>
  <si>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</si>
  <si>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</si>
  <si>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</si>
  <si>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</si>
  <si>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</si>
  <si>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</si>
  <si>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</si>
  <si>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</si>
  <si>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</si>
  <si>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</si>
  <si>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</si>
  <si>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</si>
  <si>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</si>
  <si>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</si>
  <si>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</si>
  <si>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</si>
  <si>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</si>
  <si>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</si>
  <si>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</si>
  <si>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</si>
  <si>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</si>
  <si>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</si>
  <si>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</si>
  <si>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</si>
  <si>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</si>
  <si>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</si>
  <si>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</si>
  <si>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</si>
  <si>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</si>
  <si>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</si>
  <si>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</si>
  <si>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</si>
  <si>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</si>
  <si>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</si>
  <si>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</si>
  <si>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</si>
  <si>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</si>
  <si>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</si>
  <si>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</si>
  <si>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</si>
  <si>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</si>
  <si>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</si>
  <si>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</si>
  <si>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</si>
  <si>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</si>
  <si>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</si>
  <si>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</si>
  <si>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</si>
  <si>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</si>
  <si>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</si>
  <si>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</si>
  <si>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</si>
  <si>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</si>
  <si>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</si>
  <si>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</si>
  <si>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</si>
  <si>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</si>
  <si>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</si>
  <si>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</si>
  <si>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</si>
  <si>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</si>
  <si>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</si>
  <si>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</si>
  <si>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</si>
  <si>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</si>
  <si>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</si>
  <si>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</si>
  <si>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</si>
  <si>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</si>
  <si>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</si>
  <si>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</si>
  <si>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</si>
  <si>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</si>
  <si>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</si>
  <si>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</si>
  <si>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</si>
  <si>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</si>
  <si>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</si>
  <si>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</si>
  <si>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</si>
  <si>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</si>
  <si>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</si>
  <si>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</si>
  <si>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</si>
  <si>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</si>
  <si>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</si>
  <si>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</si>
  <si>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</si>
  <si>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</si>
  <si>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</si>
  <si>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</si>
  <si>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</si>
  <si>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</si>
  <si>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</si>
  <si>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</si>
  <si>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</si>
  <si>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</si>
  <si>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</si>
  <si>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</si>
  <si>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</si>
  <si>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</si>
  <si>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</si>
  <si>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</si>
  <si>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</si>
  <si>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</si>
  <si>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</si>
  <si>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</si>
  <si>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</si>
  <si>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</si>
  <si>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</si>
  <si>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</si>
  <si>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</si>
  <si>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</si>
  <si>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</si>
  <si>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</si>
  <si>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</si>
  <si>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</si>
  <si>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</si>
  <si>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</si>
  <si>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</si>
  <si>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</si>
  <si>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</si>
  <si>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</si>
  <si>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</si>
  <si>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</si>
  <si>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</si>
  <si>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</si>
  <si>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</si>
  <si>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</si>
  <si>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</si>
  <si>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</si>
  <si>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</si>
  <si>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</si>
  <si>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</si>
  <si>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</si>
  <si>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</si>
  <si>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</si>
  <si>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</si>
  <si>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</si>
  <si>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</si>
  <si>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</si>
  <si>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</si>
  <si>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</si>
  <si>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</si>
  <si>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</si>
  <si>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</si>
  <si>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</si>
  <si>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</si>
  <si>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</si>
  <si>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</si>
  <si>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</si>
  <si>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</si>
  <si>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</si>
  <si>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</si>
  <si>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</si>
  <si>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</si>
  <si>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</si>
  <si>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</si>
  <si>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</si>
  <si>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</si>
  <si>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</si>
  <si>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</si>
  <si>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</si>
  <si>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</si>
  <si>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</si>
  <si>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</si>
  <si>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</si>
  <si>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</si>
  <si>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</si>
  <si>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</si>
  <si>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</si>
  <si>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</si>
  <si>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</si>
  <si>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</si>
  <si>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</si>
  <si>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</si>
  <si>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</si>
  <si>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</si>
  <si>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</si>
  <si>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</si>
  <si>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</si>
  <si>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</si>
  <si>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</si>
  <si>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</si>
  <si>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</si>
  <si>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</si>
  <si>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</si>
  <si>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</si>
  <si>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</si>
  <si>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</si>
  <si>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</si>
  <si>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</si>
  <si>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</si>
  <si>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</si>
  <si>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</si>
  <si>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</si>
  <si>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</si>
  <si>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</si>
  <si>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</si>
  <si>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</si>
  <si>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</si>
  <si>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</si>
  <si>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</si>
  <si>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</si>
  <si>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</si>
  <si>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</si>
  <si>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</si>
  <si>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</si>
  <si>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</si>
  <si>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</si>
  <si>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</si>
  <si>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</si>
  <si>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</si>
  <si>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</si>
  <si>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</si>
  <si>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</si>
  <si>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</si>
  <si>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</si>
  <si>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</si>
  <si>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</si>
  <si>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</si>
  <si>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</si>
  <si>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</si>
  <si>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</si>
  <si>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</si>
  <si>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</si>
  <si>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</si>
  <si>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</si>
  <si>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</si>
  <si>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</si>
  <si>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</si>
  <si>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</si>
  <si>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</si>
  <si>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</si>
  <si>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</si>
  <si>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</si>
  <si>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</si>
  <si>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</si>
  <si>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</si>
  <si>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</si>
  <si>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</si>
  <si>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</si>
  <si>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</si>
  <si>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</si>
  <si>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</si>
  <si>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</si>
  <si>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</si>
  <si>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</si>
  <si>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</si>
  <si>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</si>
  <si>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</si>
  <si>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</si>
  <si>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</si>
  <si>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</si>
  <si>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</si>
  <si>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</si>
  <si>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</si>
  <si>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</si>
  <si>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</si>
  <si>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</si>
  <si>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</si>
  <si>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</si>
  <si>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</si>
  <si>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</si>
  <si>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</si>
  <si>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</si>
  <si>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</si>
  <si>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</si>
  <si>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</si>
  <si>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</si>
  <si>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</si>
  <si>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</si>
  <si>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</si>
  <si>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</si>
  <si>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</si>
  <si>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</si>
  <si>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</si>
  <si>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</si>
  <si>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</si>
  <si>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</si>
  <si>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</si>
  <si>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</si>
  <si>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</si>
  <si>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</si>
  <si>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</si>
  <si>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</si>
  <si>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</si>
  <si>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</si>
  <si>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</si>
  <si>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</si>
  <si>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</si>
  <si>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</si>
  <si>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</si>
  <si>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</si>
  <si>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</si>
  <si>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</si>
  <si>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</si>
  <si>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</si>
  <si>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</si>
  <si>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</si>
  <si>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</si>
  <si>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</si>
  <si>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</si>
  <si>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</si>
  <si>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</si>
  <si>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</si>
  <si>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</si>
  <si>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</si>
  <si>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</si>
  <si>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</si>
  <si>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</si>
  <si>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</si>
  <si>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</si>
  <si>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</si>
  <si>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</si>
  <si>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</si>
  <si>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</si>
  <si>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</si>
  <si>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</si>
  <si>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</si>
  <si>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</si>
  <si>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</si>
  <si>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</si>
  <si>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</si>
  <si>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</si>
  <si>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</si>
  <si>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</si>
  <si>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</si>
  <si>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</si>
  <si>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</si>
  <si>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</si>
  <si>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</si>
  <si>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</si>
  <si>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</si>
  <si>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</si>
  <si>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</si>
  <si>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</si>
  <si>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</si>
  <si>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</si>
  <si>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</si>
  <si>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</si>
  <si>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</si>
  <si>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</si>
  <si>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</si>
  <si>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</si>
  <si>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</si>
  <si>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</si>
  <si>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</si>
  <si>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</si>
  <si>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</si>
  <si>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</si>
  <si>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</si>
  <si>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</si>
  <si>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</si>
  <si>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</si>
  <si>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</si>
  <si>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</si>
  <si>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</si>
  <si>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</si>
  <si>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</si>
  <si>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</si>
  <si>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</si>
  <si>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</si>
  <si>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</si>
  <si>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</si>
  <si>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</si>
  <si>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</si>
  <si>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</si>
  <si>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</si>
  <si>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</si>
  <si>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</si>
  <si>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</si>
  <si>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</si>
  <si>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</si>
  <si>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</si>
  <si>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</si>
  <si>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</si>
  <si>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</si>
  <si>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</si>
  <si>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</si>
  <si>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</si>
  <si>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</si>
  <si>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</si>
  <si>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</si>
  <si>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</si>
  <si>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</si>
  <si>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</si>
  <si>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</si>
  <si>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</si>
  <si>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</si>
  <si>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</si>
  <si>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</si>
  <si>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</si>
  <si>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</si>
  <si>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</si>
  <si>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</si>
  <si>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</si>
  <si>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</si>
  <si>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</si>
  <si>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</si>
  <si>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</si>
  <si>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</si>
  <si>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</si>
  <si>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</si>
  <si>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</si>
  <si>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</si>
  <si>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</si>
  <si>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</si>
  <si>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</si>
  <si>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</si>
  <si>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</si>
  <si>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</si>
  <si>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</si>
  <si>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</si>
  <si>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</si>
  <si>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</si>
  <si>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</si>
  <si>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</si>
  <si>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</si>
  <si>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</si>
  <si>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</si>
  <si>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</si>
  <si>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</si>
  <si>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</si>
  <si>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</si>
  <si>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</si>
  <si>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</si>
  <si>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</si>
  <si>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</si>
  <si>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</si>
  <si>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</si>
  <si>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</si>
  <si>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</si>
  <si>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</si>
  <si>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</si>
  <si>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</si>
  <si>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</si>
  <si>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</si>
  <si>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</si>
  <si>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</si>
  <si>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</si>
  <si>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</si>
  <si>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</si>
  <si>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</si>
  <si>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</si>
  <si>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</si>
  <si>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</si>
  <si>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</si>
  <si>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</si>
  <si>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</si>
  <si>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</si>
  <si>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</si>
  <si>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</si>
  <si>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</si>
  <si>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</si>
  <si>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</si>
  <si>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</si>
  <si>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</si>
  <si>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</si>
  <si>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</si>
  <si>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</si>
  <si>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</si>
  <si>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</si>
  <si>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</si>
  <si>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</si>
  <si>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</si>
  <si>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</si>
  <si>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</si>
  <si>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</si>
  <si>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</si>
  <si>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</si>
  <si>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</si>
  <si>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</si>
  <si>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</si>
  <si>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</si>
  <si>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</si>
  <si>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</si>
  <si>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</si>
  <si>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</si>
  <si>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</si>
  <si>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</si>
  <si>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</si>
  <si>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</si>
  <si>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</si>
  <si>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</si>
  <si>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</si>
  <si>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</si>
  <si>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</si>
  <si>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</si>
  <si>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</si>
  <si>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</si>
  <si>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</si>
  <si>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</si>
  <si>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</si>
  <si>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</si>
  <si>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</si>
  <si>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</si>
  <si>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</si>
  <si>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</si>
  <si>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</si>
  <si>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</si>
  <si>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</si>
  <si>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</si>
  <si>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</si>
  <si>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</si>
  <si>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</si>
  <si>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</si>
  <si>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</si>
  <si>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</si>
  <si>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</si>
  <si>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</si>
  <si>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</si>
  <si>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</si>
  <si>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</si>
  <si>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</si>
  <si>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</si>
  <si>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</si>
  <si>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</si>
  <si>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</si>
  <si>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</si>
  <si>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</si>
  <si>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</si>
  <si>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</si>
  <si>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</si>
  <si>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</si>
  <si>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</si>
  <si>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</si>
  <si>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</si>
  <si>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</si>
  <si>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</si>
  <si>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</si>
  <si>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</si>
  <si>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</si>
  <si>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</si>
  <si>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</si>
  <si>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</si>
  <si>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</si>
  <si>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</si>
  <si>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</si>
  <si>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</si>
  <si>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</si>
  <si>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</si>
  <si>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</si>
  <si>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</si>
  <si>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</si>
  <si>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</si>
  <si>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</si>
  <si>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</si>
  <si>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</si>
  <si>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</si>
  <si>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</si>
  <si>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</si>
  <si>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</si>
  <si>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</si>
  <si>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</si>
  <si>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</si>
  <si>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</si>
  <si>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</si>
  <si>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</si>
  <si>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</si>
  <si>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</si>
  <si>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</si>
  <si>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</si>
  <si>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</si>
  <si>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</si>
  <si>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</si>
  <si>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</si>
  <si>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</si>
  <si>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</si>
  <si>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</si>
  <si>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</si>
  <si>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</si>
  <si>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</si>
  <si>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</si>
  <si>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</si>
  <si>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</si>
  <si>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</si>
  <si>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</si>
  <si>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</si>
  <si>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</si>
  <si>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</si>
  <si>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</si>
  <si>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</si>
  <si>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</si>
  <si>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</si>
  <si>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</si>
  <si>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</si>
  <si>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</si>
  <si>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</si>
  <si>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</si>
  <si>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</si>
  <si>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</si>
  <si>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</si>
  <si>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</si>
  <si>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</si>
  <si>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</si>
  <si>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</si>
  <si>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</si>
  <si>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</si>
  <si>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</si>
  <si>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</si>
  <si>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</si>
  <si>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</si>
  <si>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</si>
  <si>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</si>
  <si>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</si>
  <si>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</si>
  <si>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</si>
  <si>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</si>
  <si>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</si>
  <si>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</si>
  <si>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</si>
  <si>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</si>
  <si>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</si>
  <si>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</si>
  <si>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</si>
  <si>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</si>
  <si>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</si>
  <si>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</si>
  <si>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</si>
  <si>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</si>
  <si>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</si>
  <si>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</si>
  <si>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</si>
  <si>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</si>
  <si>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</si>
  <si>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</si>
  <si>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</si>
  <si>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</si>
  <si>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</si>
  <si>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</si>
  <si>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</si>
  <si>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</si>
  <si>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</si>
  <si>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</si>
  <si>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</si>
  <si>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</si>
  <si>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</si>
  <si>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</si>
  <si>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</si>
  <si>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</si>
  <si>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</si>
  <si>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</si>
  <si>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</si>
  <si>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</si>
  <si>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</si>
  <si>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</si>
  <si>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</si>
  <si>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</si>
  <si>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</si>
  <si>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</si>
  <si>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</si>
  <si>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</si>
  <si>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</si>
  <si>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</si>
  <si>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</si>
  <si>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</si>
  <si>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</si>
  <si>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</si>
  <si>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</si>
  <si>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</si>
  <si>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</si>
  <si>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</si>
  <si>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</si>
  <si>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</si>
  <si>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</si>
  <si>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</si>
  <si>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</si>
  <si>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</si>
  <si>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</si>
  <si>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</si>
  <si>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</si>
  <si>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</si>
  <si>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</si>
  <si>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</si>
  <si>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</si>
  <si>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</si>
  <si>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</si>
  <si>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</si>
  <si>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</si>
  <si>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</si>
  <si>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</si>
  <si>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</si>
  <si>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</si>
  <si>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</si>
  <si>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</si>
  <si>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</si>
  <si>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</si>
  <si>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</si>
  <si>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</si>
  <si>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</si>
  <si>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</si>
  <si>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</si>
  <si>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</si>
  <si>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</si>
  <si>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</si>
  <si>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</si>
  <si>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</si>
  <si>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</si>
  <si>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</si>
  <si>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</si>
  <si>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</si>
  <si>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</si>
  <si>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</si>
  <si>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</si>
  <si>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</si>
  <si>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</si>
  <si>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</si>
  <si>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</si>
  <si>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</si>
  <si>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</si>
  <si>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</si>
  <si>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</si>
  <si>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</si>
  <si>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</si>
  <si>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</si>
  <si>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</si>
  <si>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</si>
  <si>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</si>
  <si>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</si>
  <si>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</si>
  <si>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</si>
  <si>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</si>
  <si>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</si>
  <si>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</si>
  <si>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</si>
  <si>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</si>
  <si>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</si>
  <si>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</si>
  <si>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</si>
  <si>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</si>
  <si>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</si>
  <si>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</si>
  <si>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</si>
  <si>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</si>
  <si>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</si>
  <si>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</si>
  <si>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</si>
  <si>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</si>
  <si>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</si>
  <si>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</si>
  <si>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</si>
  <si>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</si>
  <si>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</si>
  <si>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</si>
  <si>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</si>
  <si>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</si>
  <si>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</si>
  <si>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</si>
  <si>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</si>
  <si>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</si>
  <si>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</si>
  <si>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</si>
  <si>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</si>
  <si>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</si>
  <si>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</si>
  <si>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</si>
  <si>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</si>
  <si>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</si>
  <si>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</si>
  <si>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</si>
  <si>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</si>
  <si>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</si>
  <si>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</si>
  <si>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</si>
  <si>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</si>
  <si>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</si>
  <si>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</si>
  <si>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</si>
  <si>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</si>
  <si>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</si>
  <si>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</si>
  <si>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</si>
  <si>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</si>
  <si>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</si>
  <si>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</si>
  <si>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</si>
  <si>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</si>
  <si>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</si>
  <si>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</si>
  <si>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</si>
  <si>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</si>
  <si>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</si>
  <si>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</si>
  <si>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</si>
  <si>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</si>
  <si>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</si>
  <si>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</si>
  <si>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</si>
  <si>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</si>
  <si>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</si>
  <si>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</si>
  <si>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</si>
  <si>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</si>
  <si>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</si>
  <si>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</si>
  <si>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</si>
  <si>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</si>
  <si>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</si>
  <si>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</si>
  <si>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</si>
  <si>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</si>
  <si>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</si>
  <si>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</si>
  <si>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</si>
  <si>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</si>
  <si>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</si>
  <si>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</si>
  <si>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</si>
  <si>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</si>
  <si>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</si>
  <si>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</si>
  <si>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</si>
  <si>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</si>
  <si>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</si>
  <si>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</si>
  <si>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</si>
  <si>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</si>
  <si>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</si>
  <si>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</si>
  <si>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</si>
  <si>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</si>
  <si>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</si>
  <si>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</si>
  <si>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</si>
  <si>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</si>
  <si>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</si>
  <si>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</si>
  <si>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</si>
  <si>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</si>
  <si>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</si>
  <si>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</si>
  <si>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</si>
  <si>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</si>
  <si>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</si>
  <si>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</si>
  <si>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</si>
  <si>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</si>
  <si>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</si>
  <si>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</si>
  <si>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</si>
  <si>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</si>
  <si>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</si>
  <si>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</si>
  <si>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</si>
  <si>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</si>
  <si>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</si>
  <si>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</si>
  <si>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</si>
  <si>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</si>
  <si>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</si>
  <si>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</si>
  <si>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</si>
  <si>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</si>
  <si>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</si>
  <si>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</si>
  <si>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</si>
  <si>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</si>
  <si>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</si>
  <si>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</si>
  <si>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</si>
  <si>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</si>
  <si>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</si>
  <si>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</si>
  <si>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</si>
  <si>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</si>
  <si>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</si>
  <si>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</si>
  <si>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</si>
  <si>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</si>
  <si>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</si>
  <si>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</si>
  <si>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</si>
  <si>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</si>
  <si>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</si>
  <si>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</si>
  <si>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</si>
  <si>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</si>
  <si>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</si>
  <si>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</si>
  <si>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</si>
  <si>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</si>
  <si>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</si>
  <si>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</si>
  <si>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</si>
  <si>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</si>
  <si>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</si>
  <si>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</si>
  <si>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</si>
  <si>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</si>
  <si>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</si>
  <si>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</si>
  <si>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</si>
  <si>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</si>
  <si>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</si>
  <si>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</si>
  <si>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</si>
  <si>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</si>
  <si>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</si>
  <si>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</si>
  <si>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</si>
  <si>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</si>
  <si>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</si>
  <si>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</si>
  <si>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</si>
  <si>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</si>
  <si>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</si>
  <si>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</si>
  <si>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</si>
  <si>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</si>
  <si>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</si>
  <si>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</si>
  <si>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</si>
  <si>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</si>
  <si>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</si>
  <si>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</si>
  <si>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</si>
  <si>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</si>
  <si>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</si>
  <si>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</si>
  <si>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</si>
  <si>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</si>
  <si>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</si>
  <si>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</si>
  <si>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</si>
  <si>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</si>
  <si>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</si>
  <si>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</si>
  <si>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</si>
  <si>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</si>
  <si>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</si>
  <si>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</si>
  <si>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</si>
  <si>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</si>
  <si>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</si>
  <si>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</si>
  <si>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</si>
  <si>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</si>
  <si>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</si>
  <si>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</si>
  <si>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</si>
  <si>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</si>
  <si>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</si>
  <si>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</si>
  <si>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</si>
  <si>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</si>
  <si>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</si>
  <si>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</si>
  <si>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</si>
  <si>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</si>
  <si>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</si>
  <si>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</si>
  <si>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</si>
  <si>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</si>
  <si>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</si>
  <si>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</si>
  <si>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</si>
  <si>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</si>
  <si>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</si>
  <si>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</si>
  <si>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</si>
  <si>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</si>
  <si>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</si>
  <si>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</si>
  <si>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</si>
  <si>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</si>
  <si>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</si>
  <si>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</si>
  <si>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</si>
  <si>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</si>
  <si>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</si>
  <si>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</si>
  <si>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</si>
  <si>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</si>
  <si>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</si>
  <si>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</si>
  <si>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</si>
  <si>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</si>
  <si>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</si>
  <si>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</si>
  <si>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</si>
  <si>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</si>
  <si>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</si>
  <si>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</si>
  <si>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</si>
  <si>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</si>
  <si>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</si>
  <si>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</si>
  <si>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</si>
  <si>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</si>
  <si>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</si>
  <si>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</si>
  <si>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</si>
  <si>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</si>
  <si>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</si>
  <si>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</si>
  <si>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</si>
  <si>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</si>
  <si>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</si>
  <si>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</si>
  <si>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</si>
  <si>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</si>
  <si>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</si>
  <si>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</si>
  <si>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</si>
  <si>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</si>
  <si>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</si>
  <si>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</si>
  <si>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</si>
  <si>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</si>
  <si>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</si>
  <si>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</si>
  <si>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</si>
  <si>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</si>
  <si>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</si>
  <si>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</si>
  <si>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</si>
  <si>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</si>
  <si>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</si>
  <si>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</si>
  <si>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</si>
  <si>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</si>
  <si>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</si>
  <si>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</si>
  <si>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</si>
  <si>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</si>
  <si>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</si>
  <si>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</si>
  <si>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</si>
  <si>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</si>
  <si>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</si>
  <si>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</si>
  <si>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</si>
  <si>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</si>
  <si>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</si>
  <si>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</si>
  <si>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</si>
  <si>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</si>
  <si>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</si>
  <si>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</si>
  <si>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</si>
  <si>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</si>
  <si>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</si>
  <si>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</si>
  <si>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</si>
  <si>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</si>
  <si>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</si>
  <si>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</si>
  <si>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</si>
  <si>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</si>
  <si>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</si>
  <si>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</si>
  <si>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</si>
  <si>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</si>
  <si>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</si>
  <si>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</si>
  <si>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</si>
  <si>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</si>
  <si>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</si>
  <si>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</si>
  <si>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</si>
  <si>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</si>
  <si>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</si>
  <si>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</si>
  <si>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</si>
  <si>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</si>
  <si>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</si>
  <si>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</si>
  <si>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</si>
  <si>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</si>
  <si>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</si>
  <si>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</si>
  <si>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</si>
  <si>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</si>
  <si>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</si>
  <si>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</si>
  <si>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</si>
  <si>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</si>
  <si>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</si>
  <si>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</si>
  <si>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</si>
  <si>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</si>
  <si>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</si>
  <si>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</si>
  <si>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</si>
  <si>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</si>
  <si>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</si>
  <si>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</si>
  <si>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</si>
  <si>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</si>
  <si>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</si>
  <si>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</si>
  <si>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</si>
  <si>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</si>
  <si>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</si>
  <si>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</si>
  <si>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</si>
  <si>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</si>
  <si>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</si>
  <si>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</si>
  <si>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</si>
  <si>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</si>
  <si>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</si>
  <si>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</si>
  <si>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</si>
  <si>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</si>
  <si>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</si>
  <si>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</si>
  <si>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</si>
  <si>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</si>
  <si>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</si>
  <si>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</si>
  <si>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</si>
  <si>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</si>
  <si>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</si>
  <si>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</si>
  <si>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</si>
  <si>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</si>
  <si>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</si>
  <si>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</si>
  <si>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</si>
  <si>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</si>
  <si>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</si>
  <si>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</si>
  <si>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</si>
  <si>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</si>
  <si>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</si>
  <si>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</si>
  <si>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</si>
  <si>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</si>
  <si>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</si>
  <si>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</si>
  <si>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</si>
  <si>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</si>
  <si>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</si>
  <si>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</si>
  <si>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</si>
  <si>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</si>
  <si>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</si>
  <si>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</si>
  <si>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</si>
  <si>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</si>
  <si>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</si>
  <si>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</si>
  <si>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</si>
  <si>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</si>
  <si>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</si>
  <si>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</si>
  <si>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</si>
  <si>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</si>
  <si>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</si>
  <si>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</si>
  <si>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</si>
  <si>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</si>
  <si>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</si>
  <si>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</si>
  <si>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</si>
  <si>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</si>
  <si>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</si>
  <si>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</si>
  <si>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</si>
  <si>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</si>
  <si>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</si>
  <si>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</si>
  <si>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</si>
  <si>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</si>
  <si>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</si>
  <si>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</si>
  <si>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</si>
  <si>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</si>
  <si>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</si>
  <si>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</si>
  <si>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</si>
  <si>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</si>
  <si>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</si>
  <si>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</si>
  <si>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</si>
  <si>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</si>
  <si>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</si>
  <si>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</si>
  <si>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</si>
  <si>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</si>
  <si>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</si>
  <si>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</si>
  <si>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</si>
  <si>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</si>
  <si>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</si>
  <si>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</si>
  <si>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</si>
  <si>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</si>
  <si>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</si>
  <si>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</si>
  <si>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</si>
  <si>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</si>
  <si>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</si>
  <si>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</si>
  <si>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</si>
  <si>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</si>
  <si>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</si>
  <si>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</si>
  <si>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</si>
  <si>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</si>
  <si>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</si>
  <si>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</si>
  <si>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</si>
  <si>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</si>
  <si>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</si>
  <si>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</si>
  <si>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</si>
  <si>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</si>
  <si>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</si>
  <si>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</si>
  <si>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</si>
  <si>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</si>
  <si>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</si>
  <si>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</si>
  <si>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</si>
  <si>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</si>
  <si>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</si>
  <si>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</si>
  <si>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</si>
  <si>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</si>
  <si>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</si>
  <si>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</si>
  <si>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</si>
  <si>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</si>
  <si>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</si>
  <si>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</si>
  <si>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</si>
  <si>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</si>
  <si>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</si>
  <si>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</si>
  <si>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</si>
  <si>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</si>
  <si>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</si>
  <si>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</si>
  <si>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</si>
  <si>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</si>
  <si>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</si>
  <si>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</si>
  <si>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</si>
  <si>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</si>
  <si>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</si>
  <si>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</si>
  <si>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</si>
  <si>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</si>
  <si>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</si>
  <si>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</si>
  <si>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</si>
  <si>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</si>
  <si>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</si>
  <si>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</si>
  <si>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</si>
  <si>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</si>
  <si>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</si>
  <si>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</si>
  <si>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</si>
  <si>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</si>
  <si>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</si>
  <si>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</si>
  <si>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</si>
  <si>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</si>
  <si>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</si>
  <si>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</si>
  <si>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</si>
  <si>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</si>
  <si>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</si>
  <si>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</si>
  <si>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</si>
  <si>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</si>
  <si>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</si>
  <si>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</si>
  <si>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</si>
  <si>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</si>
  <si>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</si>
  <si>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</si>
  <si>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</si>
  <si>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</si>
  <si>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</si>
  <si>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</si>
  <si>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</si>
  <si>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</si>
  <si>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</si>
  <si>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</si>
  <si>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</si>
  <si>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</si>
  <si>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</si>
  <si>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</si>
  <si>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</si>
  <si>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</si>
  <si>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</si>
  <si>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</si>
  <si>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</si>
  <si>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</si>
  <si>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</si>
  <si>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</si>
  <si>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</si>
  <si>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</si>
  <si>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</si>
  <si>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</si>
  <si>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</si>
  <si>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</si>
  <si>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</si>
  <si>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</si>
  <si>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</si>
  <si>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</si>
  <si>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</si>
  <si>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</si>
  <si>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</si>
  <si>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</si>
  <si>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</si>
  <si>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</si>
  <si>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</si>
  <si>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</si>
  <si>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</si>
  <si>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</si>
  <si>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</si>
  <si>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</si>
  <si>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</si>
  <si>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</si>
  <si>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</si>
  <si>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</si>
  <si>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</si>
  <si>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</si>
  <si>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</si>
  <si>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</si>
  <si>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</si>
  <si>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</si>
  <si>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</si>
  <si>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</si>
  <si>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</si>
  <si>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</si>
  <si>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</si>
  <si>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</si>
  <si>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</si>
  <si>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</si>
  <si>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</si>
  <si>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</si>
  <si>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</si>
  <si>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</si>
  <si>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</si>
  <si>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</si>
  <si>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</si>
  <si>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</si>
  <si>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</si>
  <si>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</si>
  <si>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</si>
  <si>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</si>
  <si>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</si>
  <si>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</si>
  <si>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</si>
  <si>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</si>
  <si>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</si>
  <si>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</si>
  <si>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</si>
  <si>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</si>
  <si>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</si>
  <si>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</si>
  <si>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</si>
  <si>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</si>
  <si>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</si>
  <si>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</si>
  <si>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</si>
  <si>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</si>
  <si>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</si>
  <si>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</si>
  <si>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</si>
  <si>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</si>
  <si>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</si>
  <si>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</si>
  <si>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</si>
  <si>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</si>
  <si>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</si>
  <si>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</si>
  <si>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</si>
  <si>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</si>
  <si>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</si>
  <si>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</si>
  <si>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</si>
  <si>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</si>
  <si>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</si>
  <si>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</si>
  <si>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</si>
  <si>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</si>
  <si>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</si>
  <si>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</si>
  <si>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</si>
  <si>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</si>
  <si>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</si>
  <si>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</si>
  <si>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</si>
  <si>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</si>
  <si>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</si>
  <si>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</si>
  <si>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</si>
  <si>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</si>
  <si>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</si>
  <si>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</si>
  <si>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</si>
  <si>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</si>
  <si>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</si>
  <si>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</si>
  <si>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</si>
  <si>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</si>
  <si>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</si>
  <si>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</si>
  <si>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</si>
  <si>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</si>
  <si>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</si>
  <si>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</si>
  <si>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</si>
  <si>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</si>
  <si>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</si>
  <si>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</si>
  <si>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</si>
  <si>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</si>
  <si>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</si>
  <si>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</si>
  <si>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</si>
  <si>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</si>
  <si>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</si>
  <si>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</si>
  <si>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</si>
  <si>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</si>
  <si>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</si>
  <si>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</si>
  <si>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</si>
  <si>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</si>
  <si>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</si>
  <si>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</si>
  <si>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</si>
  <si>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</si>
  <si>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</si>
  <si>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</si>
  <si>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</si>
  <si>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</si>
  <si>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</si>
  <si>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</si>
  <si>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</si>
  <si>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</si>
  <si>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</si>
  <si>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</si>
  <si>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</si>
  <si>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</si>
  <si>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</si>
  <si>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</si>
  <si>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</si>
  <si>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</si>
  <si>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</si>
  <si>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</si>
  <si>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</si>
  <si>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</si>
  <si>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</si>
  <si>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</si>
  <si>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</si>
  <si>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</si>
  <si>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</si>
  <si>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</si>
  <si>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</si>
  <si>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</si>
  <si>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</si>
  <si>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</si>
  <si>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</si>
  <si>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</si>
  <si>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</si>
  <si>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</si>
  <si>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</si>
  <si>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</si>
  <si>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</si>
  <si>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</si>
  <si>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</si>
  <si>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</si>
  <si>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</si>
  <si>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</si>
  <si>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</si>
  <si>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</si>
  <si>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</si>
  <si>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</si>
  <si>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</si>
  <si>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</si>
  <si>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</si>
  <si>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</si>
  <si>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</si>
  <si>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</si>
  <si>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</si>
  <si>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</si>
  <si>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</si>
  <si>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</si>
  <si>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</si>
  <si>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</si>
  <si>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</si>
  <si>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</si>
  <si>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</si>
  <si>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</si>
  <si>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</si>
  <si>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</si>
  <si>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</si>
  <si>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</si>
  <si>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</si>
  <si>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</si>
  <si>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</si>
  <si>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</si>
  <si>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</si>
  <si>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</si>
  <si>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</si>
  <si>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</si>
  <si>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</si>
  <si>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</si>
  <si>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</si>
  <si>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</si>
  <si>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</si>
  <si>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</si>
  <si>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</si>
  <si>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</si>
  <si>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</si>
  <si>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</si>
  <si>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</si>
  <si>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</si>
  <si>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</si>
  <si>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</si>
  <si>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</si>
  <si>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</si>
  <si>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</si>
  <si>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</si>
  <si>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</si>
  <si>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</si>
  <si>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</si>
  <si>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</si>
  <si>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</si>
  <si>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</si>
  <si>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</si>
  <si>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</si>
  <si>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</si>
  <si>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</si>
  <si>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</si>
  <si>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</si>
  <si>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</si>
  <si>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</si>
  <si>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</si>
  <si>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</si>
  <si>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</si>
  <si>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</si>
  <si>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</si>
  <si>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</si>
  <si>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</si>
  <si>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</si>
  <si>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</si>
  <si>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</si>
  <si>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</si>
  <si>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</si>
  <si>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</si>
  <si>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</si>
  <si>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</si>
  <si>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</si>
  <si>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</si>
  <si>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</si>
  <si>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</si>
  <si>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</si>
  <si>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</si>
  <si>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</si>
  <si>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</si>
  <si>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</si>
  <si>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</si>
  <si>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</si>
  <si>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</si>
  <si>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</si>
  <si>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</si>
  <si>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</si>
  <si>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</si>
  <si>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</si>
  <si>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</si>
  <si>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</si>
  <si>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</si>
  <si>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</si>
  <si>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</si>
  <si>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</si>
  <si>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</si>
  <si>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</si>
  <si>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</si>
  <si>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</si>
  <si>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</si>
  <si>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</si>
  <si>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</si>
  <si>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</si>
  <si>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</si>
  <si>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</si>
  <si>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</si>
  <si>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</si>
  <si>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</si>
  <si>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</si>
  <si>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</si>
  <si>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</si>
  <si>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</si>
  <si>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</si>
  <si>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</si>
  <si>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</si>
  <si>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</si>
  <si>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</si>
  <si>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</si>
  <si>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</si>
  <si>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</si>
  <si>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</si>
  <si>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</si>
  <si>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</si>
  <si>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</si>
  <si>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</si>
  <si>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</si>
  <si>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</si>
  <si>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</si>
  <si>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</si>
  <si>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</si>
  <si>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</si>
  <si>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</si>
  <si>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</si>
  <si>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</si>
  <si>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</si>
  <si>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</si>
  <si>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</si>
  <si>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</si>
  <si>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</si>
  <si>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</si>
  <si>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</si>
  <si>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</si>
  <si>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</si>
  <si>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</si>
  <si>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</si>
  <si>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</si>
  <si>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</si>
  <si>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</si>
  <si>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</si>
  <si>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</si>
  <si>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</si>
  <si>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</si>
  <si>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</si>
  <si>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</si>
  <si>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</si>
  <si>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</si>
  <si>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</si>
  <si>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</si>
  <si>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</si>
  <si>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</si>
  <si>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</si>
  <si>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</si>
  <si>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</si>
  <si>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</si>
  <si>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</si>
  <si>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</si>
  <si>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</si>
  <si>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</si>
  <si>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</si>
  <si>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</si>
  <si>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</si>
  <si>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</si>
  <si>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</si>
  <si>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</si>
  <si>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</si>
  <si>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</si>
  <si>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</si>
  <si>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</si>
  <si>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</si>
  <si>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</si>
  <si>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</si>
  <si>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</si>
  <si>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</si>
  <si>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</si>
  <si>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</si>
  <si>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</si>
  <si>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</si>
  <si>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</si>
  <si>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</si>
  <si>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</si>
  <si>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</si>
  <si>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</si>
  <si>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</si>
  <si>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</si>
  <si>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</si>
  <si>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</si>
  <si>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</si>
  <si>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</si>
  <si>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</si>
  <si>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</si>
  <si>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</si>
  <si>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</si>
  <si>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</si>
  <si>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</si>
  <si>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</si>
  <si>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</si>
  <si>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</si>
  <si>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</si>
  <si>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</si>
  <si>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</si>
  <si>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</si>
  <si>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</si>
  <si>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</si>
  <si>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</si>
  <si>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</si>
  <si>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</si>
  <si>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</si>
  <si>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</si>
  <si>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</si>
  <si>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</si>
  <si>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</si>
  <si>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</si>
  <si>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</si>
  <si>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</si>
  <si>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</si>
  <si>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</si>
  <si>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</si>
  <si>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</si>
  <si>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</si>
  <si>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</si>
  <si>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</si>
  <si>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</si>
  <si>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</si>
  <si>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</si>
  <si>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</si>
  <si>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</si>
  <si>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</si>
  <si>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</si>
  <si>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</si>
  <si>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</si>
  <si>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</si>
  <si>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</si>
  <si>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</si>
  <si>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</si>
  <si>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</si>
  <si>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</si>
  <si>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</si>
  <si>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</si>
  <si>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</si>
  <si>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</si>
  <si>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</si>
  <si>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</si>
  <si>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</si>
  <si>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</si>
  <si>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</si>
  <si>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</si>
  <si>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</si>
  <si>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</si>
  <si>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</si>
  <si>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</si>
  <si>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</si>
  <si>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</si>
  <si>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</si>
  <si>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</si>
  <si>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</si>
  <si>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</si>
  <si>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</si>
  <si>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</si>
  <si>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</si>
  <si>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</si>
  <si>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</si>
  <si>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</si>
  <si>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</si>
  <si>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</si>
  <si>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</si>
  <si>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</si>
  <si>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</si>
  <si>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</si>
  <si>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</si>
  <si>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</si>
  <si>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</si>
  <si>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</si>
  <si>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</si>
  <si>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</si>
  <si>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</si>
  <si>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</si>
  <si>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</si>
  <si>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</si>
  <si>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</si>
  <si>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</si>
  <si>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</si>
  <si>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</si>
  <si>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</si>
  <si>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</si>
  <si>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</si>
  <si>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</si>
  <si>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</si>
  <si>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</si>
  <si>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</si>
  <si>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</si>
  <si>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</si>
  <si>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</si>
  <si>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</si>
  <si>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</si>
  <si>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</si>
  <si>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</si>
  <si>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</si>
  <si>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</si>
  <si>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</si>
  <si>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</si>
  <si>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</si>
  <si>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</si>
  <si>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</si>
  <si>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</si>
  <si>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</si>
  <si>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</si>
  <si>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</si>
  <si>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</si>
  <si>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</si>
  <si>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</si>
  <si>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</si>
  <si>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</si>
  <si>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</si>
  <si>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</si>
  <si>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</si>
  <si>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</si>
  <si>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</si>
  <si>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</si>
  <si>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</si>
  <si>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</si>
  <si>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</si>
  <si>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</si>
  <si>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</si>
  <si>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</si>
  <si>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</si>
  <si>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</si>
  <si>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</si>
  <si>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</si>
  <si>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</si>
  <si>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</si>
  <si>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</si>
  <si>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</si>
  <si>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</si>
  <si>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</si>
  <si>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</si>
  <si>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</si>
  <si>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</si>
  <si>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</si>
  <si>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</si>
  <si>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</si>
  <si>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</si>
  <si>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</si>
  <si>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</si>
  <si>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</si>
  <si>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</si>
  <si>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</si>
  <si>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</si>
  <si>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</si>
  <si>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</si>
  <si>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</si>
  <si>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</si>
  <si>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</si>
  <si>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</si>
  <si>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</si>
  <si>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</si>
  <si>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</si>
  <si>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</si>
  <si>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</si>
  <si>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</si>
  <si>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</si>
  <si>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</si>
  <si>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</si>
  <si>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</si>
  <si>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</si>
  <si>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</si>
  <si>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</si>
  <si>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</si>
  <si>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</si>
  <si>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</si>
  <si>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</si>
  <si>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</si>
  <si>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</si>
  <si>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</si>
  <si>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</si>
  <si>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</si>
  <si>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</si>
  <si>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</si>
  <si>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</si>
  <si>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</si>
  <si>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</si>
  <si>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</si>
  <si>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</si>
  <si>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</si>
  <si>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</si>
  <si>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</si>
  <si>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</si>
  <si>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</si>
  <si>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</si>
  <si>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</si>
  <si>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</si>
  <si>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</si>
  <si>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</si>
  <si>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</si>
  <si>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</si>
  <si>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</si>
  <si>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</si>
  <si>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</si>
  <si>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</si>
  <si>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</si>
  <si>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</si>
  <si>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</si>
  <si>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</si>
  <si>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</si>
  <si>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</si>
  <si>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</si>
  <si>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</si>
  <si>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</si>
  <si>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</si>
  <si>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</si>
  <si>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</si>
  <si>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</si>
  <si>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</si>
  <si>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</si>
  <si>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</si>
  <si>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</si>
  <si>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</si>
  <si>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</si>
  <si>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</si>
  <si>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</si>
  <si>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</si>
  <si>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</si>
  <si>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</si>
  <si>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</si>
  <si>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</si>
  <si>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</si>
  <si>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</si>
  <si>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</si>
  <si>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</si>
  <si>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</si>
  <si>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</si>
  <si>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</si>
  <si>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</si>
  <si>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</si>
  <si>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</si>
  <si>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</si>
  <si>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</si>
  <si>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</si>
  <si>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</si>
  <si>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</si>
  <si>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</si>
  <si>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</si>
  <si>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</si>
  <si>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</si>
  <si>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</si>
  <si>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</si>
  <si>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</si>
  <si>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</si>
  <si>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</si>
  <si>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</si>
  <si>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</si>
  <si>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</si>
  <si>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</si>
  <si>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</si>
  <si>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</si>
  <si>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</si>
  <si>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</si>
  <si>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</si>
  <si>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</si>
  <si>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</si>
  <si>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</si>
  <si>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</si>
  <si>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</si>
  <si>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</si>
  <si>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</si>
  <si>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</si>
  <si>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</si>
  <si>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</si>
  <si>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</si>
  <si>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</si>
  <si>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</si>
  <si>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</si>
  <si>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</si>
  <si>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</si>
  <si>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</si>
  <si>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</si>
  <si>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</si>
  <si>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</si>
  <si>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</si>
  <si>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</si>
  <si>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</si>
  <si>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</si>
  <si>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</si>
  <si>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</si>
  <si>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</si>
  <si>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</si>
  <si>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</si>
  <si>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</si>
  <si>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</si>
  <si>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</si>
  <si>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</si>
  <si>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</si>
  <si>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</si>
  <si>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</si>
  <si>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</si>
  <si>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</si>
  <si>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</si>
  <si>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</si>
  <si>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</si>
  <si>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</si>
  <si>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</si>
  <si>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</si>
  <si>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</si>
  <si>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</si>
  <si>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</si>
  <si>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</si>
  <si>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</si>
  <si>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</si>
  <si>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</si>
  <si>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</si>
  <si>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</si>
  <si>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</si>
  <si>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</si>
  <si>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</si>
  <si>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</si>
  <si>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</si>
  <si>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</si>
  <si>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</si>
  <si>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</si>
  <si>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</si>
  <si>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</si>
  <si>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</si>
  <si>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</si>
  <si>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</si>
  <si>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</si>
  <si>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</si>
  <si>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</si>
  <si>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</si>
  <si>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</si>
  <si>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</si>
  <si>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</si>
  <si>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</si>
  <si>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</si>
  <si>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</si>
  <si>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</si>
  <si>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</si>
  <si>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</si>
  <si>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</si>
  <si>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</si>
  <si>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</si>
  <si>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</si>
  <si>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</si>
  <si>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</si>
  <si>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</si>
  <si>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</si>
  <si>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</si>
  <si>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</si>
  <si>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</si>
  <si>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</si>
  <si>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</si>
  <si>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</si>
  <si>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</si>
  <si>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</si>
  <si>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</si>
  <si>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</si>
  <si>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</si>
  <si>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</si>
  <si>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</si>
  <si>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</si>
  <si>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</si>
  <si>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</si>
  <si>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</si>
  <si>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</si>
  <si>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</si>
  <si>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</si>
  <si>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</si>
  <si>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</si>
  <si>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</si>
  <si>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</si>
  <si>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</si>
  <si>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</si>
  <si>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</si>
  <si>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</si>
  <si>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</si>
  <si>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</si>
  <si>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</si>
  <si>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</si>
  <si>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</si>
  <si>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</si>
  <si>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</si>
  <si>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</si>
  <si>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</si>
  <si>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</si>
  <si>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</si>
  <si>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</si>
  <si>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</si>
  <si>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</si>
  <si>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</si>
  <si>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</si>
  <si>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</si>
  <si>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</si>
  <si>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</si>
  <si>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</si>
  <si>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</si>
  <si>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</si>
  <si>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</si>
  <si>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</si>
  <si>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</si>
  <si>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</si>
  <si>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</si>
  <si>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</si>
  <si>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</si>
  <si>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</si>
  <si>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</si>
  <si>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</si>
  <si>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</si>
  <si>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</si>
  <si>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</si>
  <si>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</si>
  <si>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</si>
  <si>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</si>
  <si>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</si>
  <si>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</si>
  <si>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</si>
  <si>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</si>
  <si>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</si>
  <si>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</si>
  <si>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</si>
  <si>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</si>
  <si>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</si>
  <si>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</si>
  <si>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</si>
  <si>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</si>
  <si>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</si>
  <si>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</si>
  <si>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</si>
  <si>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</si>
  <si>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</si>
  <si>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</si>
  <si>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</si>
  <si>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</si>
  <si>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</si>
  <si>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</si>
  <si>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</si>
  <si>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</si>
  <si>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</si>
  <si>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</si>
  <si>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</si>
  <si>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</si>
  <si>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</si>
  <si>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</si>
  <si>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</si>
  <si>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</si>
  <si>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</si>
  <si>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</si>
  <si>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</si>
  <si>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</si>
  <si>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</si>
  <si>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</si>
  <si>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</si>
  <si>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</si>
  <si>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</si>
  <si>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</si>
  <si>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</si>
  <si>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</si>
  <si>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</si>
  <si>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</si>
  <si>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</si>
  <si>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</si>
  <si>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</si>
  <si>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</si>
  <si>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</si>
  <si>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</si>
  <si>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</si>
  <si>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</si>
  <si>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</si>
  <si>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</si>
  <si>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</si>
  <si>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</si>
  <si>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</si>
  <si>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</si>
  <si>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</si>
  <si>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</si>
  <si>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</si>
  <si>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</si>
  <si>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</si>
  <si>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</si>
  <si>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</si>
  <si>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</si>
  <si>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</si>
  <si>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</si>
  <si>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</si>
  <si>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</si>
  <si>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</si>
  <si>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</si>
  <si>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</si>
  <si>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</si>
  <si>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</si>
  <si>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</si>
  <si>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</si>
  <si>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</si>
  <si>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</si>
  <si>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</si>
  <si>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</si>
  <si>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</si>
  <si>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</si>
  <si>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</si>
  <si>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</si>
  <si>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</si>
  <si>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</si>
  <si>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</si>
  <si>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</si>
  <si>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</si>
  <si>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</si>
  <si>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</si>
  <si>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</si>
  <si>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</si>
  <si>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</si>
  <si>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</si>
  <si>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</si>
  <si>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</si>
  <si>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</si>
  <si>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</si>
  <si>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</si>
  <si>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</si>
  <si>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</si>
  <si>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</si>
  <si>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</si>
  <si>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</si>
  <si>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</si>
  <si>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</si>
  <si>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</si>
  <si>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</si>
  <si>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</si>
  <si>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</si>
  <si>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</si>
  <si>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</si>
  <si>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</si>
  <si>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</si>
  <si>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</si>
  <si>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</si>
  <si>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</si>
  <si>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</si>
  <si>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</si>
  <si>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</si>
  <si>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</si>
  <si>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</si>
  <si>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</si>
  <si>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</si>
  <si>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</si>
  <si>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</si>
  <si>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</si>
  <si>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</si>
  <si>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</si>
  <si>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</si>
  <si>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</si>
  <si>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</si>
  <si>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</si>
  <si>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</si>
  <si>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</si>
  <si>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</si>
  <si>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</si>
  <si>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</si>
  <si>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</si>
  <si>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</si>
  <si>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</si>
  <si>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</si>
  <si>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</si>
  <si>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</si>
  <si>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</si>
  <si>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</si>
  <si>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</si>
  <si>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</si>
  <si>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</si>
  <si>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</si>
  <si>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</si>
  <si>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</si>
  <si>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</si>
  <si>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</si>
  <si>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</si>
  <si>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</si>
  <si>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</si>
  <si>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</si>
  <si>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</si>
  <si>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</si>
  <si>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</si>
  <si>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</si>
  <si>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</si>
  <si>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</si>
  <si>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</si>
  <si>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</si>
  <si>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</si>
  <si>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</si>
  <si>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</si>
  <si>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</si>
  <si>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</si>
  <si>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</si>
  <si>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</si>
  <si>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</si>
  <si>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</si>
  <si>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</si>
  <si>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</si>
  <si>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</si>
  <si>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</si>
  <si>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</si>
  <si>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</si>
  <si>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</si>
  <si>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</si>
  <si>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</si>
  <si>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</si>
  <si>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</si>
  <si>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</si>
  <si>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</si>
  <si>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</si>
  <si>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</si>
  <si>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</si>
  <si>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</si>
  <si>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</si>
  <si>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</si>
  <si>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</si>
  <si>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</si>
  <si>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</si>
  <si>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</si>
  <si>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</si>
  <si>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</si>
  <si>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</si>
  <si>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</si>
  <si>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</si>
  <si>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</si>
  <si>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</si>
  <si>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</si>
  <si>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</si>
  <si>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</si>
  <si>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</si>
  <si>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</si>
  <si>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</si>
  <si>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</si>
  <si>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</si>
  <si>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</si>
  <si>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</si>
  <si>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</si>
  <si>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</si>
  <si>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</si>
  <si>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</si>
  <si>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</si>
  <si>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</si>
  <si>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</si>
  <si>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</si>
  <si>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</si>
  <si>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</si>
  <si>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</si>
  <si>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</si>
  <si>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</si>
  <si>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</si>
  <si>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</si>
  <si>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</si>
  <si>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</si>
  <si>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</si>
  <si>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</si>
  <si>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</si>
  <si>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</si>
  <si>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</si>
  <si>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</si>
  <si>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</si>
  <si>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</si>
  <si>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</si>
  <si>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</si>
  <si>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</si>
  <si>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</si>
  <si>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</si>
  <si>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</si>
  <si>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</si>
  <si>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</si>
  <si>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</si>
  <si>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</si>
  <si>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</si>
  <si>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</si>
  <si>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</si>
  <si>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</si>
  <si>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</si>
  <si>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</si>
  <si>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</si>
  <si>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</si>
  <si>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</si>
  <si>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</si>
  <si>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</si>
  <si>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</si>
  <si>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</si>
  <si>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</si>
  <si>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</si>
  <si>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</si>
  <si>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</si>
  <si>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</si>
  <si>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</si>
  <si>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</si>
  <si>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</si>
  <si>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</si>
  <si>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</si>
  <si>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</si>
  <si>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</si>
  <si>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</si>
  <si>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</si>
  <si>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</si>
  <si>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</si>
  <si>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</si>
  <si>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</si>
  <si>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</si>
  <si>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</si>
  <si>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</si>
  <si>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</si>
  <si>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</si>
  <si>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</si>
  <si>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</si>
  <si>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</si>
  <si>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</si>
  <si>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</si>
  <si>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</si>
  <si>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</si>
  <si>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</si>
  <si>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</si>
  <si>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</si>
  <si>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</si>
  <si>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</si>
  <si>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</si>
  <si>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</si>
  <si>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</si>
  <si>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</si>
  <si>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</si>
  <si>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</si>
  <si>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</si>
  <si>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</si>
  <si>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</si>
  <si>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</si>
  <si>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</si>
  <si>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</si>
  <si>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</si>
  <si>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</si>
  <si>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</si>
  <si>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</si>
  <si>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</si>
  <si>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</si>
  <si>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</si>
  <si>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</si>
  <si>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</si>
  <si>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</si>
  <si>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</si>
  <si>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</si>
  <si>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</si>
  <si>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</si>
  <si>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</si>
  <si>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</si>
  <si>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</si>
  <si>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</si>
  <si>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</si>
  <si>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</si>
  <si>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</si>
  <si>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</si>
  <si>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</si>
  <si>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</si>
  <si>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</si>
  <si>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</si>
  <si>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</si>
  <si>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</si>
  <si>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</si>
  <si>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</si>
  <si>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</si>
  <si>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</si>
  <si>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</si>
  <si>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</si>
  <si>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</si>
  <si>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</si>
  <si>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</si>
  <si>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</si>
  <si>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</si>
  <si>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</si>
  <si>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</si>
  <si>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</si>
  <si>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</si>
  <si>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</si>
  <si>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</si>
  <si>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</si>
  <si>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</si>
  <si>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</si>
  <si>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</si>
  <si>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</si>
  <si>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</si>
  <si>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</si>
  <si>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</si>
  <si>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</si>
  <si>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</si>
  <si>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</si>
  <si>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</si>
  <si>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</si>
  <si>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</si>
  <si>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</si>
  <si>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</si>
  <si>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</si>
  <si>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</si>
  <si>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</si>
  <si>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</si>
  <si>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</si>
  <si>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</si>
  <si>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</si>
  <si>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</si>
  <si>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</si>
  <si>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</si>
  <si>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</si>
  <si>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</si>
  <si>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</si>
  <si>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</si>
  <si>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</si>
  <si>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</si>
  <si>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</si>
  <si>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</si>
  <si>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</si>
  <si>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</si>
  <si>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</si>
  <si>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</si>
  <si>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</si>
  <si>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</si>
  <si>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</si>
  <si>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</si>
  <si>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</si>
  <si>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</si>
  <si>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</si>
  <si>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</si>
  <si>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</si>
  <si>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</si>
  <si>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</si>
  <si>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</si>
  <si>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</si>
  <si>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</si>
  <si>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</si>
  <si>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</si>
  <si>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</si>
  <si>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</si>
  <si>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</si>
  <si>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</si>
  <si>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</si>
  <si>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</si>
  <si>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</si>
  <si>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</si>
  <si>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</si>
  <si>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</si>
  <si>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</si>
  <si>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</si>
  <si>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</si>
  <si>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</si>
  <si>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</si>
  <si>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</si>
  <si>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</si>
  <si>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</si>
  <si>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</si>
  <si>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</si>
  <si>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</si>
  <si>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</si>
  <si>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</si>
  <si>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</si>
  <si>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</si>
  <si>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</si>
  <si>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</si>
  <si>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</si>
  <si>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</si>
  <si>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</si>
  <si>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</si>
  <si>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</si>
  <si>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</si>
  <si>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</si>
  <si>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</si>
  <si>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</si>
  <si>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</si>
  <si>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</si>
  <si>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</si>
  <si>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</si>
  <si>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</si>
  <si>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</si>
  <si>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</si>
  <si>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</si>
  <si>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</si>
  <si>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</si>
  <si>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</si>
  <si>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</si>
  <si>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</si>
  <si>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</si>
  <si>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</si>
  <si>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</si>
  <si>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</si>
  <si>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</si>
  <si>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</si>
  <si>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</si>
  <si>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</si>
  <si>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</si>
  <si>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</si>
  <si>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</si>
  <si>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</si>
  <si>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</si>
  <si>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</si>
  <si>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</si>
  <si>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</si>
  <si>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</si>
  <si>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</si>
  <si>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</si>
  <si>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</si>
  <si>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</si>
  <si>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</si>
  <si>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</si>
  <si>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</si>
  <si>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</si>
  <si>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</si>
  <si>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</si>
  <si>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</si>
  <si>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</si>
  <si>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</si>
  <si>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</si>
  <si>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</si>
  <si>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</si>
  <si>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</si>
  <si>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</si>
  <si>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</si>
  <si>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</si>
  <si>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</si>
  <si>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</si>
  <si>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</si>
  <si>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</si>
  <si>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</si>
  <si>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</si>
  <si>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</si>
  <si>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</si>
  <si>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</si>
  <si>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</si>
  <si>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</si>
  <si>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</si>
  <si>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</si>
  <si>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</si>
  <si>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</si>
  <si>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</si>
  <si>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</si>
  <si>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</si>
  <si>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</si>
  <si>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</si>
  <si>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</si>
  <si>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</si>
  <si>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</si>
  <si>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</si>
  <si>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</si>
  <si>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</si>
  <si>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</si>
  <si>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</si>
  <si>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</si>
  <si>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</si>
  <si>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</si>
  <si>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</si>
  <si>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</si>
  <si>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</si>
  <si>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</si>
  <si>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</si>
  <si>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</si>
  <si>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</si>
  <si>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</si>
  <si>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</si>
  <si>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</si>
  <si>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</si>
  <si>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</si>
  <si>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</si>
  <si>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</si>
  <si>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</si>
  <si>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</si>
  <si>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</si>
  <si>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</si>
  <si>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</si>
  <si>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</si>
  <si>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</si>
  <si>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</si>
  <si>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</si>
  <si>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</si>
  <si>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</si>
  <si>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</si>
  <si>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</si>
  <si>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</si>
  <si>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</si>
  <si>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</si>
  <si>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</si>
  <si>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</si>
  <si>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</si>
  <si>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</si>
  <si>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</si>
  <si>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</si>
  <si>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</si>
  <si>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</si>
  <si>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</si>
  <si>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</si>
  <si>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</si>
  <si>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</si>
  <si>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</si>
  <si>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</si>
  <si>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</si>
  <si>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</si>
  <si>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</si>
  <si>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</si>
  <si>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</si>
  <si>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</si>
  <si>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</si>
  <si>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</si>
  <si>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</si>
  <si>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</si>
  <si>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</si>
  <si>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</si>
  <si>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</si>
  <si>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</si>
  <si>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</si>
  <si>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</si>
  <si>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</si>
  <si>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</si>
  <si>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</si>
  <si>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</si>
  <si>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</si>
  <si>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</si>
  <si>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</si>
  <si>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</si>
  <si>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</si>
  <si>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</si>
  <si>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</si>
  <si>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</si>
  <si>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</si>
  <si>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</si>
  <si>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</si>
  <si>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</si>
  <si>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</si>
  <si>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</si>
  <si>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</si>
  <si>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</si>
  <si>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</si>
  <si>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</si>
  <si>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</si>
  <si>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</si>
  <si>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</si>
  <si>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</si>
  <si>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</si>
  <si>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</si>
  <si>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</si>
  <si>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</si>
  <si>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</si>
  <si>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</si>
  <si>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</si>
  <si>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</si>
  <si>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</si>
  <si>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</si>
  <si>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</si>
  <si>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</si>
  <si>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</si>
  <si>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</si>
  <si>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</si>
  <si>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</si>
  <si>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</si>
  <si>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</si>
  <si>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</si>
  <si>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</si>
  <si>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</si>
  <si>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</si>
  <si>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</si>
  <si>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</si>
  <si>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</si>
  <si>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</si>
  <si>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</si>
  <si>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</si>
  <si>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</si>
  <si>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</si>
  <si>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</si>
  <si>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</si>
  <si>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</si>
  <si>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</si>
  <si>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</si>
  <si>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</si>
  <si>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</si>
  <si>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</si>
  <si>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</si>
  <si>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</si>
  <si>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</si>
  <si>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</si>
  <si>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</si>
  <si>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</si>
  <si>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</si>
  <si>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</si>
  <si>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</si>
  <si>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</si>
  <si>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</si>
  <si>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</si>
  <si>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</si>
  <si>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</si>
  <si>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</si>
  <si>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</si>
  <si>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</si>
  <si>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</si>
  <si>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</si>
  <si>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</si>
  <si>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</si>
  <si>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</si>
  <si>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</si>
  <si>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</si>
  <si>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</si>
  <si>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</si>
  <si>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</si>
  <si>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</si>
  <si>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</si>
  <si>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</si>
  <si>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</si>
  <si>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</si>
  <si>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</si>
  <si>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</si>
  <si>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</si>
  <si>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</si>
  <si>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</si>
  <si>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</si>
  <si>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</si>
  <si>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</si>
  <si>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</si>
  <si>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</si>
  <si>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</si>
  <si>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</si>
  <si>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</si>
  <si>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</si>
  <si>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</si>
  <si>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</si>
  <si>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</si>
  <si>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</si>
  <si>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</si>
  <si>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</si>
  <si>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</si>
  <si>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</si>
  <si>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</si>
  <si>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</si>
  <si>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</si>
  <si>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</si>
  <si>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</si>
  <si>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</si>
  <si>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</si>
  <si>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</si>
  <si>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</si>
  <si>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</si>
  <si>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</si>
  <si>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</si>
  <si>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</si>
  <si>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</si>
  <si>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</si>
  <si>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</si>
  <si>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</si>
  <si>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</si>
  <si>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</si>
  <si>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</si>
  <si>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</si>
  <si>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</si>
  <si>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</si>
  <si>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</si>
  <si>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</si>
  <si>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</si>
  <si>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</si>
  <si>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</si>
  <si>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</si>
  <si>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</si>
  <si>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</si>
  <si>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</si>
  <si>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</si>
  <si>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</si>
  <si>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</si>
  <si>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</si>
  <si>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</si>
  <si>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</si>
  <si>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</si>
  <si>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</si>
  <si>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</si>
  <si>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</si>
  <si>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</si>
  <si>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</si>
  <si>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</si>
  <si>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</si>
  <si>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</si>
  <si>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</si>
  <si>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</si>
  <si>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</si>
  <si>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</si>
  <si>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</si>
  <si>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</si>
  <si>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</si>
  <si>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</si>
  <si>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</si>
  <si>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</si>
  <si>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</si>
  <si>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</si>
  <si>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</si>
  <si>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</si>
  <si>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</si>
  <si>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</si>
  <si>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</si>
  <si>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</si>
  <si>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</si>
  <si>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</si>
  <si>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</si>
  <si>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</si>
  <si>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</si>
  <si>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</si>
  <si>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</si>
  <si>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</si>
  <si>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</si>
  <si>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</si>
  <si>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</si>
  <si>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</si>
  <si>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</si>
  <si>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</si>
  <si>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</si>
  <si>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</si>
  <si>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</si>
  <si>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</si>
  <si>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</si>
  <si>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</si>
  <si>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</si>
  <si>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</si>
  <si>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</si>
  <si>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</si>
  <si>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</si>
  <si>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</si>
  <si>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</si>
  <si>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</si>
  <si>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</si>
  <si>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</si>
  <si>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</si>
  <si>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</si>
  <si>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</si>
  <si>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</si>
  <si>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</si>
  <si>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</si>
  <si>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</si>
  <si>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</si>
  <si>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</si>
  <si>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</si>
  <si>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</si>
  <si>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</si>
  <si>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</si>
  <si>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</si>
  <si>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</si>
  <si>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</si>
  <si>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</si>
  <si>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</si>
  <si>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</si>
  <si>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</si>
  <si>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</si>
  <si>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</si>
  <si>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</si>
  <si>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</si>
  <si>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</si>
  <si>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</si>
  <si>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</si>
  <si>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</si>
  <si>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</si>
  <si>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</si>
  <si>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</si>
  <si>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</si>
  <si>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</si>
  <si>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</si>
  <si>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</si>
  <si>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</si>
  <si>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</si>
  <si>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</si>
  <si>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</si>
  <si>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</si>
  <si>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</si>
  <si>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</si>
  <si>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</si>
  <si>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</si>
  <si>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</si>
  <si>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</si>
  <si>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</si>
  <si>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</si>
  <si>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</si>
  <si>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</si>
  <si>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</si>
  <si>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</si>
  <si>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</si>
  <si>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</si>
  <si>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</si>
  <si>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</si>
  <si>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</si>
  <si>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</si>
  <si>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</si>
  <si>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</si>
  <si>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</si>
  <si>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</si>
  <si>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</si>
  <si>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</si>
  <si>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</si>
  <si>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</si>
  <si>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</si>
  <si>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</si>
  <si>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</si>
  <si>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</si>
  <si>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</si>
  <si>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</si>
  <si>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</si>
  <si>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</si>
  <si>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</si>
  <si>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</si>
  <si>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</si>
  <si>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</si>
  <si>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</si>
  <si>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</si>
  <si>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</si>
  <si>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</si>
  <si>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</si>
  <si>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</si>
  <si>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</si>
  <si>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</si>
  <si>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</si>
  <si>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</si>
  <si>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</si>
  <si>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</si>
  <si>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</si>
  <si>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</si>
  <si>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</si>
  <si>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</si>
  <si>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</si>
  <si>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</si>
  <si>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</si>
  <si>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</si>
  <si>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</si>
  <si>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</si>
  <si>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</si>
  <si>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</si>
  <si>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</si>
  <si>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</si>
  <si>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</si>
  <si>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</si>
  <si>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</si>
  <si>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</si>
  <si>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</si>
  <si>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</si>
  <si>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</si>
  <si>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</si>
  <si>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</si>
  <si>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</si>
  <si>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</si>
  <si>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</si>
  <si>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</si>
  <si>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</si>
  <si>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</si>
  <si>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</si>
  <si>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</si>
  <si>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</si>
  <si>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</si>
  <si>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</si>
  <si>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</si>
  <si>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</si>
  <si>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</si>
  <si>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</si>
  <si>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</si>
  <si>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</si>
  <si>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</si>
  <si>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</si>
  <si>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</si>
  <si>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</si>
  <si>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</si>
  <si>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</si>
  <si>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</si>
  <si>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</si>
  <si>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</si>
  <si>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</si>
  <si>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</si>
  <si>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</si>
  <si>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</si>
  <si>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</si>
  <si>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</si>
  <si>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</si>
  <si>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</si>
  <si>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</si>
  <si>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</si>
  <si>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</si>
  <si>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</si>
  <si>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</si>
  <si>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</si>
  <si>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</si>
  <si>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</si>
  <si>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</si>
  <si>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</si>
  <si>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</si>
  <si>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</si>
  <si>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</si>
  <si>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</si>
  <si>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</si>
  <si>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</si>
  <si>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</si>
  <si>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</si>
  <si>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</si>
  <si>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</si>
  <si>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</si>
  <si>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</si>
  <si>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</si>
  <si>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</si>
  <si>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</si>
  <si>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</si>
  <si>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</si>
  <si>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</si>
  <si>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</si>
  <si>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</si>
  <si>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</si>
  <si>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</si>
  <si>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</si>
  <si>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</si>
  <si>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</si>
  <si>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</si>
  <si>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</si>
  <si>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</si>
  <si>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</si>
  <si>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</si>
  <si>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</si>
  <si>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</si>
  <si>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</si>
  <si>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</si>
  <si>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</si>
  <si>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</si>
  <si>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</si>
  <si>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</si>
  <si>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</si>
  <si>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</si>
  <si>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</si>
  <si>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</si>
  <si>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</si>
  <si>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</si>
  <si>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</si>
  <si>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</si>
  <si>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</si>
  <si>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</si>
  <si>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</si>
  <si>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</si>
  <si>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</si>
  <si>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</si>
  <si>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</si>
  <si>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</si>
  <si>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</si>
  <si>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</si>
  <si>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</si>
  <si>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</si>
  <si>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</si>
  <si>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</si>
  <si>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</si>
  <si>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</si>
  <si>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</si>
  <si>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</si>
  <si>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</si>
  <si>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</si>
  <si>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</si>
  <si>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</si>
  <si>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</si>
  <si>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</si>
  <si>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</si>
  <si>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</si>
  <si>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</si>
  <si>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</si>
  <si>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</si>
  <si>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</si>
  <si>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</si>
  <si>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</si>
  <si>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</si>
  <si>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</si>
  <si>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</si>
  <si>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</si>
  <si>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</si>
  <si>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</si>
  <si>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</si>
  <si>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</si>
  <si>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</si>
  <si>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</si>
  <si>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</si>
  <si>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</si>
  <si>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</si>
  <si>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</si>
  <si>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</si>
  <si>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</si>
  <si>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</si>
  <si>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</si>
  <si>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</si>
  <si>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</si>
  <si>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</si>
  <si>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</si>
  <si>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</si>
  <si>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</si>
  <si>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</si>
  <si>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</si>
  <si>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</si>
  <si>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</si>
  <si>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</si>
  <si>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</si>
  <si>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</si>
  <si>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</si>
  <si>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</si>
  <si>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</si>
  <si>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</si>
  <si>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</si>
  <si>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</si>
  <si>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</si>
  <si>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</si>
  <si>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</si>
  <si>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</si>
  <si>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</si>
  <si>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</si>
  <si>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</si>
  <si>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</si>
  <si>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</si>
  <si>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</si>
  <si>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</si>
  <si>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</si>
  <si>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</si>
  <si>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</si>
  <si>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</si>
  <si>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</si>
  <si>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</si>
  <si>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</si>
  <si>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</si>
  <si>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</si>
  <si>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</si>
  <si>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</si>
  <si>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</si>
  <si>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</si>
  <si>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</si>
  <si>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</si>
  <si>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</si>
  <si>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</si>
  <si>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</si>
  <si>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</si>
  <si>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</si>
  <si>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</si>
  <si>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</si>
  <si>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</si>
  <si>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</si>
  <si>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</si>
  <si>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</si>
  <si>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</si>
  <si>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</si>
  <si>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</si>
  <si>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</si>
  <si>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</si>
  <si>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</si>
  <si>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</si>
  <si>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</si>
  <si>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</si>
  <si>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</si>
  <si>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</si>
  <si>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</si>
  <si>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</si>
  <si>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</si>
  <si>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</si>
  <si>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</si>
  <si>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</si>
  <si>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</si>
  <si>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</si>
  <si>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</si>
  <si>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</si>
  <si>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</si>
  <si>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</si>
  <si>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</si>
  <si>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</si>
  <si>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</si>
  <si>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</si>
  <si>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</si>
  <si>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</si>
  <si>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</si>
  <si>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</si>
  <si>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</si>
  <si>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</si>
  <si>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</si>
  <si>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</si>
  <si>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</si>
  <si>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</si>
  <si>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</si>
  <si>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</si>
  <si>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</si>
  <si>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</si>
  <si>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</si>
  <si>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</si>
  <si>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</si>
  <si>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</si>
  <si>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</si>
  <si>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</si>
  <si>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</si>
  <si>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</si>
  <si>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</si>
  <si>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</si>
  <si>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</si>
  <si>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</si>
  <si>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</si>
  <si>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</si>
  <si>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</si>
  <si>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</si>
  <si>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</si>
  <si>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</si>
  <si>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</si>
  <si>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</si>
  <si>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</si>
  <si>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</si>
  <si>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</si>
  <si>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</si>
  <si>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</si>
  <si>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</si>
  <si>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</si>
  <si>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</si>
  <si>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</si>
  <si>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</si>
  <si>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</si>
  <si>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</si>
  <si>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</si>
  <si>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</si>
  <si>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</si>
  <si>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</si>
  <si>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</si>
  <si>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</si>
  <si>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</si>
  <si>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</si>
  <si>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</si>
  <si>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</si>
  <si>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</si>
  <si>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</si>
  <si>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</si>
  <si>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</si>
  <si>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</si>
  <si>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</si>
  <si>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</si>
  <si>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</si>
  <si>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</si>
  <si>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</si>
  <si>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</si>
  <si>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</si>
  <si>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</si>
  <si>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</si>
  <si>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</si>
  <si>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</si>
  <si>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</si>
  <si>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</si>
  <si>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</si>
  <si>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</si>
  <si>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</si>
  <si>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</si>
  <si>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</si>
  <si>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</si>
  <si>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</si>
  <si>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</si>
  <si>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</si>
  <si>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</si>
  <si>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</si>
  <si>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</si>
  <si>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</si>
  <si>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</si>
  <si>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</si>
  <si>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</si>
  <si>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</si>
  <si>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</si>
  <si>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</si>
  <si>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</si>
  <si>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</si>
  <si>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</si>
  <si>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</si>
  <si>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</si>
  <si>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</si>
  <si>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</si>
  <si>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</si>
  <si>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</si>
  <si>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</si>
  <si>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</si>
  <si>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</si>
  <si>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</si>
  <si>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</si>
  <si>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</si>
  <si>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</si>
  <si>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</si>
  <si>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</si>
  <si>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</si>
  <si>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</si>
  <si>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</si>
  <si>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</si>
  <si>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</si>
  <si>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</si>
  <si>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</si>
  <si>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</si>
  <si>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</si>
  <si>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</si>
  <si>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</si>
  <si>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</si>
  <si>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</si>
  <si>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</si>
  <si>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</si>
  <si>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</si>
  <si>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</si>
  <si>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</si>
  <si>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</si>
  <si>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</si>
  <si>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</si>
  <si>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</si>
  <si>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</si>
  <si>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</si>
  <si>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</si>
  <si>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</si>
  <si>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</si>
  <si>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</si>
  <si>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</si>
  <si>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</si>
  <si>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</si>
  <si>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</si>
  <si>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</si>
  <si>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</si>
  <si>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</si>
  <si>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</si>
  <si>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</si>
  <si>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</si>
  <si>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</si>
  <si>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</si>
  <si>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</si>
  <si>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</si>
  <si>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</si>
  <si>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</si>
  <si>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</si>
  <si>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</si>
  <si>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</si>
  <si>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</si>
  <si>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</si>
  <si>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</si>
  <si>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</si>
  <si>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</si>
  <si>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</si>
  <si>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</si>
  <si>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</si>
  <si>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</si>
  <si>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</si>
  <si>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</si>
  <si>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</si>
  <si>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</si>
  <si>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</si>
  <si>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</si>
  <si>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</si>
  <si>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</si>
  <si>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</si>
  <si>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</si>
  <si>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</si>
  <si>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</si>
  <si>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</si>
  <si>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</si>
  <si>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</si>
  <si>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</si>
  <si>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</si>
  <si>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</si>
  <si>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</si>
  <si>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</si>
  <si>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</si>
  <si>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</si>
  <si>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</si>
  <si>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</si>
  <si>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</si>
  <si>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</si>
  <si>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</si>
  <si>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</si>
  <si>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</si>
  <si>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</si>
  <si>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</si>
  <si>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</si>
  <si>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</si>
  <si>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</si>
  <si>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</si>
  <si>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</si>
  <si>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</si>
  <si>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</si>
  <si>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</si>
  <si>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</si>
  <si>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</si>
  <si>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</si>
  <si>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</si>
  <si>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</si>
  <si>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</si>
  <si>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</si>
  <si>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</si>
  <si>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</si>
  <si>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</si>
  <si>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</si>
  <si>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</si>
  <si>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</si>
  <si>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</si>
  <si>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</si>
  <si>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</si>
  <si>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</si>
  <si>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</si>
  <si>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</si>
  <si>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</si>
  <si>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</si>
  <si>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</si>
  <si>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</si>
  <si>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</si>
  <si>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</si>
  <si>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</si>
  <si>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</si>
  <si>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</si>
  <si>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</si>
  <si>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</si>
  <si>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</si>
  <si>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</si>
  <si>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</si>
  <si>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</si>
  <si>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</si>
  <si>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</si>
  <si>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</si>
  <si>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</si>
  <si>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</si>
  <si>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</si>
  <si>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</si>
  <si>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</si>
  <si>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</si>
  <si>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</si>
  <si>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</si>
  <si>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</si>
  <si>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</si>
  <si>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</si>
  <si>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</si>
  <si>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</si>
  <si>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</si>
  <si>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</si>
  <si>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</si>
  <si>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</si>
  <si>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</si>
  <si>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</si>
  <si>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</si>
  <si>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</si>
  <si>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</si>
  <si>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</si>
  <si>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</si>
  <si>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</si>
  <si>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</si>
  <si>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</si>
  <si>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</si>
  <si>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</si>
  <si>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</si>
  <si>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</si>
  <si>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</si>
  <si>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</si>
  <si>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</si>
  <si>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</si>
  <si>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</si>
  <si>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</si>
  <si>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</si>
  <si>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</si>
  <si>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</si>
  <si>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</si>
  <si>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</si>
  <si>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</si>
  <si>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</si>
  <si>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</si>
  <si>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</si>
  <si>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</si>
  <si>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</si>
  <si>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</si>
  <si>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</si>
  <si>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</si>
  <si>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</si>
  <si>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</si>
  <si>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</si>
  <si>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</si>
  <si>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</si>
  <si>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</si>
  <si>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</si>
  <si>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</si>
  <si>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</si>
  <si>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</si>
  <si>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</si>
  <si>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</si>
  <si>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</si>
  <si>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</si>
  <si>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</si>
  <si>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</si>
  <si>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</si>
  <si>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</si>
  <si>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</si>
  <si>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</si>
  <si>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</si>
  <si>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</si>
  <si>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</si>
  <si>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</si>
  <si>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</si>
  <si>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</si>
  <si>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</si>
  <si>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</si>
  <si>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</si>
  <si>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</si>
  <si>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</si>
  <si>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</si>
  <si>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</si>
  <si>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</si>
  <si>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</si>
  <si>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</si>
  <si>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</si>
  <si>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</si>
  <si>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</si>
  <si>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</si>
  <si>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</si>
  <si>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</si>
  <si>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</si>
  <si>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</si>
  <si>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</si>
  <si>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</si>
  <si>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</si>
  <si>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</si>
  <si>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</si>
  <si>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</si>
  <si>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</si>
  <si>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</si>
  <si>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</si>
  <si>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</si>
  <si>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</si>
  <si>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</si>
  <si>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</si>
  <si>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</si>
  <si>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</si>
  <si>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</si>
  <si>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</si>
  <si>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</si>
  <si>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</si>
  <si>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</si>
  <si>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</si>
  <si>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</si>
  <si>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</si>
  <si>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</si>
  <si>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</si>
  <si>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</si>
  <si>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</si>
  <si>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</si>
  <si>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</si>
  <si>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</si>
  <si>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</si>
  <si>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</si>
  <si>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</si>
  <si>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</si>
  <si>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</si>
  <si>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</si>
  <si>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</si>
  <si>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</si>
  <si>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</si>
  <si>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</si>
  <si>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</si>
  <si>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</si>
  <si>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</si>
  <si>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</si>
  <si>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</si>
  <si>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</si>
  <si>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</si>
  <si>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</si>
  <si>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</si>
  <si>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</si>
  <si>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</si>
  <si>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</si>
  <si>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</si>
  <si>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</si>
  <si>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</si>
  <si>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</si>
  <si>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</si>
  <si>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</si>
  <si>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</si>
  <si>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</si>
  <si>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</si>
  <si>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</si>
  <si>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</si>
  <si>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</si>
  <si>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</si>
  <si>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</si>
  <si>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</si>
  <si>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</si>
  <si>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</si>
  <si>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</si>
  <si>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</si>
  <si>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</si>
  <si>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</si>
  <si>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</si>
  <si>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</si>
  <si>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</si>
  <si>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</si>
  <si>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</si>
  <si>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</si>
  <si>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</si>
  <si>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</si>
  <si>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</si>
  <si>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</si>
  <si>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</si>
  <si>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</si>
  <si>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</si>
  <si>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</si>
  <si>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</si>
  <si>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</si>
  <si>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</si>
  <si>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</si>
  <si>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</si>
  <si>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</si>
  <si>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</si>
  <si>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</si>
  <si>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</si>
  <si>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</si>
  <si>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</si>
  <si>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</si>
  <si>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</si>
  <si>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</si>
  <si>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</si>
  <si>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</si>
  <si>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</si>
  <si>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</si>
  <si>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</si>
  <si>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</si>
  <si>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</si>
  <si>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</si>
  <si>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</si>
  <si>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</si>
  <si>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</si>
  <si>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</si>
  <si>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</si>
  <si>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</si>
  <si>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</si>
  <si>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</si>
  <si>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</si>
  <si>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</si>
  <si>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</si>
  <si>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</si>
  <si>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</si>
  <si>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</si>
  <si>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</si>
  <si>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</si>
  <si>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</si>
  <si>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</si>
  <si>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</si>
  <si>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</si>
  <si>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</si>
  <si>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</si>
  <si>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</si>
  <si>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</si>
  <si>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</si>
  <si>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</si>
  <si>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</si>
  <si>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</si>
  <si>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</si>
  <si>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</si>
  <si>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</si>
  <si>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</si>
  <si>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</si>
  <si>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</si>
  <si>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</si>
  <si>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</si>
  <si>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</si>
  <si>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</si>
  <si>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</si>
  <si>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</si>
  <si>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</si>
  <si>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</si>
  <si>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</si>
  <si>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</si>
  <si>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</si>
  <si>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</si>
  <si>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</si>
  <si>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</si>
  <si>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</si>
  <si>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</si>
  <si>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</si>
  <si>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</si>
  <si>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</si>
  <si>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</si>
  <si>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</si>
  <si>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</si>
  <si>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</si>
  <si>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</si>
  <si>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</si>
  <si>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</si>
  <si>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</si>
  <si>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</si>
  <si>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</si>
  <si>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</si>
  <si>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</si>
  <si>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</si>
  <si>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</si>
  <si>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</si>
  <si>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</si>
  <si>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</si>
  <si>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</si>
  <si>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</si>
  <si>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</si>
  <si>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</si>
  <si>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</si>
  <si>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</si>
  <si>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</si>
  <si>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</si>
  <si>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</si>
  <si>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</si>
  <si>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</si>
  <si>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</si>
  <si>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</si>
  <si>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</si>
  <si>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</si>
  <si>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</si>
  <si>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</si>
  <si>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</si>
  <si>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</si>
  <si>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</si>
  <si>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</si>
  <si>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</si>
  <si>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</si>
  <si>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</si>
  <si>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</si>
  <si>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</si>
  <si>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</si>
  <si>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</si>
  <si>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</si>
  <si>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</si>
  <si>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</si>
  <si>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</si>
  <si>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</si>
  <si>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</si>
  <si>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</si>
  <si>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</si>
  <si>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</si>
  <si>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</si>
  <si>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</si>
  <si>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</si>
  <si>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</si>
  <si>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</si>
  <si>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</si>
  <si>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</si>
  <si>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</si>
  <si>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</si>
  <si>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</si>
  <si>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</si>
  <si>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</si>
  <si>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</si>
  <si>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</si>
  <si>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</si>
  <si>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</si>
  <si>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</si>
  <si>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</si>
  <si>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</si>
  <si>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</si>
  <si>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</si>
  <si>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</si>
  <si>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</si>
  <si>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</si>
  <si>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</si>
  <si>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</si>
  <si>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</si>
  <si>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</si>
  <si>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</si>
  <si>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</si>
  <si>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</si>
  <si>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</si>
  <si>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</si>
  <si>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</si>
  <si>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</si>
  <si>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</si>
  <si>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</si>
  <si>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</si>
  <si>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</si>
  <si>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</si>
  <si>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</si>
  <si>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</si>
  <si>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</si>
  <si>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</si>
  <si>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</si>
  <si>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</si>
  <si>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</si>
  <si>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</si>
  <si>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</si>
  <si>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</si>
  <si>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</si>
  <si>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</si>
  <si>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</si>
  <si>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</si>
  <si>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</si>
  <si>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</si>
  <si>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</si>
  <si>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</si>
  <si>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</si>
  <si>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</si>
  <si>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</si>
  <si>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</si>
  <si>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</si>
  <si>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</si>
  <si>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</si>
  <si>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</si>
  <si>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</si>
  <si>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</si>
  <si>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</si>
  <si>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</si>
  <si>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</si>
  <si>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</si>
  <si>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</si>
  <si>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</si>
  <si>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</si>
  <si>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</si>
  <si>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</si>
  <si>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</si>
  <si>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</si>
  <si>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</si>
  <si>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</si>
  <si>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</si>
  <si>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</si>
  <si>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</si>
  <si>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</si>
  <si>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</si>
  <si>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</si>
  <si>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</si>
  <si>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</si>
  <si>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</si>
  <si>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</si>
  <si>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</si>
  <si>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</si>
  <si>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</si>
  <si>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</si>
  <si>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</si>
  <si>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</si>
  <si>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</si>
  <si>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</si>
  <si>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</si>
  <si>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</si>
  <si>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</si>
  <si>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</si>
  <si>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</si>
  <si>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</si>
  <si>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</si>
  <si>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</si>
  <si>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</si>
  <si>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</si>
  <si>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</si>
  <si>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</si>
  <si>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</si>
  <si>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</si>
  <si>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</si>
  <si>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</si>
  <si>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</si>
  <si>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</si>
  <si>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</si>
  <si>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</si>
  <si>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</si>
  <si>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</si>
  <si>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</si>
  <si>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</si>
  <si>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</si>
  <si>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</si>
  <si>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</si>
  <si>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</si>
  <si>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</si>
  <si>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</si>
  <si>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</si>
  <si>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</si>
  <si>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</si>
  <si>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</si>
  <si>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</si>
  <si>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</si>
  <si>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</si>
  <si>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</si>
  <si>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</si>
  <si>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</si>
  <si>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</si>
  <si>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</si>
  <si>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</si>
  <si>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</si>
  <si>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</si>
  <si>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</si>
  <si>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</si>
  <si>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</si>
  <si>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</si>
  <si>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</si>
  <si>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</si>
  <si>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</si>
  <si>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</si>
  <si>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</si>
  <si>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</si>
  <si>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</si>
  <si>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</si>
  <si>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</si>
  <si>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</si>
  <si>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</si>
  <si>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</si>
  <si>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</si>
  <si>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</si>
  <si>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</si>
  <si>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</si>
  <si>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</si>
  <si>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</si>
  <si>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</si>
  <si>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</si>
  <si>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</si>
  <si>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</si>
  <si>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</si>
  <si>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</si>
  <si>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</si>
  <si>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</si>
  <si>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</si>
  <si>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</si>
  <si>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</si>
  <si>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</si>
  <si>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</si>
  <si>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</si>
  <si>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</si>
  <si>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</si>
  <si>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</si>
  <si>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</si>
  <si>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</si>
  <si>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</si>
  <si>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</si>
  <si>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</si>
  <si>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</si>
  <si>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</si>
  <si>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</si>
  <si>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</si>
  <si>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</si>
  <si>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</si>
  <si>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</si>
  <si>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</si>
  <si>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</si>
  <si>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</si>
  <si>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</si>
  <si>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</si>
  <si>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</si>
  <si>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</si>
  <si>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</si>
  <si>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</si>
  <si>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</si>
  <si>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</si>
  <si>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</si>
  <si>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</si>
  <si>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</si>
  <si>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</si>
  <si>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</si>
  <si>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</si>
  <si>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</si>
  <si>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</si>
  <si>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</si>
  <si>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</si>
  <si>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</si>
  <si>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</si>
  <si>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</si>
  <si>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</si>
  <si>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</si>
  <si>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</si>
  <si>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</si>
  <si>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</si>
  <si>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</si>
  <si>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</si>
  <si>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</si>
  <si>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</si>
  <si>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</si>
  <si>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</si>
  <si>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</si>
  <si>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</si>
  <si>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</si>
  <si>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</si>
  <si>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</si>
  <si>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</si>
  <si>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</si>
  <si>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</si>
  <si>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</si>
  <si>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</si>
  <si>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</si>
  <si>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</si>
  <si>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</si>
  <si>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</si>
  <si>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</si>
  <si>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</si>
  <si>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</si>
  <si>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</si>
  <si>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</si>
  <si>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</si>
  <si>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</si>
  <si>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</si>
  <si>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</si>
  <si>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</si>
  <si>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</si>
  <si>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</si>
  <si>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</si>
  <si>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</si>
  <si>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</si>
  <si>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</si>
  <si>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</si>
  <si>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</si>
  <si>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</si>
  <si>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</si>
  <si>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</si>
  <si>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</si>
  <si>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</si>
  <si>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</si>
  <si>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</si>
  <si>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</si>
  <si>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</si>
  <si>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</si>
  <si>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</si>
  <si>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</si>
  <si>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</si>
  <si>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</si>
  <si>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</si>
  <si>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</si>
  <si>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</si>
  <si>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</si>
  <si>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</si>
  <si>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</si>
  <si>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</si>
  <si>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</si>
  <si>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</si>
  <si>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</si>
  <si>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</si>
  <si>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</si>
  <si>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</si>
  <si>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</si>
  <si>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</si>
  <si>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</si>
  <si>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</si>
  <si>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</si>
  <si>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</si>
  <si>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</si>
  <si>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</si>
  <si>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</si>
  <si>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</si>
  <si>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</si>
  <si>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</si>
  <si>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</si>
  <si>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</si>
  <si>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</si>
  <si>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</si>
  <si>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</si>
  <si>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</si>
  <si>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</si>
  <si>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</si>
  <si>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</si>
  <si>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</si>
  <si>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</si>
  <si>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</si>
  <si>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</si>
  <si>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</si>
  <si>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</si>
  <si>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</si>
  <si>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</si>
  <si>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</si>
  <si>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</si>
  <si>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</si>
  <si>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</si>
  <si>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</si>
  <si>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</si>
  <si>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</si>
  <si>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</si>
  <si>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</si>
  <si>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</si>
  <si>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</si>
  <si>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</si>
  <si>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</si>
  <si>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</si>
  <si>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</si>
  <si>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</si>
  <si>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</si>
  <si>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</si>
  <si>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</si>
  <si>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</si>
  <si>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</si>
  <si>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</si>
  <si>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</si>
  <si>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</si>
  <si>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</si>
  <si>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</si>
  <si>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</si>
  <si>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</si>
  <si>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</si>
  <si>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</si>
  <si>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</si>
  <si>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</si>
  <si>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</si>
  <si>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</si>
  <si>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</si>
  <si>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</si>
  <si>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</si>
  <si>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</si>
  <si>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</si>
  <si>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</si>
  <si>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</si>
  <si>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</si>
  <si>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</si>
  <si>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</si>
  <si>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</si>
  <si>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</si>
  <si>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</si>
  <si>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</si>
  <si>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</si>
  <si>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</si>
  <si>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</si>
  <si>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</si>
  <si>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</si>
  <si>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</si>
  <si>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</si>
  <si>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</si>
  <si>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</si>
  <si>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</si>
  <si>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</si>
  <si>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</si>
  <si>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</si>
  <si>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</si>
  <si>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</si>
  <si>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</si>
  <si>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</si>
  <si>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</si>
  <si>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</si>
  <si>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</si>
  <si>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</si>
  <si>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</si>
  <si>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</si>
  <si>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</si>
  <si>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</si>
  <si>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</si>
  <si>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</si>
  <si>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</si>
  <si>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</si>
  <si>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</si>
  <si>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</si>
  <si>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</si>
  <si>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</si>
  <si>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</si>
  <si>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</si>
  <si>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</si>
  <si>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</si>
  <si>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</si>
  <si>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</si>
  <si>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</si>
  <si>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</si>
  <si>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</si>
  <si>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</si>
  <si>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</si>
  <si>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</si>
  <si>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</si>
  <si>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</si>
  <si>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</si>
  <si>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</si>
  <si>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</si>
  <si>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</si>
  <si>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</si>
  <si>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</si>
  <si>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</si>
  <si>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</si>
  <si>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</si>
  <si>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</si>
  <si>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</si>
  <si>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</si>
  <si>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</si>
  <si>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</si>
  <si>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</si>
  <si>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</si>
  <si>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</si>
  <si>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</si>
  <si>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</si>
  <si>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</si>
  <si>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</si>
  <si>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</si>
  <si>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</si>
  <si>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</si>
  <si>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</si>
  <si>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</si>
  <si>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</si>
  <si>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</si>
  <si>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</si>
  <si>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</si>
  <si>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</si>
  <si>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</si>
  <si>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</si>
  <si>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</si>
  <si>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</si>
  <si>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</si>
  <si>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</si>
  <si>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</si>
  <si>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</si>
  <si>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</si>
  <si>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</si>
  <si>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</si>
  <si>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</si>
  <si>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</si>
  <si>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</si>
  <si>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</si>
  <si>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</si>
  <si>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</si>
  <si>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</si>
  <si>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</si>
  <si>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</si>
  <si>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</si>
  <si>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</si>
  <si>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</si>
  <si>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</si>
  <si>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</si>
  <si>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</si>
  <si>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</si>
  <si>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</si>
  <si>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</si>
  <si>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</si>
  <si>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</si>
  <si>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</si>
  <si>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</si>
  <si>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</si>
  <si>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</si>
  <si>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</si>
  <si>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</si>
  <si>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</si>
  <si>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</si>
  <si>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</si>
  <si>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</si>
  <si>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</si>
  <si>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</si>
  <si>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</si>
  <si>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</si>
  <si>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</si>
  <si>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</si>
  <si>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</si>
  <si>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</si>
  <si>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</si>
  <si>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</si>
  <si>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</si>
  <si>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</si>
  <si>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</si>
  <si>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</si>
  <si>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</si>
  <si>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</si>
  <si>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</si>
  <si>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</si>
  <si>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</si>
  <si>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</si>
  <si>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</si>
  <si>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</si>
  <si>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</si>
  <si>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</si>
  <si>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</si>
  <si>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</si>
  <si>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</si>
  <si>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</si>
  <si>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</si>
  <si>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</si>
  <si>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</si>
  <si>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</si>
  <si>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</si>
  <si>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</si>
  <si>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</si>
  <si>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</si>
  <si>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</si>
  <si>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</si>
  <si>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</si>
  <si>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</si>
  <si>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</si>
  <si>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</si>
  <si>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</si>
  <si>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</si>
  <si>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</si>
  <si>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</si>
  <si>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</si>
  <si>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</si>
  <si>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</si>
  <si>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</si>
  <si>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</si>
  <si>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</si>
  <si>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</si>
  <si>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</si>
  <si>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</si>
  <si>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</si>
  <si>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</si>
  <si>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</si>
  <si>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</si>
  <si>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</si>
  <si>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</si>
  <si>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</si>
  <si>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</si>
  <si>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</si>
  <si>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</si>
  <si>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</si>
  <si>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</si>
  <si>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</si>
  <si>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</si>
  <si>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</si>
  <si>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</si>
  <si>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</si>
  <si>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</si>
  <si>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</si>
  <si>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</si>
  <si>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</si>
  <si>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</si>
  <si>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</si>
  <si>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</si>
  <si>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</si>
  <si>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</si>
  <si>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</si>
  <si>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</si>
  <si>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</si>
  <si>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</si>
  <si>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</si>
  <si>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</si>
  <si>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</si>
  <si>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</si>
  <si>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</si>
  <si>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</si>
  <si>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</si>
  <si>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</si>
  <si>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</si>
  <si>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</si>
  <si>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</si>
  <si>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</si>
  <si>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</si>
  <si>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</si>
  <si>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</si>
  <si>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</si>
  <si>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</si>
  <si>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</si>
  <si>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</si>
  <si>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</si>
  <si>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</si>
  <si>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</si>
  <si>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</si>
  <si>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</si>
  <si>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</si>
  <si>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</si>
  <si>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</si>
  <si>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</si>
  <si>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</si>
  <si>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</si>
  <si>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</si>
  <si>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</si>
  <si>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</si>
  <si>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</si>
  <si>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</si>
  <si>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</si>
  <si>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</si>
  <si>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</si>
  <si>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</si>
  <si>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</si>
  <si>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</si>
  <si>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</si>
  <si>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</si>
  <si>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</si>
  <si>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</si>
  <si>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</si>
  <si>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</si>
  <si>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</si>
  <si>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</si>
  <si>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</si>
  <si>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</si>
  <si>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</si>
  <si>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</si>
  <si>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</si>
  <si>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</si>
  <si>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</si>
  <si>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</si>
  <si>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</si>
  <si>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</si>
  <si>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</si>
  <si>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</si>
  <si>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</si>
  <si>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</si>
  <si>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</si>
  <si>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</si>
  <si>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</si>
  <si>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</si>
  <si>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</si>
  <si>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</si>
  <si>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</si>
  <si>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</si>
  <si>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</si>
  <si>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</si>
  <si>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</si>
  <si>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</si>
  <si>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</si>
  <si>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</si>
  <si>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</si>
  <si>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</si>
  <si>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</si>
  <si>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</si>
  <si>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</si>
  <si>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</si>
  <si>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</si>
  <si>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</si>
  <si>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</si>
  <si>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</si>
  <si>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</si>
  <si>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</si>
  <si>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</si>
  <si>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</si>
  <si>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</si>
  <si>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</si>
  <si>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</si>
  <si>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</si>
  <si>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</si>
  <si>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</si>
  <si>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</si>
  <si>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</si>
  <si>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</si>
  <si>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</si>
  <si>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</si>
  <si>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</si>
  <si>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</si>
  <si>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</si>
  <si>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</si>
  <si>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</si>
  <si>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</si>
  <si>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</si>
  <si>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</si>
  <si>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</si>
  <si>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</si>
  <si>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</si>
  <si>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</si>
  <si>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</si>
  <si>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</si>
  <si>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</si>
  <si>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</si>
  <si>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</si>
  <si>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</si>
  <si>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</si>
  <si>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</si>
  <si>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</si>
  <si>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</si>
  <si>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</si>
  <si>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</si>
  <si>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</si>
  <si>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</si>
  <si>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</si>
  <si>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</si>
  <si>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</si>
  <si>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</si>
  <si>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</si>
  <si>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</si>
  <si>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</si>
  <si>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</si>
  <si>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</si>
  <si>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</si>
  <si>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</si>
  <si>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</si>
  <si>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</si>
  <si>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</si>
  <si>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</si>
  <si>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</si>
  <si>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</si>
  <si>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</si>
  <si>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</si>
  <si>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</si>
  <si>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</si>
  <si>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</si>
  <si>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</si>
  <si>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</si>
  <si>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</si>
  <si>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</si>
  <si>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</si>
  <si>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</si>
  <si>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</si>
  <si>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</si>
  <si>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</si>
  <si>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</si>
  <si>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</si>
  <si>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</si>
  <si>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</si>
  <si>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</si>
  <si>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</si>
  <si>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</si>
  <si>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</si>
  <si>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</si>
  <si>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</si>
  <si>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</si>
  <si>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</si>
  <si>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</si>
  <si>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</si>
  <si>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</si>
  <si>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</si>
  <si>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</si>
  <si>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</si>
  <si>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</si>
  <si>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</si>
  <si>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</si>
  <si>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</si>
  <si>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</si>
  <si>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</si>
  <si>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</si>
  <si>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</si>
  <si>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</si>
  <si>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</si>
  <si>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</si>
  <si>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</si>
  <si>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</si>
  <si>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</si>
  <si>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</si>
  <si>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</si>
  <si>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</si>
  <si>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</si>
  <si>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</si>
  <si>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</si>
  <si>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</si>
  <si>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</si>
  <si>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</si>
  <si>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</si>
  <si>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</si>
  <si>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</si>
  <si>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</si>
  <si>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</si>
  <si>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</si>
  <si>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</si>
  <si>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</si>
  <si>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</si>
  <si>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</si>
  <si>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</si>
  <si>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</si>
  <si>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</si>
  <si>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</si>
  <si>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</si>
  <si>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</si>
  <si>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</si>
  <si>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</si>
  <si>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</si>
  <si>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</si>
  <si>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</si>
  <si>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</si>
  <si>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</si>
  <si>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</si>
  <si>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</si>
  <si>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</si>
  <si>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</si>
  <si>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</si>
  <si>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</si>
  <si>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</si>
  <si>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</si>
  <si>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</si>
  <si>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</si>
  <si>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</si>
  <si>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</si>
  <si>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</si>
  <si>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</si>
  <si>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</si>
  <si>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</si>
  <si>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</si>
  <si>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</si>
  <si>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</si>
  <si>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</si>
  <si>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</si>
  <si>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</si>
  <si>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</si>
  <si>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</si>
  <si>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</si>
  <si>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</si>
  <si>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</si>
  <si>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</si>
  <si>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</si>
  <si>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</si>
  <si>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</si>
  <si>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</si>
  <si>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</si>
  <si>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</si>
  <si>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</si>
  <si>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</si>
  <si>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</si>
  <si>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</si>
  <si>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</si>
  <si>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</si>
  <si>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</si>
  <si>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</si>
  <si>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</si>
  <si>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</si>
  <si>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</si>
  <si>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</si>
  <si>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</si>
  <si>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</si>
  <si>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</si>
  <si>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</si>
  <si>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</si>
  <si>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</si>
  <si>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</si>
  <si>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</si>
  <si>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</si>
  <si>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</si>
  <si>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</si>
  <si>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</si>
  <si>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</si>
  <si>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</si>
  <si>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</si>
  <si>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</si>
  <si>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</si>
  <si>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</si>
  <si>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</si>
  <si>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</si>
  <si>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</si>
  <si>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</si>
  <si>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</si>
  <si>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</si>
  <si>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</si>
  <si>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</si>
  <si>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</si>
  <si>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</si>
  <si>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</si>
  <si>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</si>
  <si>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</si>
  <si>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</si>
  <si>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</si>
  <si>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</si>
  <si>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</si>
  <si>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</si>
  <si>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</si>
  <si>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</si>
  <si>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</si>
  <si>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</si>
  <si>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</si>
  <si>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</si>
  <si>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</si>
  <si>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</si>
  <si>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</si>
  <si>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</si>
  <si>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</si>
  <si>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</si>
  <si>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</si>
  <si>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</si>
  <si>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</si>
  <si>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</si>
  <si>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</si>
  <si>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</si>
  <si>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</si>
  <si>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</si>
  <si>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</si>
  <si>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</si>
  <si>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</si>
  <si>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</si>
  <si>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</si>
  <si>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</si>
  <si>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</si>
  <si>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</si>
  <si>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</si>
  <si>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</si>
  <si>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</si>
  <si>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</si>
  <si>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</si>
  <si>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</si>
  <si>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</si>
  <si>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</si>
  <si>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</si>
  <si>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</si>
  <si>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</si>
  <si>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</si>
  <si>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</si>
  <si>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</si>
  <si>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</si>
  <si>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</si>
  <si>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</si>
  <si>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</si>
  <si>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</si>
  <si>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</si>
  <si>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</si>
  <si>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</si>
  <si>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</si>
  <si>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</si>
  <si>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</si>
  <si>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</si>
  <si>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</si>
  <si>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</si>
  <si>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</si>
  <si>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</si>
  <si>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</si>
  <si>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</si>
  <si>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</si>
  <si>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</si>
  <si>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</si>
  <si>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</si>
  <si>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</si>
  <si>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</si>
  <si>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</si>
  <si>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</si>
  <si>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</si>
  <si>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</si>
  <si>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</si>
  <si>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</si>
  <si>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</si>
  <si>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</si>
  <si>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</si>
  <si>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</si>
  <si>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</si>
  <si>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</si>
  <si>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</si>
  <si>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</si>
  <si>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</si>
  <si>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</si>
  <si>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</si>
  <si>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</si>
  <si>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</si>
  <si>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</si>
  <si>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</si>
  <si>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</si>
  <si>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</si>
  <si>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</si>
  <si>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</si>
  <si>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</si>
  <si>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</si>
  <si>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</si>
  <si>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</si>
  <si>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</si>
  <si>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</si>
  <si>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</si>
  <si>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</si>
  <si>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</si>
  <si>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</si>
  <si>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</si>
  <si>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</si>
  <si>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</si>
  <si>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</si>
  <si>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</si>
  <si>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</si>
  <si>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</si>
  <si>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</si>
  <si>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</si>
  <si>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</si>
  <si>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</si>
  <si>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</si>
  <si>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</si>
  <si>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</si>
  <si>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</si>
  <si>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</si>
  <si>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</si>
  <si>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</si>
  <si>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</si>
  <si>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</si>
  <si>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</si>
  <si>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</si>
  <si>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</si>
  <si>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</si>
  <si>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</si>
  <si>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</si>
  <si>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</si>
  <si>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</si>
  <si>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</si>
  <si>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</si>
  <si>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</si>
  <si>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</si>
  <si>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</si>
  <si>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</si>
  <si>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</si>
  <si>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</si>
  <si>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</si>
  <si>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</si>
  <si>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</si>
  <si>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</si>
  <si>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</si>
  <si>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</si>
  <si>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</si>
  <si>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</si>
  <si>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</si>
  <si>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</si>
  <si>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</si>
  <si>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</si>
  <si>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</si>
  <si>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</si>
  <si>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</si>
  <si>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</si>
  <si>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</si>
  <si>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</si>
  <si>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</si>
  <si>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</si>
  <si>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</si>
  <si>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</si>
  <si>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</si>
  <si>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</si>
  <si>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</si>
  <si>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</si>
  <si>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</si>
  <si>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</si>
  <si>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</si>
  <si>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</si>
  <si>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</si>
  <si>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</si>
  <si>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</si>
  <si>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</si>
  <si>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</si>
  <si>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</si>
  <si>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</si>
  <si>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</si>
  <si>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</si>
  <si>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</si>
  <si>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</si>
  <si>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</si>
  <si>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</si>
  <si>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</si>
  <si>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</si>
  <si>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</si>
  <si>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</si>
  <si>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</si>
  <si>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</si>
  <si>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</si>
  <si>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</si>
  <si>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</si>
  <si>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</si>
  <si>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</si>
  <si>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</si>
  <si>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</si>
  <si>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</si>
  <si>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</si>
  <si>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</si>
  <si>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</si>
  <si>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</si>
  <si>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</si>
  <si>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</si>
  <si>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</si>
  <si>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</si>
  <si>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</si>
  <si>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</si>
  <si>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</si>
  <si>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</si>
  <si>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</si>
  <si>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</si>
  <si>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</si>
  <si>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</si>
  <si>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</si>
  <si>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</si>
  <si>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</si>
  <si>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</si>
  <si>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</si>
  <si>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</si>
  <si>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</si>
  <si>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</si>
  <si>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</si>
  <si>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</si>
  <si>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</si>
  <si>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</si>
  <si>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</si>
  <si>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</si>
  <si>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</si>
  <si>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</si>
  <si>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</si>
  <si>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</si>
  <si>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</si>
  <si>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</si>
  <si>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</si>
  <si>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</si>
  <si>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</si>
  <si>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</si>
  <si>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</si>
  <si>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</si>
  <si>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</si>
  <si>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</si>
  <si>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</si>
  <si>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</si>
  <si>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</si>
  <si>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</si>
  <si>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</si>
  <si>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</si>
  <si>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</si>
  <si>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</si>
  <si>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</si>
  <si>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</si>
  <si>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</si>
  <si>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</si>
  <si>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</si>
  <si>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</si>
  <si>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</si>
  <si>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</si>
  <si>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</si>
  <si>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</si>
  <si>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</si>
  <si>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</si>
  <si>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</si>
  <si>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</si>
  <si>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</si>
  <si>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</si>
  <si>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</si>
  <si>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</si>
  <si>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</si>
  <si>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</si>
  <si>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</si>
  <si>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</si>
  <si>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</si>
  <si>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</si>
  <si>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</si>
  <si>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</si>
  <si>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</si>
  <si>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</si>
  <si>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</si>
  <si>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</si>
  <si>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</si>
  <si>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</si>
  <si>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</si>
  <si>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</si>
  <si>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</si>
  <si>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</si>
  <si>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</si>
  <si>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</si>
  <si>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</si>
  <si>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</si>
  <si>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</si>
  <si>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</si>
  <si>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</si>
  <si>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</si>
  <si>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</si>
  <si>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</si>
  <si>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</si>
  <si>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</si>
  <si>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</si>
  <si>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</si>
  <si>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</si>
  <si>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</si>
  <si>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</si>
  <si>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</si>
  <si>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</si>
  <si>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</si>
  <si>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</si>
  <si>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</si>
  <si>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</si>
  <si>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</si>
  <si>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</si>
  <si>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</si>
  <si>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</si>
  <si>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</si>
  <si>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</si>
  <si>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</si>
  <si>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</si>
  <si>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</si>
  <si>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</si>
  <si>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</si>
  <si>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</si>
  <si>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</si>
  <si>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</si>
  <si>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</si>
  <si>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</si>
  <si>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</si>
  <si>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</si>
  <si>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</si>
  <si>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</si>
  <si>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</si>
  <si>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</si>
  <si>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</si>
  <si>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</si>
  <si>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</si>
  <si>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</si>
  <si>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</si>
  <si>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</si>
  <si>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</si>
  <si>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</si>
  <si>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</si>
  <si>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</si>
  <si>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</si>
  <si>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</si>
  <si>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</si>
  <si>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</si>
  <si>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</si>
  <si>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</si>
  <si>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</si>
  <si>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</si>
  <si>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</si>
  <si>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</si>
  <si>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</si>
  <si>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</si>
  <si>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</si>
  <si>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</si>
  <si>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</si>
  <si>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</si>
  <si>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</si>
  <si>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</si>
  <si>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</si>
  <si>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</si>
  <si>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</si>
  <si>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</si>
  <si>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</si>
  <si>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</si>
  <si>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</si>
  <si>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</si>
  <si>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</si>
  <si>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</si>
  <si>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</si>
  <si>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</si>
  <si>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</si>
  <si>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</si>
  <si>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</si>
  <si>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</si>
  <si>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</si>
  <si>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</si>
  <si>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</si>
  <si>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</si>
  <si>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</si>
  <si>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</si>
  <si>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</si>
  <si>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</si>
  <si>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</si>
  <si>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</si>
  <si>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</si>
  <si>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</si>
  <si>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</si>
  <si>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</si>
  <si>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</si>
  <si>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</si>
  <si>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</si>
  <si>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</si>
  <si>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</si>
  <si>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</si>
  <si>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</si>
  <si>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</si>
  <si>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</si>
  <si>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</si>
  <si>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</si>
  <si>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</si>
  <si>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</si>
  <si>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</si>
  <si>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</si>
  <si>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</si>
  <si>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</si>
  <si>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</si>
  <si>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</si>
  <si>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</si>
  <si>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</si>
  <si>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</si>
  <si>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</si>
  <si>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</si>
  <si>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</si>
  <si>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</si>
  <si>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</si>
  <si>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</si>
  <si>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</si>
  <si>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</si>
  <si>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</si>
  <si>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</si>
  <si>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</si>
  <si>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</si>
  <si>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</si>
  <si>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</si>
  <si>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</si>
  <si>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</si>
  <si>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</si>
  <si>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</si>
  <si>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</si>
  <si>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</si>
  <si>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</si>
  <si>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</si>
  <si>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</si>
  <si>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</si>
  <si>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</si>
  <si>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</si>
  <si>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</si>
  <si>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</si>
  <si>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</si>
  <si>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</si>
  <si>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</si>
  <si>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</si>
  <si>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</si>
  <si>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</si>
  <si>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</si>
  <si>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</si>
  <si>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</si>
  <si>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</si>
  <si>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</si>
  <si>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</si>
  <si>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</si>
  <si>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</si>
  <si>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</si>
  <si>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</si>
  <si>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</si>
  <si>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</si>
  <si>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</si>
  <si>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</si>
  <si>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</si>
  <si>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</si>
  <si>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</si>
  <si>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</si>
  <si>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</si>
  <si>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</si>
  <si>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</si>
  <si>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</si>
  <si>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</si>
  <si>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</si>
  <si>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</si>
  <si>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</si>
  <si>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</si>
  <si>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</si>
  <si>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</si>
  <si>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</si>
  <si>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</si>
  <si>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</si>
  <si>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</si>
  <si>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</si>
  <si>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</si>
  <si>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</si>
  <si>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</si>
  <si>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</si>
  <si>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</si>
  <si>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</si>
  <si>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</si>
  <si>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</si>
  <si>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</si>
  <si>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</si>
  <si>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</si>
  <si>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</si>
  <si>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</si>
  <si>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</si>
  <si>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</si>
  <si>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</si>
  <si>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</si>
  <si>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</si>
  <si>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</si>
  <si>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</si>
  <si>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</si>
  <si>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</si>
  <si>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</si>
  <si>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</si>
  <si>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</si>
  <si>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</si>
  <si>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</si>
  <si>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</si>
  <si>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</si>
  <si>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</si>
  <si>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</si>
  <si>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</si>
  <si>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</si>
  <si>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</si>
  <si>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</si>
  <si>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</si>
  <si>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</si>
  <si>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</si>
  <si>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</si>
  <si>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</si>
  <si>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</si>
  <si>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</si>
  <si>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</si>
  <si>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</si>
  <si>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</si>
  <si>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</si>
  <si>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</si>
  <si>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</si>
  <si>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</si>
  <si>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</si>
  <si>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</si>
  <si>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</si>
  <si>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</si>
  <si>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</si>
  <si>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</si>
  <si>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</si>
  <si>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</si>
  <si>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</si>
  <si>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</si>
  <si>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</si>
  <si>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</si>
  <si>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</si>
  <si>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</si>
  <si>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</si>
  <si>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</si>
  <si>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</si>
  <si>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</si>
  <si>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</si>
  <si>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</si>
  <si>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</si>
  <si>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</si>
  <si>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</si>
  <si>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</si>
  <si>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</si>
  <si>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</si>
  <si>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</si>
  <si>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</si>
  <si>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</si>
  <si>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</si>
  <si>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</si>
  <si>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</si>
  <si>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</si>
  <si>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</si>
  <si>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</si>
  <si>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</si>
  <si>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</si>
  <si>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</si>
  <si>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</si>
  <si>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</si>
  <si>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</si>
  <si>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</si>
  <si>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</si>
  <si>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</si>
  <si>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</si>
  <si>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</si>
  <si>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</si>
  <si>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</si>
  <si>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</si>
  <si>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</si>
  <si>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</si>
  <si>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</si>
  <si>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</si>
  <si>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</si>
  <si>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</si>
  <si>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</si>
  <si>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</si>
  <si>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</si>
  <si>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</si>
  <si>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</si>
  <si>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</si>
  <si>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</si>
  <si>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</si>
  <si>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</si>
  <si>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</si>
  <si>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</si>
  <si>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</si>
  <si>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</si>
  <si>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</si>
  <si>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</si>
  <si>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</si>
  <si>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</si>
  <si>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</si>
  <si>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</si>
  <si>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</si>
  <si>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</si>
  <si>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</si>
  <si>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</si>
  <si>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</si>
  <si>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</si>
  <si>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</si>
  <si>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</si>
  <si>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</si>
  <si>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</si>
  <si>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</si>
  <si>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</si>
  <si>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</si>
  <si>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</si>
  <si>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</si>
  <si>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</si>
  <si>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</si>
  <si>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</si>
  <si>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</si>
  <si>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</si>
  <si>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</si>
  <si>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</si>
  <si>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</si>
  <si>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</si>
  <si>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</si>
  <si>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</si>
  <si>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</si>
  <si>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</si>
  <si>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</si>
  <si>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</si>
  <si>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</si>
  <si>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</si>
  <si>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</si>
  <si>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</si>
  <si>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</si>
  <si>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</si>
  <si>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</si>
  <si>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</si>
  <si>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</si>
  <si>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</si>
  <si>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</si>
  <si>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</si>
  <si>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</si>
  <si>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</si>
  <si>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</si>
  <si>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</si>
  <si>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</si>
  <si>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</si>
  <si>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</si>
  <si>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</si>
  <si>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</si>
  <si>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</si>
  <si>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</si>
  <si>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</si>
  <si>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</si>
  <si>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</si>
  <si>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</si>
  <si>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</si>
  <si>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</si>
  <si>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</si>
  <si>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</si>
  <si>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</si>
  <si>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</si>
  <si>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</si>
  <si>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</si>
  <si>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</si>
  <si>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</si>
  <si>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</si>
  <si>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</si>
  <si>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</si>
  <si>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</si>
  <si>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</si>
  <si>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</si>
  <si>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</si>
  <si>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</si>
  <si>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</si>
  <si>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</si>
  <si>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</si>
  <si>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</si>
  <si>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</si>
  <si>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</si>
  <si>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</si>
  <si>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</si>
  <si>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</si>
  <si>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</si>
  <si>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</si>
  <si>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</si>
  <si>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</si>
  <si>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</si>
  <si>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</si>
  <si>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</si>
  <si>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</si>
  <si>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</si>
  <si>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</si>
  <si>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</si>
  <si>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</si>
  <si>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</si>
  <si>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</si>
  <si>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</si>
  <si>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</si>
  <si>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</si>
  <si>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</si>
  <si>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</si>
  <si>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</si>
  <si>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</si>
  <si>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</si>
  <si>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</si>
  <si>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</si>
  <si>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</si>
  <si>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</si>
  <si>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</si>
  <si>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</si>
  <si>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</si>
  <si>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</si>
  <si>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</si>
  <si>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</si>
  <si>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</si>
  <si>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</si>
  <si>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</si>
  <si>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</si>
  <si>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</si>
  <si>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</si>
  <si>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</si>
  <si>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</si>
  <si>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</si>
  <si>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</si>
  <si>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</si>
  <si>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</si>
  <si>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</si>
  <si>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</si>
  <si>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</si>
  <si>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</si>
  <si>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</si>
  <si>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</si>
  <si>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</si>
  <si>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</si>
  <si>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</si>
  <si>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</si>
  <si>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</si>
  <si>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</si>
  <si>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</si>
  <si>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</si>
  <si>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</si>
  <si>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</si>
  <si>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</si>
  <si>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</si>
  <si>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</si>
  <si>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</si>
  <si>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</si>
  <si>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</si>
  <si>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</si>
  <si>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</si>
  <si>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</si>
  <si>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</si>
  <si>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</si>
  <si>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</si>
  <si>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</si>
  <si>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</si>
  <si>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</si>
  <si>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</si>
  <si>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</si>
  <si>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</si>
  <si>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</si>
  <si>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</si>
  <si>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</si>
  <si>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</si>
  <si>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</si>
  <si>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</si>
  <si>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</si>
  <si>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</si>
  <si>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</si>
  <si>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</si>
  <si>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</si>
  <si>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</si>
  <si>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</si>
  <si>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</si>
  <si>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</si>
  <si>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</si>
  <si>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</si>
  <si>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</si>
  <si>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</si>
  <si>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</si>
  <si>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</si>
  <si>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</si>
  <si>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</si>
  <si>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</si>
  <si>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</si>
  <si>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</si>
  <si>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</si>
  <si>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</si>
  <si>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</si>
  <si>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</si>
  <si>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</si>
  <si>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</si>
  <si>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</si>
  <si>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</si>
  <si>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</si>
  <si>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</si>
  <si>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</si>
  <si>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</si>
  <si>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</si>
  <si>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</si>
  <si>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</si>
  <si>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</si>
  <si>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</si>
  <si>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</si>
  <si>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</si>
  <si>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</si>
  <si>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</si>
  <si>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</si>
  <si>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</si>
  <si>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</si>
  <si>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</si>
  <si>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</si>
  <si>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</si>
  <si>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</si>
  <si>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</si>
  <si>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</si>
  <si>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</si>
  <si>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</si>
  <si>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</si>
  <si>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</si>
  <si>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</si>
  <si>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</si>
  <si>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</si>
  <si>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</si>
  <si>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</si>
  <si>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</si>
  <si>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</si>
  <si>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</si>
  <si>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</si>
  <si>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</si>
  <si>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</si>
  <si>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</si>
  <si>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</si>
  <si>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</si>
  <si>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</si>
  <si>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</si>
  <si>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</si>
  <si>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</si>
  <si>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</si>
  <si>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</si>
  <si>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</si>
  <si>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</si>
  <si>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</si>
  <si>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</si>
  <si>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</si>
  <si>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</si>
  <si>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</si>
  <si>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</si>
  <si>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</si>
  <si>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</si>
  <si>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</si>
  <si>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</si>
  <si>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</si>
  <si>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</si>
  <si>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</si>
  <si>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</si>
  <si>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</si>
  <si>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</si>
  <si>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</si>
  <si>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</si>
  <si>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</si>
  <si>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</si>
  <si>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</si>
  <si>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</si>
  <si>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</si>
  <si>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</si>
  <si>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</si>
  <si>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</si>
  <si>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</si>
  <si>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</si>
  <si>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</si>
  <si>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</si>
  <si>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</si>
  <si>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</si>
  <si>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</si>
  <si>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</si>
  <si>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</si>
  <si>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</si>
  <si>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</si>
  <si>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</si>
  <si>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</si>
  <si>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</si>
  <si>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</si>
  <si>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</si>
  <si>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</si>
  <si>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</si>
  <si>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</si>
  <si>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</si>
  <si>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</si>
  <si>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</si>
  <si>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</si>
  <si>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</si>
  <si>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</si>
  <si>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</si>
  <si>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</si>
  <si>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</si>
  <si>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</si>
  <si>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</si>
  <si>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</si>
  <si>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</si>
  <si>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</si>
  <si>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</si>
  <si>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</si>
  <si>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</si>
  <si>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</si>
  <si>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</si>
  <si>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</si>
  <si>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</si>
  <si>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</si>
  <si>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</si>
  <si>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</si>
  <si>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</si>
  <si>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</si>
  <si>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</si>
  <si>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</si>
  <si>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</si>
  <si>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</si>
  <si>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</si>
  <si>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</si>
  <si>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</si>
  <si>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</si>
  <si>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</si>
  <si>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</si>
  <si>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</si>
  <si>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</si>
  <si>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</si>
  <si>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</si>
  <si>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</si>
  <si>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</si>
  <si>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</si>
  <si>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</si>
  <si>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</si>
  <si>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</si>
  <si>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</si>
  <si>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</si>
  <si>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</si>
  <si>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</si>
  <si>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</si>
  <si>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</si>
  <si>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</si>
  <si>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</si>
  <si>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</si>
  <si>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</si>
  <si>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</si>
  <si>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</si>
  <si>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</si>
  <si>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</si>
  <si>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</si>
  <si>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</si>
  <si>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</si>
  <si>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</si>
  <si>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</si>
  <si>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</si>
  <si>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</si>
  <si>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</si>
  <si>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</si>
  <si>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</si>
  <si>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</si>
  <si>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</si>
  <si>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</si>
  <si>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</si>
  <si>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</si>
  <si>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</si>
  <si>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</si>
  <si>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</si>
  <si>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</si>
  <si>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</si>
  <si>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</si>
  <si>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</si>
  <si>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</si>
  <si>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</si>
  <si>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</si>
  <si>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</si>
  <si>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</si>
  <si>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</si>
  <si>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</si>
  <si>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</si>
  <si>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</si>
  <si>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</si>
  <si>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</si>
  <si>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</si>
  <si>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</si>
  <si>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</si>
  <si>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</si>
  <si>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</si>
  <si>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</si>
  <si>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</si>
  <si>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</si>
  <si>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</si>
  <si>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</si>
  <si>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</si>
  <si>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</si>
  <si>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</si>
  <si>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</si>
  <si>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</si>
  <si>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</si>
  <si>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</si>
  <si>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</si>
  <si>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</si>
  <si>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</si>
  <si>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</si>
  <si>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</si>
  <si>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</si>
  <si>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</si>
  <si>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</si>
  <si>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</si>
  <si>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</si>
  <si>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</si>
  <si>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</si>
  <si>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</si>
  <si>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</si>
  <si>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</si>
  <si>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</si>
  <si>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</si>
  <si>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</si>
  <si>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</si>
  <si>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</si>
  <si>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</si>
  <si>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</si>
  <si>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</si>
  <si>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</si>
  <si>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</si>
  <si>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</si>
  <si>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</si>
  <si>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</si>
  <si>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</si>
  <si>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</si>
  <si>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</si>
  <si>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</si>
  <si>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</si>
  <si>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</si>
  <si>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</si>
  <si>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</si>
  <si>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</si>
  <si>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</si>
  <si>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</si>
  <si>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</si>
  <si>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</si>
  <si>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</si>
  <si>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</si>
  <si>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</si>
  <si>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</si>
  <si>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</si>
  <si>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</si>
  <si>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</si>
  <si>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</si>
  <si>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</si>
  <si>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</si>
  <si>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</si>
  <si>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</si>
  <si>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</si>
  <si>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</si>
  <si>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</si>
  <si>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</si>
  <si>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</si>
  <si>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</si>
  <si>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</si>
  <si>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</si>
  <si>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</si>
  <si>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</si>
  <si>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</si>
  <si>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</si>
  <si>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</si>
  <si>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</si>
  <si>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</si>
  <si>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</si>
  <si>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</si>
  <si>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</si>
  <si>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</si>
  <si>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</si>
  <si>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</si>
  <si>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</si>
  <si>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</si>
  <si>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</si>
  <si>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</si>
  <si>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</si>
  <si>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</si>
  <si>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</si>
  <si>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</si>
  <si>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</si>
  <si>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</si>
  <si>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</si>
  <si>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</si>
  <si>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</si>
  <si>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</si>
  <si>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</si>
  <si>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</si>
  <si>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</si>
  <si>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</si>
  <si>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</si>
  <si>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</si>
  <si>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</si>
  <si>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</si>
  <si>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</si>
  <si>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</si>
  <si>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</si>
  <si>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</si>
  <si>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</si>
  <si>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</si>
  <si>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</si>
  <si>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</si>
  <si>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</si>
  <si>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</si>
  <si>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</si>
  <si>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</si>
  <si>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</si>
  <si>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</si>
  <si>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</si>
  <si>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</si>
  <si>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</si>
  <si>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</si>
  <si>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</si>
  <si>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</si>
  <si>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</si>
  <si>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</si>
  <si>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</si>
  <si>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</si>
  <si>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</si>
  <si>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</si>
  <si>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</si>
  <si>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</si>
  <si>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</si>
  <si>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</si>
  <si>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</si>
  <si>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</si>
  <si>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</si>
  <si>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</si>
  <si>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</si>
  <si>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</si>
  <si>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</si>
  <si>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</si>
  <si>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</si>
  <si>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</si>
  <si>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</si>
  <si>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</si>
  <si>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</si>
  <si>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</si>
  <si>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</si>
  <si>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</si>
  <si>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</si>
  <si>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</si>
  <si>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</si>
  <si>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</si>
  <si>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</si>
  <si>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</si>
  <si>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</si>
  <si>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</si>
  <si>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</si>
  <si>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</si>
  <si>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</si>
  <si>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</si>
  <si>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</si>
  <si>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</si>
  <si>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</si>
  <si>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</si>
  <si>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</si>
  <si>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</si>
  <si>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</si>
  <si>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</si>
  <si>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</si>
  <si>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</si>
  <si>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</si>
  <si>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</si>
  <si>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</si>
  <si>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</si>
  <si>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</si>
  <si>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</si>
  <si>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</si>
  <si>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</si>
  <si>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</si>
  <si>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</si>
  <si>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</si>
  <si>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</si>
  <si>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</si>
  <si>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</si>
  <si>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</si>
  <si>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</si>
  <si>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</si>
  <si>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</si>
  <si>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</si>
  <si>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</si>
  <si>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</si>
  <si>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</si>
  <si>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</si>
  <si>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</si>
  <si>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</si>
  <si>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</si>
  <si>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</si>
  <si>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</si>
  <si>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</si>
  <si>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</si>
  <si>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</si>
  <si>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</si>
  <si>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</si>
  <si>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</si>
  <si>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</si>
  <si>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</si>
  <si>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</si>
  <si>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</si>
  <si>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</si>
  <si>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</si>
  <si>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</si>
  <si>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</si>
  <si>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</si>
  <si>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</si>
  <si>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</si>
  <si>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</si>
  <si>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</si>
  <si>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</si>
  <si>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</si>
  <si>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</si>
  <si>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</si>
  <si>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</si>
  <si>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</si>
  <si>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</si>
  <si>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</si>
  <si>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</si>
  <si>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</si>
  <si>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</si>
  <si>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</si>
  <si>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</si>
  <si>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</si>
  <si>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</si>
  <si>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</si>
  <si>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</si>
  <si>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</si>
  <si>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</si>
  <si>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</si>
  <si>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</si>
  <si>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</si>
  <si>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</si>
  <si>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</si>
  <si>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</si>
  <si>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</si>
  <si>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</si>
  <si>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</si>
  <si>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</si>
  <si>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</si>
  <si>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</si>
  <si>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</si>
  <si>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</si>
  <si>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</si>
  <si>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</si>
  <si>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</si>
  <si>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</si>
  <si>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</si>
  <si>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</si>
  <si>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</si>
  <si>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</si>
  <si>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</si>
  <si>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</si>
  <si>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</si>
  <si>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</si>
  <si>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</si>
  <si>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</si>
  <si>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</si>
  <si>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</si>
  <si>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</si>
  <si>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</si>
  <si>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</si>
  <si>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</si>
  <si>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</si>
  <si>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</si>
  <si>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</si>
  <si>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</si>
  <si>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</si>
  <si>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</si>
  <si>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</si>
  <si>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</si>
  <si>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</si>
  <si>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</si>
  <si>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</si>
  <si>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</si>
  <si>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</si>
  <si>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</si>
  <si>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</si>
  <si>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</si>
  <si>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</si>
  <si>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</si>
  <si>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</si>
  <si>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</si>
  <si>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</si>
  <si>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</si>
  <si>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</si>
  <si>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</si>
  <si>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</si>
  <si>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</si>
  <si>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</si>
  <si>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</si>
  <si>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</si>
  <si>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</si>
  <si>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</si>
  <si>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</si>
  <si>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</si>
  <si>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</si>
  <si>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</si>
  <si>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</si>
  <si>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</si>
  <si>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</si>
  <si>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</si>
  <si>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</si>
  <si>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</si>
  <si>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</si>
  <si>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</si>
  <si>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</si>
  <si>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</si>
  <si>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</si>
  <si>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</si>
  <si>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</si>
  <si>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</si>
  <si>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</si>
  <si>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</si>
  <si>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</si>
  <si>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</si>
  <si>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</si>
  <si>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</si>
  <si>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</si>
  <si>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</si>
  <si>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</si>
  <si>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</si>
  <si>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</si>
  <si>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</si>
  <si>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</si>
  <si>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</si>
  <si>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</si>
  <si>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</si>
  <si>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</si>
  <si>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</si>
  <si>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</si>
  <si>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</si>
  <si>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</si>
  <si>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</si>
  <si>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</si>
  <si>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</si>
  <si>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</si>
  <si>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</si>
  <si>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</si>
  <si>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</si>
  <si>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</si>
  <si>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</si>
  <si>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</si>
  <si>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</si>
  <si>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</si>
  <si>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</si>
  <si>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</si>
  <si>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</si>
  <si>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</si>
  <si>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</si>
  <si>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</si>
  <si>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</si>
  <si>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</si>
  <si>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</si>
  <si>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</si>
  <si>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</si>
  <si>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</si>
  <si>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</si>
  <si>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</si>
  <si>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</si>
  <si>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</si>
  <si>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</si>
  <si>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</si>
  <si>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</si>
  <si>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</si>
  <si>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</si>
  <si>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</si>
  <si>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</si>
  <si>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</si>
  <si>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</si>
  <si>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</si>
  <si>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</si>
  <si>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</si>
  <si>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</si>
  <si>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</si>
  <si>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</si>
  <si>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</si>
  <si>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</si>
  <si>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</si>
  <si>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</si>
  <si>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</si>
  <si>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</si>
  <si>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</si>
  <si>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</si>
  <si>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</si>
  <si>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</si>
  <si>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</si>
  <si>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</si>
  <si>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</si>
  <si>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</si>
  <si>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</si>
  <si>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</si>
  <si>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</si>
  <si>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</si>
  <si>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</si>
  <si>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</si>
  <si>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</si>
  <si>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</si>
  <si>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</si>
  <si>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</si>
  <si>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</si>
  <si>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</si>
  <si>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</si>
  <si>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</si>
  <si>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</si>
  <si>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</si>
  <si>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</si>
  <si>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</si>
  <si>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</si>
  <si>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</si>
  <si>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</si>
  <si>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</si>
  <si>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</si>
  <si>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</si>
  <si>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</si>
  <si>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</si>
  <si>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</si>
  <si>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</si>
  <si>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</si>
  <si>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</si>
  <si>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</si>
  <si>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</si>
  <si>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</si>
  <si>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</si>
  <si>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</si>
  <si>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</si>
  <si>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</si>
  <si>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</si>
  <si>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</si>
  <si>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</si>
  <si>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</si>
  <si>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</si>
  <si>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</si>
  <si>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</si>
  <si>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</si>
  <si>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</si>
  <si>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</si>
  <si>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</si>
  <si>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</si>
  <si>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</si>
  <si>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</si>
  <si>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</si>
  <si>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</si>
  <si>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</si>
  <si>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</si>
  <si>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</si>
  <si>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</si>
  <si>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</si>
  <si>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</si>
  <si>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</si>
  <si>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</si>
  <si>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</si>
  <si>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</si>
  <si>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</si>
  <si>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</si>
  <si>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</si>
  <si>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</si>
  <si>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</si>
  <si>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</si>
  <si>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</si>
  <si>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</si>
  <si>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</si>
  <si>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</si>
  <si>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</si>
  <si>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</si>
  <si>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</si>
  <si>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</si>
  <si>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</si>
  <si>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</si>
  <si>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</si>
  <si>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</si>
  <si>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</si>
  <si>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</si>
  <si>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</si>
  <si>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</si>
  <si>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</si>
  <si>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</si>
  <si>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</si>
  <si>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</si>
  <si>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</si>
  <si>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</si>
  <si>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</si>
  <si>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</si>
  <si>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</si>
  <si>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</si>
  <si>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</si>
  <si>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</si>
  <si>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</si>
  <si>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</si>
  <si>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</si>
  <si>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</si>
  <si>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</si>
  <si>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</si>
  <si>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</si>
  <si>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</si>
  <si>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</si>
  <si>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</si>
  <si>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</si>
  <si>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</si>
  <si>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</si>
  <si>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</si>
  <si>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</si>
  <si>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</si>
  <si>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</si>
  <si>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</si>
  <si>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</si>
  <si>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</si>
  <si>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</si>
  <si>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</si>
  <si>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</si>
  <si>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</si>
  <si>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</si>
  <si>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</si>
  <si>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</si>
  <si>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</si>
  <si>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</si>
  <si>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</si>
  <si>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</si>
  <si>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</si>
  <si>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</si>
  <si>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</si>
  <si>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</si>
  <si>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</si>
  <si>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</si>
  <si>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</si>
  <si>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</si>
  <si>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</si>
  <si>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</si>
  <si>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</si>
  <si>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</si>
  <si>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</si>
  <si>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</si>
  <si>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</si>
  <si>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</si>
  <si>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</si>
  <si>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</si>
  <si>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</si>
  <si>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</si>
  <si>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</si>
  <si>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</si>
  <si>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</si>
  <si>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</si>
  <si>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</si>
  <si>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</si>
  <si>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</si>
  <si>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</si>
  <si>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</si>
  <si>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</si>
  <si>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</si>
  <si>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</si>
  <si>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</si>
  <si>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</si>
  <si>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</si>
  <si>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</si>
  <si>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</si>
  <si>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</si>
  <si>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</si>
  <si>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</si>
  <si>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</si>
  <si>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</si>
  <si>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</si>
  <si>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</si>
  <si>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</si>
  <si>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</si>
  <si>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</si>
  <si>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</si>
  <si>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</si>
  <si>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</si>
  <si>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</si>
  <si>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</si>
  <si>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</si>
  <si>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</si>
  <si>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</si>
  <si>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</si>
  <si>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</si>
  <si>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</si>
  <si>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</si>
  <si>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</si>
  <si>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</si>
  <si>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</si>
  <si>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</si>
  <si>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</si>
  <si>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</si>
  <si>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</si>
  <si>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</si>
  <si>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</si>
  <si>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</si>
  <si>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</si>
  <si>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</si>
  <si>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</si>
  <si>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</si>
  <si>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</si>
  <si>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</si>
  <si>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</si>
  <si>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</si>
  <si>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</si>
  <si>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</si>
  <si>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</si>
  <si>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</si>
  <si>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</si>
  <si>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</si>
  <si>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</si>
  <si>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</si>
  <si>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</si>
  <si>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</si>
  <si>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</si>
  <si>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</si>
  <si>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</si>
  <si>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</si>
  <si>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</si>
  <si>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</si>
  <si>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</si>
  <si>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</si>
  <si>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</si>
  <si>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</si>
  <si>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</si>
  <si>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</si>
  <si>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</si>
  <si>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</si>
  <si>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</si>
  <si>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</si>
  <si>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</si>
  <si>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</si>
  <si>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</si>
  <si>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</si>
  <si>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</si>
  <si>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</si>
  <si>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</si>
  <si>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</si>
  <si>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</si>
  <si>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</si>
  <si>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</si>
  <si>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</si>
  <si>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</si>
  <si>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</si>
  <si>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</si>
  <si>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</si>
  <si>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</si>
  <si>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</si>
  <si>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</si>
  <si>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</si>
  <si>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</si>
  <si>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</si>
  <si>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</si>
  <si>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</si>
  <si>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</si>
  <si>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</si>
  <si>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</si>
  <si>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</si>
  <si>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</si>
  <si>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</si>
  <si>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</si>
  <si>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</si>
  <si>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</si>
  <si>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</si>
  <si>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</si>
  <si>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</si>
  <si>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</si>
  <si>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</si>
  <si>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</si>
  <si>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</si>
  <si>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</si>
  <si>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</si>
  <si>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</si>
  <si>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</si>
  <si>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</si>
  <si>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</si>
  <si>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</si>
  <si>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</si>
  <si>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</si>
  <si>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</si>
  <si>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</si>
  <si>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</si>
  <si>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</si>
  <si>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</si>
  <si>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</si>
  <si>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</si>
  <si>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</si>
  <si>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</si>
  <si>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</si>
  <si>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</si>
  <si>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</si>
  <si>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</si>
  <si>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</si>
  <si>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</si>
  <si>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</si>
  <si>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</si>
  <si>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</si>
  <si>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</si>
  <si>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</si>
  <si>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</si>
  <si>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</si>
  <si>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</si>
  <si>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</si>
  <si>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</si>
  <si>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</si>
  <si>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</si>
  <si>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</si>
  <si>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</si>
  <si>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</si>
  <si>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</si>
  <si>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</si>
  <si>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</si>
  <si>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</si>
  <si>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</si>
  <si>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</si>
  <si>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</si>
  <si>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</si>
  <si>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</si>
  <si>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</si>
  <si>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</si>
  <si>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</si>
  <si>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</si>
  <si>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</si>
  <si>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</si>
  <si>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</si>
  <si>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</si>
  <si>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</si>
  <si>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</si>
  <si>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</si>
  <si>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</si>
  <si>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</si>
  <si>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</si>
  <si>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</si>
  <si>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</si>
  <si>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</si>
  <si>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</si>
  <si>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</si>
  <si>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</si>
  <si>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</si>
  <si>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</si>
  <si>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</si>
  <si>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</si>
  <si>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</si>
  <si>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</si>
  <si>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</si>
  <si>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</si>
  <si>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</si>
  <si>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</si>
  <si>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</si>
  <si>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</si>
  <si>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</si>
  <si>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</si>
  <si>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</si>
  <si>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</si>
  <si>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</si>
  <si>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</si>
  <si>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</si>
  <si>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</si>
  <si>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</si>
  <si>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</si>
  <si>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</si>
  <si>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</si>
  <si>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</si>
  <si>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</si>
  <si>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</si>
  <si>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</si>
  <si>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</si>
  <si>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</si>
  <si>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</si>
  <si>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</si>
  <si>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</si>
  <si>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</si>
  <si>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</si>
  <si>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</si>
  <si>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</si>
  <si>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</si>
  <si>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</si>
  <si>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</si>
  <si>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</si>
  <si>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</si>
  <si>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</si>
  <si>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</si>
  <si>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</si>
  <si>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</si>
  <si>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</si>
  <si>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</si>
  <si>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</si>
  <si>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</si>
  <si>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</si>
  <si>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</si>
  <si>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</si>
  <si>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</si>
  <si>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</si>
  <si>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</si>
  <si>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</si>
  <si>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</si>
  <si>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</si>
  <si>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</si>
  <si>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</si>
  <si>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</si>
  <si>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</si>
  <si>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</si>
  <si>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</si>
  <si>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</si>
  <si>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</si>
  <si>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</si>
  <si>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</si>
  <si>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</si>
  <si>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</si>
  <si>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</si>
  <si>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</si>
  <si>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</si>
  <si>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</si>
  <si>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</si>
  <si>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</si>
  <si>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</si>
  <si>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</si>
  <si>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</si>
  <si>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</si>
  <si>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</si>
  <si>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</si>
  <si>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</si>
  <si>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</si>
  <si>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</si>
  <si>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</si>
  <si>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</si>
  <si>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</si>
  <si>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</si>
  <si>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</si>
  <si>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</si>
  <si>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</si>
  <si>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</si>
  <si>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</si>
  <si>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</si>
  <si>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</si>
  <si>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</si>
  <si>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</si>
  <si>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</si>
  <si>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</si>
  <si>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</si>
  <si>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</si>
  <si>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</si>
  <si>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</si>
  <si>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</si>
  <si>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</si>
  <si>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</si>
  <si>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</si>
  <si>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</si>
  <si>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</si>
  <si>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</si>
  <si>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</si>
  <si>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</si>
  <si>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</si>
  <si>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</si>
  <si>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</si>
  <si>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</si>
  <si>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</si>
  <si>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</si>
  <si>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</si>
  <si>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</si>
  <si>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</si>
  <si>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</si>
  <si>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</si>
  <si>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</si>
  <si>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</si>
  <si>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</si>
  <si>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</si>
  <si>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</si>
  <si>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</si>
  <si>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</si>
  <si>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</si>
  <si>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</si>
  <si>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</si>
  <si>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</si>
  <si>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</si>
  <si>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</si>
  <si>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</si>
  <si>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</si>
  <si>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</si>
  <si>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</si>
  <si>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</si>
  <si>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</si>
  <si>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</si>
  <si>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</si>
  <si>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</si>
  <si>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</si>
  <si>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</si>
  <si>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</si>
  <si>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</si>
  <si>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</si>
  <si>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</si>
  <si>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</si>
  <si>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</si>
  <si>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</si>
  <si>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</si>
  <si>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</si>
  <si>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</si>
  <si>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</si>
  <si>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</si>
  <si>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</si>
  <si>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</si>
  <si>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</si>
  <si>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</si>
  <si>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</si>
  <si>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</si>
  <si>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</si>
  <si>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</si>
  <si>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</si>
  <si>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</si>
  <si>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</si>
  <si>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</si>
  <si>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</si>
  <si>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</si>
  <si>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</si>
  <si>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</si>
  <si>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</si>
  <si>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</si>
  <si>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</si>
  <si>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</si>
  <si>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</si>
  <si>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</si>
  <si>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</si>
  <si>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</si>
  <si>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</si>
  <si>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</si>
  <si>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</si>
  <si>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</si>
  <si>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</si>
  <si>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</si>
  <si>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</si>
  <si>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</si>
  <si>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</si>
  <si>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</si>
  <si>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</si>
  <si>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</si>
  <si>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</si>
  <si>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</si>
  <si>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</si>
  <si>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</si>
  <si>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</si>
  <si>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</si>
  <si>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</si>
  <si>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</si>
  <si>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</si>
  <si>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</si>
  <si>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</si>
  <si>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</si>
  <si>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</si>
  <si>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</si>
  <si>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</si>
  <si>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</si>
  <si>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</si>
  <si>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</si>
  <si>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</si>
  <si>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</si>
  <si>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</si>
  <si>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</si>
  <si>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</si>
  <si>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</si>
  <si>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</si>
  <si>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</si>
  <si>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</si>
  <si>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</si>
  <si>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</si>
  <si>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</si>
  <si>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</si>
  <si>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</si>
  <si>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</si>
  <si>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</si>
  <si>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</si>
  <si>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</si>
  <si>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</si>
  <si>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</si>
  <si>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</si>
  <si>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</si>
  <si>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</si>
  <si>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</si>
  <si>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</si>
  <si>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</si>
  <si>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</si>
  <si>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</si>
  <si>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</si>
  <si>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</si>
  <si>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</si>
  <si>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</si>
  <si>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</si>
  <si>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</si>
  <si>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</si>
  <si>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</si>
  <si>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</si>
  <si>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</si>
  <si>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</si>
  <si>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</si>
  <si>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</si>
  <si>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</si>
  <si>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</si>
  <si>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</si>
  <si>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</si>
  <si>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</si>
  <si>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</si>
  <si>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</si>
  <si>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</si>
  <si>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</si>
  <si>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</si>
  <si>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</si>
  <si>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</si>
  <si>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</si>
  <si>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</si>
  <si>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</si>
  <si>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</si>
  <si>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</si>
  <si>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</si>
  <si>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</si>
  <si>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</si>
  <si>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</si>
  <si>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</si>
  <si>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</si>
  <si>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</si>
  <si>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</si>
  <si>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</si>
  <si>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</si>
  <si>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</si>
  <si>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</si>
  <si>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</si>
  <si>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</si>
  <si>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</si>
  <si>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</si>
  <si>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</si>
  <si>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</si>
  <si>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</si>
  <si>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</si>
  <si>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</si>
  <si>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</si>
  <si>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</si>
  <si>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</si>
  <si>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</si>
  <si>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</si>
  <si>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</si>
  <si>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</si>
  <si>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</si>
  <si>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</si>
  <si>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</si>
  <si>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</si>
  <si>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</si>
  <si>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</si>
  <si>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</si>
  <si>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</si>
  <si>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</si>
  <si>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</si>
  <si>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</si>
  <si>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</si>
  <si>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</si>
  <si>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</si>
  <si>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</si>
  <si>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</si>
  <si>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</si>
  <si>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</si>
  <si>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</si>
  <si>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</si>
  <si>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</si>
  <si>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</si>
  <si>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</si>
  <si>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</si>
  <si>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</si>
  <si>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</si>
  <si>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</si>
  <si>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</si>
  <si>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</si>
  <si>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</si>
  <si>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</si>
  <si>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</si>
  <si>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</si>
  <si>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</si>
  <si>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</si>
  <si>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</si>
  <si>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</si>
  <si>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</si>
  <si>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</si>
  <si>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</si>
  <si>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</si>
  <si>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</si>
  <si>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</si>
  <si>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</si>
  <si>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</si>
  <si>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</si>
  <si>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</si>
  <si>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</si>
  <si>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</si>
  <si>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</si>
  <si>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</si>
  <si>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</si>
  <si>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</si>
  <si>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</si>
  <si>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</si>
  <si>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</si>
  <si>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</si>
  <si>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</si>
  <si>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</si>
  <si>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</si>
  <si>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</si>
  <si>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</si>
  <si>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</si>
  <si>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</si>
  <si>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</si>
  <si>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</si>
  <si>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</si>
  <si>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</si>
  <si>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</si>
  <si>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</si>
  <si>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</si>
  <si>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</si>
  <si>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</si>
  <si>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</si>
  <si>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</si>
  <si>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</si>
  <si>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</si>
  <si>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</si>
  <si>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</si>
  <si>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</si>
  <si>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</si>
  <si>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</si>
  <si>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</si>
  <si>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</si>
  <si>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</si>
  <si>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</si>
  <si>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</si>
  <si>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</si>
  <si>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</si>
  <si>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</si>
  <si>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</si>
  <si>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</si>
  <si>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</si>
  <si>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</si>
  <si>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</si>
  <si>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</si>
  <si>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</si>
  <si>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</si>
  <si>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</si>
  <si>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</si>
  <si>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</si>
  <si>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</si>
  <si>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</si>
  <si>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</si>
  <si>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</si>
  <si>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</si>
  <si>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</si>
  <si>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</si>
  <si>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</si>
  <si>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</si>
  <si>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</si>
  <si>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</si>
  <si>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</si>
  <si>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</si>
  <si>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</si>
  <si>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</si>
  <si>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</si>
  <si>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</si>
  <si>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</si>
  <si>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</si>
  <si>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</si>
  <si>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</si>
  <si>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</si>
  <si>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</si>
  <si>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</si>
  <si>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</si>
  <si>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</si>
  <si>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</si>
  <si>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</si>
  <si>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</si>
  <si>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</si>
  <si>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</si>
  <si>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</si>
  <si>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</si>
  <si>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</si>
  <si>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</si>
  <si>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</si>
  <si>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</si>
  <si>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</si>
  <si>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</si>
  <si>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</si>
  <si>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</si>
  <si>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</si>
  <si>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</si>
  <si>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</si>
  <si>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</si>
  <si>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</si>
  <si>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</si>
  <si>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</si>
  <si>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</si>
  <si>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</si>
  <si>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</si>
  <si>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</si>
  <si>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</si>
  <si>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</si>
  <si>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</si>
  <si>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</si>
  <si>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</si>
  <si>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</si>
  <si>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</si>
  <si>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</si>
  <si>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</si>
  <si>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</si>
  <si>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</si>
  <si>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</si>
  <si>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</si>
  <si>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</si>
  <si>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</si>
  <si>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</si>
  <si>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</si>
  <si>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</si>
  <si>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</si>
  <si>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</si>
  <si>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</si>
  <si>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</si>
  <si>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</si>
  <si>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</si>
  <si>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</si>
  <si>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</si>
  <si>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</si>
  <si>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</si>
  <si>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</si>
  <si>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</si>
  <si>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</si>
  <si>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</si>
  <si>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</si>
  <si>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</si>
  <si>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</si>
  <si>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</si>
  <si>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</si>
  <si>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</si>
  <si>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</si>
  <si>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</si>
  <si>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</si>
  <si>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</si>
  <si>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</si>
  <si>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</si>
  <si>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</si>
  <si>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</si>
  <si>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</si>
  <si>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</si>
  <si>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</si>
  <si>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</si>
  <si>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</si>
  <si>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</si>
  <si>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</si>
  <si>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</si>
  <si>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</si>
  <si>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</si>
  <si>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</si>
  <si>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</si>
  <si>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</si>
  <si>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</si>
  <si>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</si>
  <si>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</si>
  <si>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</si>
  <si>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</si>
  <si>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</si>
  <si>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</si>
  <si>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</si>
  <si>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</si>
  <si>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</si>
  <si>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</si>
  <si>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</si>
  <si>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</si>
  <si>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</si>
  <si>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</si>
  <si>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</si>
  <si>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</si>
  <si>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</si>
  <si>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</si>
  <si>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</si>
  <si>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</si>
  <si>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</si>
  <si>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</si>
  <si>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</si>
  <si>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</si>
  <si>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</si>
  <si>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</si>
  <si>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</si>
  <si>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</si>
  <si>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</si>
  <si>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</si>
  <si>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</si>
  <si>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</si>
  <si>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</si>
  <si>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</si>
  <si>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</si>
  <si>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</si>
  <si>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</si>
  <si>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</si>
  <si>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</si>
  <si>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</si>
  <si>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</si>
  <si>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</si>
  <si>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</si>
  <si>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</si>
  <si>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</si>
  <si>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</si>
  <si>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</si>
  <si>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</si>
  <si>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</si>
  <si>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</si>
  <si>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</si>
  <si>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</si>
  <si>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</si>
  <si>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</si>
  <si>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</si>
  <si>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</si>
  <si>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</si>
  <si>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</si>
  <si>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</si>
  <si>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</si>
  <si>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</si>
  <si>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</si>
  <si>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</si>
  <si>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</si>
  <si>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</si>
  <si>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</si>
  <si>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</si>
  <si>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</si>
  <si>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</si>
  <si>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</si>
  <si>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</si>
  <si>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</si>
  <si>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</si>
  <si>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</si>
  <si>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</si>
  <si>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</si>
  <si>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</si>
  <si>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</si>
  <si>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</si>
  <si>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</si>
  <si>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</si>
  <si>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</si>
  <si>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</si>
  <si>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</si>
  <si>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</si>
  <si>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</si>
  <si>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</si>
  <si>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</si>
  <si>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</si>
  <si>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</si>
  <si>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</si>
  <si>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</si>
  <si>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</si>
  <si>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</si>
  <si>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</si>
  <si>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</si>
  <si>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</si>
  <si>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</si>
  <si>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</si>
  <si>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</si>
  <si>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</si>
  <si>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</si>
  <si>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</si>
  <si>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</si>
  <si>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</si>
  <si>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</si>
  <si>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</si>
  <si>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</si>
  <si>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</si>
  <si>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</si>
  <si>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</si>
  <si>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</si>
  <si>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</si>
  <si>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</si>
  <si>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</si>
  <si>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</si>
  <si>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</si>
  <si>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</si>
  <si>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</si>
  <si>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</si>
  <si>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</si>
  <si>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</si>
  <si>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</si>
  <si>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</si>
  <si>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</si>
  <si>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</si>
  <si>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</si>
  <si>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</si>
  <si>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</si>
  <si>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</si>
  <si>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</si>
  <si>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</si>
  <si>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</si>
  <si>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</si>
  <si>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</si>
  <si>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</si>
  <si>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</si>
  <si>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</si>
  <si>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</si>
  <si>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</si>
  <si>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</si>
  <si>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</si>
  <si>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</si>
  <si>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</si>
  <si>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</si>
  <si>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</si>
  <si>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</si>
  <si>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</si>
  <si>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</si>
  <si>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</si>
  <si>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</si>
  <si>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</si>
  <si>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</si>
  <si>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</si>
  <si>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</si>
  <si>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</si>
  <si>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</si>
  <si>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</si>
  <si>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</si>
  <si>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</si>
  <si>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</si>
  <si>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</si>
  <si>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</si>
  <si>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</si>
  <si>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</si>
  <si>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</si>
  <si>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</si>
  <si>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</si>
  <si>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</si>
  <si>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</si>
  <si>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</si>
  <si>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</si>
  <si>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</si>
  <si>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</si>
  <si>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</si>
  <si>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</si>
  <si>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</si>
  <si>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</si>
  <si>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</si>
  <si>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</si>
  <si>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</si>
  <si>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</si>
  <si>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</si>
  <si>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</si>
  <si>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</si>
  <si>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</si>
  <si>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</si>
  <si>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</si>
  <si>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</si>
  <si>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</si>
  <si>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</si>
  <si>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</si>
  <si>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</si>
  <si>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</si>
  <si>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</si>
  <si>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</si>
  <si>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</si>
  <si>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</si>
  <si>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</si>
  <si>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</si>
  <si>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</si>
  <si>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</si>
  <si>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</si>
  <si>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</si>
  <si>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</si>
  <si>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</si>
  <si>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</si>
  <si>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</si>
  <si>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</si>
  <si>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</si>
  <si>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</si>
  <si>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</si>
  <si>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</si>
  <si>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</si>
  <si>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</si>
  <si>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</si>
  <si>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</si>
  <si>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</si>
  <si>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</si>
  <si>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</si>
  <si>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</si>
  <si>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</si>
  <si>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</si>
  <si>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</si>
  <si>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</si>
  <si>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</si>
  <si>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</si>
  <si>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</si>
  <si>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</si>
  <si>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</si>
  <si>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</si>
  <si>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</si>
  <si>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</si>
  <si>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</si>
  <si>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</si>
  <si>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</si>
  <si>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</si>
  <si>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</si>
  <si>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</si>
  <si>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</si>
  <si>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</si>
  <si>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</si>
  <si>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</si>
  <si>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</si>
  <si>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</si>
  <si>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</si>
  <si>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</si>
  <si>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</si>
  <si>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</si>
  <si>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</si>
  <si>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</si>
  <si>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</si>
  <si>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</si>
  <si>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</si>
  <si>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</si>
  <si>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</si>
  <si>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</si>
  <si>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</si>
  <si>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</si>
  <si>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</si>
  <si>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</si>
  <si>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</si>
  <si>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</si>
  <si>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</si>
  <si>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</si>
  <si>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</si>
  <si>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</si>
  <si>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</si>
  <si>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</si>
  <si>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</si>
  <si>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</si>
  <si>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</si>
  <si>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</si>
  <si>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</si>
  <si>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</si>
  <si>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</si>
  <si>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</si>
  <si>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</si>
  <si>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</si>
  <si>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</si>
  <si>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</si>
  <si>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</si>
  <si>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</si>
  <si>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</si>
  <si>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</si>
  <si>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</si>
  <si>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</si>
  <si>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</si>
  <si>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</si>
  <si>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</si>
  <si>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</si>
  <si>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</si>
  <si>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</si>
  <si>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</si>
  <si>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</si>
  <si>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</si>
  <si>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</si>
  <si>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</si>
  <si>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</si>
  <si>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</si>
  <si>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</si>
  <si>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</si>
  <si>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</si>
  <si>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</si>
  <si>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</si>
  <si>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</si>
  <si>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</si>
  <si>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</si>
  <si>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</si>
  <si>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</si>
  <si>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</si>
  <si>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</si>
  <si>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</si>
  <si>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</si>
  <si>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</si>
  <si>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</si>
  <si>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</si>
  <si>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</si>
  <si>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</si>
  <si>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</si>
  <si>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</si>
  <si>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</si>
  <si>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</si>
  <si>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</si>
  <si>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</si>
  <si>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</si>
  <si>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</si>
  <si>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</si>
  <si>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</si>
  <si>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</si>
  <si>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</si>
  <si>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</si>
  <si>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</si>
  <si>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</si>
  <si>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</si>
  <si>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</si>
  <si>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</si>
  <si>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</si>
  <si>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</si>
  <si>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</si>
  <si>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</si>
  <si>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</si>
  <si>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</si>
  <si>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</si>
  <si>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</si>
  <si>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</si>
  <si>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</si>
  <si>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</si>
  <si>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</si>
  <si>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</si>
  <si>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</si>
  <si>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</si>
  <si>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</si>
  <si>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</si>
  <si>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</si>
  <si>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</si>
  <si>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</si>
  <si>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</si>
  <si>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</si>
  <si>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</si>
  <si>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</si>
  <si>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</si>
  <si>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</si>
  <si>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</si>
  <si>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</si>
  <si>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</si>
  <si>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</si>
  <si>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</si>
  <si>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</si>
  <si>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</si>
  <si>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</si>
  <si>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</si>
  <si>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</si>
  <si>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</si>
  <si>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</si>
  <si>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</si>
  <si>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</si>
  <si>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</si>
  <si>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</si>
  <si>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</si>
  <si>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</si>
  <si>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</si>
  <si>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</si>
  <si>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</si>
  <si>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</si>
  <si>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</si>
  <si>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</si>
  <si>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</si>
  <si>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</si>
  <si>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</si>
  <si>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</si>
  <si>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</si>
  <si>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</si>
  <si>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</si>
  <si>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</si>
  <si>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</si>
  <si>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</si>
  <si>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</si>
  <si>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</si>
  <si>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</si>
  <si>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</si>
  <si>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</si>
  <si>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</si>
  <si>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</si>
  <si>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</si>
  <si>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</si>
  <si>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</si>
  <si>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</si>
  <si>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</si>
  <si>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</si>
  <si>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</si>
  <si>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</si>
  <si>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</si>
  <si>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</si>
  <si>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</si>
  <si>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</si>
  <si>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</si>
  <si>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</si>
  <si>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</si>
  <si>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</si>
  <si>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</si>
  <si>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</si>
  <si>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</si>
  <si>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</si>
  <si>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</si>
  <si>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</si>
  <si>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</si>
  <si>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</si>
  <si>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</si>
  <si>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</si>
  <si>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</si>
  <si>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</si>
  <si>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</si>
  <si>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</si>
  <si>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</si>
  <si>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</si>
  <si>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</si>
  <si>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</si>
  <si>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</si>
  <si>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</si>
  <si>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</si>
  <si>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</si>
  <si>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</si>
  <si>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</si>
  <si>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</si>
  <si>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</si>
  <si>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</si>
  <si>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</si>
  <si>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</si>
  <si>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</si>
  <si>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</si>
  <si>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</si>
  <si>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</si>
  <si>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</si>
  <si>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</si>
  <si>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</si>
  <si>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</si>
  <si>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</si>
  <si>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</si>
  <si>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</si>
  <si>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</si>
  <si>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</si>
  <si>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</si>
  <si>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</si>
  <si>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</si>
  <si>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</si>
  <si>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</si>
  <si>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</si>
  <si>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</si>
  <si>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</si>
  <si>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</si>
  <si>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</si>
  <si>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</si>
  <si>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</si>
  <si>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</si>
  <si>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</si>
  <si>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</si>
  <si>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</si>
  <si>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</si>
  <si>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</si>
  <si>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</si>
  <si>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</si>
  <si>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</si>
  <si>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</si>
  <si>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</si>
  <si>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</si>
  <si>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</si>
  <si>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</si>
  <si>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</si>
  <si>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</si>
  <si>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</si>
  <si>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</si>
  <si>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</si>
  <si>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</si>
  <si>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</si>
  <si>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</si>
  <si>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</si>
  <si>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</si>
  <si>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</si>
  <si>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</si>
  <si>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</si>
  <si>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</si>
  <si>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</si>
  <si>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</si>
  <si>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</si>
  <si>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</si>
  <si>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</si>
  <si>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</si>
  <si>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</si>
  <si>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</si>
  <si>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</si>
  <si>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</si>
  <si>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</si>
  <si>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</si>
  <si>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</si>
  <si>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</si>
  <si>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</si>
  <si>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</si>
  <si>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</si>
  <si>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</si>
  <si>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</si>
  <si>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</si>
  <si>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</si>
  <si>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</si>
  <si>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</si>
  <si>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</si>
  <si>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</si>
  <si>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</si>
  <si>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</si>
  <si>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</si>
  <si>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</si>
  <si>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</si>
  <si>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</si>
  <si>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</si>
  <si>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</si>
  <si>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</si>
  <si>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</si>
  <si>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</si>
  <si>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</si>
  <si>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</si>
  <si>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</si>
  <si>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</si>
  <si>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</si>
  <si>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</si>
  <si>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</si>
  <si>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</si>
  <si>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</si>
  <si>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</si>
  <si>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</si>
  <si>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</si>
  <si>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</si>
  <si>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</si>
  <si>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</si>
  <si>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</si>
  <si>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</si>
  <si>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</si>
  <si>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</si>
  <si>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</si>
  <si>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</si>
  <si>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</si>
  <si>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</si>
  <si>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</si>
  <si>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</si>
  <si>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</si>
  <si>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</si>
  <si>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</si>
  <si>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</si>
  <si>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</si>
  <si>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</si>
  <si>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</si>
  <si>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</si>
  <si>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</si>
  <si>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</si>
  <si>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</si>
  <si>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</si>
  <si>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</si>
  <si>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</si>
  <si>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</si>
  <si>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</si>
  <si>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</si>
  <si>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</si>
  <si>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</si>
  <si>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</si>
  <si>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</si>
  <si>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</si>
  <si>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</si>
  <si>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</si>
  <si>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</si>
  <si>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</si>
  <si>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</si>
  <si>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</si>
  <si>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</si>
  <si>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</si>
  <si>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</si>
  <si>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</si>
  <si>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</si>
  <si>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</si>
  <si>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</si>
  <si>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</si>
  <si>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</si>
  <si>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</si>
  <si>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</si>
  <si>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</si>
  <si>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</si>
  <si>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</si>
  <si>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</si>
  <si>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</si>
  <si>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</si>
  <si>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</si>
  <si>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</si>
  <si>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</si>
  <si>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</si>
  <si>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</si>
  <si>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</si>
  <si>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</si>
  <si>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</si>
  <si>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</si>
  <si>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</si>
  <si>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</si>
  <si>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</si>
  <si>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</si>
  <si>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</si>
  <si>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</si>
  <si>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</si>
  <si>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</si>
  <si>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</si>
  <si>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</si>
  <si>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</si>
  <si>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</si>
  <si>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</si>
  <si>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</si>
  <si>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</si>
  <si>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</si>
  <si>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</si>
  <si>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</si>
  <si>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</si>
  <si>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</si>
  <si>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</si>
  <si>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</si>
  <si>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</si>
  <si>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</si>
  <si>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</si>
  <si>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</si>
  <si>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</si>
  <si>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</si>
  <si>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</si>
  <si>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</si>
  <si>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</si>
  <si>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</si>
  <si>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</si>
  <si>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</si>
  <si>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</si>
  <si>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</si>
  <si>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</si>
  <si>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</si>
  <si>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</si>
  <si>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</si>
  <si>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</si>
  <si>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</si>
  <si>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</si>
  <si>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</si>
  <si>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</si>
  <si>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</si>
  <si>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</si>
  <si>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</si>
  <si>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</si>
  <si>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</si>
  <si>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</si>
  <si>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</si>
  <si>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</si>
  <si>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</si>
  <si>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</si>
  <si>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</si>
  <si>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</si>
  <si>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</si>
  <si>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</si>
  <si>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</si>
  <si>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</si>
  <si>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</si>
  <si>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</si>
  <si>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</si>
  <si>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</si>
  <si>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</si>
  <si>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</si>
  <si>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</si>
  <si>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</si>
  <si>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</si>
  <si>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</si>
  <si>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</si>
  <si>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</si>
  <si>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</si>
  <si>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</si>
  <si>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</si>
  <si>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</si>
  <si>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</si>
  <si>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</si>
  <si>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</si>
  <si>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</si>
  <si>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</si>
  <si>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</si>
  <si>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</si>
  <si>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</si>
  <si>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</si>
  <si>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</si>
  <si>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</si>
  <si>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</si>
  <si>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</si>
  <si>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</si>
  <si>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</si>
  <si>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</si>
  <si>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</si>
  <si>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</si>
  <si>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</si>
  <si>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</si>
  <si>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</si>
  <si>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</si>
  <si>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</si>
  <si>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</si>
  <si>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</si>
  <si>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</si>
  <si>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</si>
  <si>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</si>
  <si>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</si>
  <si>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</si>
  <si>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</si>
  <si>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</si>
  <si>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</si>
  <si>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</si>
  <si>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</si>
  <si>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</si>
  <si>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</si>
  <si>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</si>
  <si>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</si>
  <si>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</si>
  <si>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</si>
  <si>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</si>
  <si>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</si>
  <si>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</si>
  <si>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</si>
  <si>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</si>
  <si>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</si>
  <si>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</si>
  <si>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</si>
  <si>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</si>
  <si>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</si>
  <si>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</si>
  <si>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</si>
  <si>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</si>
  <si>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</si>
  <si>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</si>
  <si>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</si>
  <si>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</si>
  <si>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</si>
  <si>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</si>
  <si>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</si>
  <si>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</si>
  <si>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</si>
  <si>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</si>
  <si>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</si>
  <si>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</si>
  <si>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</si>
  <si>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</si>
  <si>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</si>
  <si>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</si>
  <si>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</si>
  <si>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</si>
  <si>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</si>
  <si>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</si>
  <si>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</si>
  <si>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</si>
  <si>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</si>
  <si>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</si>
  <si>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</si>
  <si>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</si>
  <si>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</si>
  <si>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</si>
  <si>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</si>
  <si>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</si>
  <si>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</si>
  <si>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</si>
  <si>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</si>
  <si>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</si>
  <si>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</si>
  <si>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</si>
  <si>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</si>
  <si>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</si>
  <si>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</si>
  <si>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</si>
  <si>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</si>
  <si>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</si>
  <si>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</si>
  <si>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</si>
  <si>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</si>
  <si>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</si>
  <si>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</si>
  <si>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</si>
  <si>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</si>
  <si>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</si>
  <si>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</si>
  <si>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</si>
  <si>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</si>
  <si>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</si>
  <si>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</si>
  <si>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</si>
  <si>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</si>
  <si>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</si>
  <si>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</si>
  <si>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</si>
  <si>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</si>
  <si>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</si>
  <si>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</si>
  <si>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</si>
  <si>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</si>
  <si>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</si>
  <si>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</si>
  <si>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</si>
  <si>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</si>
  <si>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</si>
  <si>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</si>
  <si>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</si>
  <si>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</si>
  <si>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</si>
  <si>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</si>
  <si>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</si>
  <si>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</si>
  <si>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</si>
  <si>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</si>
  <si>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</si>
  <si>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</si>
  <si>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</si>
  <si>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</si>
  <si>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</si>
  <si>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</si>
  <si>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</si>
  <si>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</si>
  <si>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</si>
  <si>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</si>
  <si>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</si>
  <si>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</si>
  <si>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</si>
  <si>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</si>
  <si>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</si>
  <si>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</si>
  <si>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</si>
  <si>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</si>
  <si>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</si>
  <si>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</si>
  <si>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</si>
  <si>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</si>
  <si>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</si>
  <si>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</si>
  <si>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</si>
  <si>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</si>
  <si>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</si>
  <si>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</si>
  <si>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</si>
  <si>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</si>
  <si>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</si>
  <si>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</si>
  <si>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</si>
  <si>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</si>
  <si>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</si>
  <si>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</si>
  <si>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</si>
  <si>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</si>
  <si>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</si>
  <si>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</si>
  <si>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</si>
  <si>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</si>
  <si>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</si>
  <si>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</si>
  <si>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</si>
  <si>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</si>
  <si>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</si>
  <si>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</si>
  <si>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</si>
  <si>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</si>
  <si>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</si>
  <si>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</si>
  <si>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</si>
  <si>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</si>
  <si>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</si>
  <si>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</si>
  <si>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</si>
  <si>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</si>
  <si>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</si>
  <si>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</si>
  <si>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</si>
  <si>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</si>
  <si>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</si>
  <si>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</si>
  <si>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</si>
  <si>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</si>
  <si>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</si>
  <si>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</si>
  <si>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</si>
  <si>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</si>
  <si>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</si>
  <si>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</si>
  <si>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</si>
  <si>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</si>
  <si>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</si>
  <si>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</si>
  <si>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</si>
  <si>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</si>
  <si>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</si>
  <si>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</si>
  <si>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</si>
  <si>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</si>
  <si>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</si>
  <si>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</si>
  <si>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</si>
  <si>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</si>
  <si>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</si>
  <si>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</si>
  <si>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</si>
  <si>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</si>
  <si>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</si>
  <si>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</si>
  <si>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</si>
  <si>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</si>
  <si>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</si>
  <si>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</si>
  <si>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</si>
  <si>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</si>
  <si>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</si>
  <si>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</si>
  <si>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</si>
  <si>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</si>
  <si>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</si>
  <si>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</si>
  <si>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</si>
  <si>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</si>
  <si>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</si>
  <si>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</si>
  <si>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</si>
  <si>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</si>
  <si>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</si>
  <si>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</si>
  <si>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</si>
  <si>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</si>
  <si>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</si>
  <si>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</si>
  <si>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</si>
  <si>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</si>
  <si>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</si>
  <si>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</si>
  <si>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</si>
  <si>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</si>
  <si>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</si>
  <si>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</si>
  <si>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</si>
  <si>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</si>
  <si>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</si>
  <si>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</si>
  <si>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</si>
  <si>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</si>
  <si>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</si>
  <si>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</si>
  <si>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</si>
  <si>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</si>
  <si>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</si>
  <si>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</si>
  <si>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</si>
  <si>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</si>
  <si>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</si>
  <si>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</si>
  <si>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</si>
  <si>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</si>
  <si>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</si>
  <si>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</si>
  <si>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</si>
  <si>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</si>
  <si>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</si>
  <si>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</si>
  <si>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</si>
  <si>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</si>
  <si>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</si>
  <si>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</si>
  <si>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</si>
  <si>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</si>
  <si>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</si>
  <si>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</si>
  <si>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</si>
  <si>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</si>
  <si>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</si>
  <si>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</si>
  <si>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</si>
  <si>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</si>
  <si>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</si>
  <si>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</si>
  <si>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</si>
  <si>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</si>
  <si>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</si>
  <si>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</si>
  <si>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</si>
  <si>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</si>
  <si>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</si>
  <si>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</si>
  <si>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</si>
  <si>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</si>
  <si>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</si>
  <si>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</si>
  <si>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</si>
  <si>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</si>
  <si>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</si>
  <si>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</si>
  <si>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</si>
  <si>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</si>
  <si>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</si>
  <si>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</si>
  <si>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</si>
  <si>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</si>
  <si>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</si>
  <si>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</si>
  <si>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</si>
  <si>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</si>
  <si>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</si>
  <si>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</si>
  <si>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</si>
  <si>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</si>
  <si>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</si>
  <si>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</si>
  <si>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</si>
  <si>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</si>
  <si>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</si>
  <si>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</si>
  <si>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</si>
  <si>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</si>
  <si>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</si>
  <si>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</si>
  <si>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</si>
  <si>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</si>
  <si>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</si>
  <si>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</si>
  <si>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</si>
  <si>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</si>
  <si>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</si>
  <si>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</si>
  <si>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</si>
  <si>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</si>
  <si>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</si>
  <si>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</si>
  <si>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</si>
  <si>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</si>
  <si>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</si>
  <si>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</si>
  <si>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</si>
  <si>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</si>
  <si>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</si>
  <si>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</si>
  <si>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</si>
  <si>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</si>
  <si>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</si>
  <si>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</si>
  <si>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</si>
  <si>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</si>
  <si>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</si>
  <si>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</si>
  <si>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</si>
  <si>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</si>
  <si>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</si>
  <si>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</si>
  <si>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</si>
  <si>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</si>
  <si>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</si>
  <si>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</si>
  <si>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</si>
  <si>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</si>
  <si>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</si>
  <si>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</si>
  <si>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</si>
  <si>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</si>
  <si>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</si>
  <si>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</si>
  <si>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</si>
  <si>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</si>
  <si>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</si>
  <si>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</si>
  <si>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</si>
  <si>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</si>
  <si>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</si>
  <si>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</si>
  <si>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</si>
  <si>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</si>
  <si>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</si>
  <si>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</si>
  <si>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</si>
  <si>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</si>
  <si>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</si>
  <si>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</si>
  <si>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</si>
  <si>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</si>
  <si>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</si>
  <si>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</si>
  <si>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</si>
  <si>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</si>
  <si>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</si>
  <si>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</si>
  <si>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</si>
  <si>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</si>
  <si>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</si>
  <si>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</si>
  <si>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</si>
  <si>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</si>
  <si>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</si>
  <si>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</si>
  <si>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</si>
  <si>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</si>
  <si>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</si>
  <si>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</si>
  <si>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</si>
  <si>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</si>
  <si>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</si>
  <si>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</si>
  <si>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</si>
  <si>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</si>
  <si>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</si>
  <si>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</si>
  <si>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</si>
  <si>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</si>
  <si>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</si>
  <si>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</si>
  <si>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</si>
  <si>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</si>
  <si>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</si>
  <si>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</si>
  <si>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</si>
  <si>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</si>
  <si>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</si>
  <si>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</si>
  <si>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</si>
  <si>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</si>
  <si>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</si>
  <si>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</si>
  <si>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</si>
  <si>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</si>
  <si>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</si>
  <si>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</si>
  <si>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</si>
  <si>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</si>
  <si>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</si>
  <si>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</si>
  <si>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</si>
  <si>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</si>
  <si>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</si>
  <si>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</si>
  <si>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</si>
  <si>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</si>
  <si>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</si>
  <si>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</si>
  <si>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</si>
  <si>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</si>
  <si>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</si>
  <si>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</si>
  <si>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</si>
  <si>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</si>
  <si>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</si>
  <si>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</si>
  <si>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</si>
  <si>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</si>
  <si>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</si>
  <si>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</si>
  <si>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</si>
  <si>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</si>
  <si>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</si>
  <si>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</si>
  <si>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</si>
  <si>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</si>
  <si>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</si>
  <si>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</si>
  <si>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</si>
  <si>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</si>
  <si>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</si>
  <si>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</si>
  <si>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</si>
  <si>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</si>
  <si>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</si>
  <si>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</si>
  <si>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</si>
  <si>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</si>
  <si>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</si>
  <si>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</si>
  <si>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</si>
  <si>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</si>
  <si>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</si>
  <si>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</si>
  <si>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</si>
  <si>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</si>
  <si>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</si>
  <si>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</si>
  <si>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</si>
  <si>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</si>
  <si>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</si>
  <si>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</si>
  <si>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</si>
  <si>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</si>
  <si>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</si>
  <si>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</si>
  <si>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</si>
  <si>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</si>
  <si>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</si>
  <si>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</si>
  <si>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</si>
  <si>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</si>
  <si>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</si>
  <si>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</si>
  <si>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</si>
  <si>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</si>
  <si>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</si>
  <si>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</si>
  <si>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</si>
  <si>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</si>
  <si>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</si>
  <si>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</si>
  <si>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</si>
  <si>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</si>
  <si>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</si>
  <si>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</si>
  <si>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</si>
  <si>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</si>
  <si>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</si>
  <si>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</si>
  <si>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</si>
  <si>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</si>
  <si>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</si>
  <si>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</si>
  <si>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</si>
  <si>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</si>
  <si>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</si>
  <si>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</si>
  <si>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</si>
  <si>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</si>
  <si>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</si>
  <si>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</si>
  <si>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</si>
  <si>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</si>
  <si>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</si>
  <si>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</si>
  <si>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</si>
  <si>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</si>
  <si>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</si>
  <si>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</si>
  <si>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</si>
  <si>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</si>
  <si>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</si>
  <si>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</si>
  <si>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</si>
  <si>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</si>
  <si>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</si>
  <si>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</si>
  <si>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</si>
  <si>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</si>
  <si>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</si>
  <si>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</si>
  <si>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</si>
  <si>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</si>
  <si>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</si>
  <si>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</si>
  <si>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</si>
  <si>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</si>
  <si>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</si>
  <si>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</si>
  <si>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</si>
  <si>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</si>
  <si>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</si>
  <si>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</si>
  <si>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</si>
  <si>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</si>
  <si>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</si>
  <si>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</si>
  <si>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</si>
  <si>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</si>
  <si>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</si>
  <si>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</si>
  <si>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</si>
  <si>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</si>
  <si>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</si>
  <si>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</si>
  <si>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</si>
  <si>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</si>
  <si>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</si>
  <si>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</si>
  <si>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</si>
  <si>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</si>
  <si>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</si>
  <si>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</si>
  <si>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</si>
  <si>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</si>
  <si>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</si>
  <si>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</si>
  <si>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</si>
  <si>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</si>
  <si>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</si>
  <si>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</si>
  <si>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</si>
  <si>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</si>
  <si>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</si>
  <si>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</si>
  <si>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</si>
  <si>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</si>
  <si>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</si>
  <si>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</si>
  <si>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</si>
  <si>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</si>
  <si>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</si>
  <si>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</si>
  <si>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</si>
  <si>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</si>
  <si>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</si>
  <si>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</si>
  <si>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</si>
  <si>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</si>
  <si>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</si>
  <si>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</si>
  <si>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</si>
  <si>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</si>
  <si>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</si>
  <si>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</si>
  <si>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</si>
  <si>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</si>
  <si>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</si>
  <si>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</si>
  <si>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</si>
  <si>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</si>
  <si>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</si>
  <si>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</si>
  <si>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</si>
  <si>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</si>
  <si>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</si>
  <si>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</si>
  <si>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</si>
  <si>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</si>
  <si>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</si>
  <si>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</si>
  <si>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</si>
  <si>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</si>
  <si>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</si>
  <si>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</si>
  <si>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</si>
  <si>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</si>
  <si>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</si>
  <si>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</si>
  <si>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</si>
  <si>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</si>
  <si>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</si>
  <si>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</si>
  <si>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</si>
  <si>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</si>
  <si>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</si>
  <si>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</si>
  <si>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</si>
  <si>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</si>
  <si>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</si>
  <si>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</si>
  <si>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</si>
  <si>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</si>
  <si>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</si>
  <si>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</si>
  <si>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</si>
  <si>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</si>
  <si>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</si>
  <si>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</si>
  <si>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</si>
  <si>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</si>
  <si>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</si>
  <si>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</si>
  <si>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</si>
  <si>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</si>
  <si>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</si>
  <si>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</si>
  <si>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</si>
  <si>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</si>
  <si>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</si>
  <si>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</si>
  <si>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</si>
  <si>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</si>
  <si>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</si>
  <si>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</si>
  <si>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</si>
  <si>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</si>
  <si>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</si>
  <si>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</si>
  <si>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</si>
  <si>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</si>
  <si>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</si>
  <si>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</si>
  <si>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</si>
  <si>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</si>
  <si>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</si>
  <si>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</si>
  <si>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</si>
  <si>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</si>
  <si>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</si>
  <si>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</si>
  <si>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</si>
  <si>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</si>
  <si>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</si>
  <si>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</si>
  <si>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</si>
  <si>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</si>
  <si>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</si>
  <si>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</si>
  <si>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</si>
  <si>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</si>
  <si>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</si>
  <si>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</si>
  <si>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</si>
  <si>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</si>
  <si>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</si>
  <si>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</si>
  <si>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</si>
  <si>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</si>
  <si>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</si>
  <si>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</si>
  <si>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</si>
  <si>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</si>
  <si>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</si>
  <si>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</si>
  <si>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</si>
  <si>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</si>
  <si>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</si>
  <si>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</si>
  <si>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</si>
  <si>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</si>
  <si>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</si>
  <si>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</si>
  <si>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</si>
  <si>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</si>
  <si>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</si>
  <si>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</si>
  <si>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</si>
  <si>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</si>
  <si>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</si>
  <si>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</si>
  <si>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</si>
  <si>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</si>
  <si>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</si>
  <si>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</si>
  <si>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</si>
  <si>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</si>
  <si>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</si>
  <si>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</si>
  <si>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</si>
  <si>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</si>
  <si>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</si>
  <si>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</si>
  <si>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</si>
  <si>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</si>
  <si>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</si>
  <si>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</si>
  <si>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</si>
  <si>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</si>
  <si>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</si>
  <si>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</si>
  <si>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</si>
  <si>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</si>
  <si>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</si>
  <si>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</si>
  <si>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</si>
  <si>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</si>
  <si>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</si>
  <si>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</si>
  <si>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</si>
  <si>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</si>
  <si>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</si>
  <si>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</si>
  <si>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</si>
  <si>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</si>
  <si>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</si>
  <si>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</si>
  <si>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</si>
  <si>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</si>
  <si>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</si>
  <si>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</si>
  <si>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</si>
  <si>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</si>
  <si>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</si>
  <si>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</si>
  <si>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</si>
  <si>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</si>
  <si>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</si>
  <si>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</si>
  <si>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</si>
  <si>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</si>
  <si>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</si>
  <si>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</si>
  <si>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</si>
  <si>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</si>
  <si>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</si>
  <si>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</si>
  <si>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</si>
  <si>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</si>
  <si>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</si>
  <si>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</si>
  <si>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</si>
  <si>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</si>
  <si>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</si>
  <si>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</si>
  <si>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</si>
  <si>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</si>
  <si>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</si>
  <si>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</si>
  <si>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</si>
  <si>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</si>
  <si>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</si>
  <si>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</si>
  <si>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</si>
  <si>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</si>
  <si>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</si>
  <si>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</si>
  <si>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</si>
  <si>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</si>
  <si>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</si>
  <si>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</si>
  <si>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</si>
  <si>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</si>
  <si>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</si>
  <si>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</si>
  <si>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</si>
  <si>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</si>
  <si>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</si>
  <si>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</si>
  <si>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</si>
  <si>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</si>
  <si>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</si>
  <si>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</si>
  <si>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</si>
  <si>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</si>
  <si>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</si>
  <si>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</si>
  <si>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</si>
  <si>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</si>
  <si>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</si>
  <si>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</si>
  <si>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</si>
  <si>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</si>
  <si>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</si>
  <si>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</si>
  <si>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</si>
  <si>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</si>
  <si>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</si>
  <si>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</si>
  <si>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</si>
  <si>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</si>
  <si>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</si>
  <si>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</si>
  <si>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</si>
  <si>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</si>
  <si>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</si>
  <si>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</si>
  <si>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</si>
  <si>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</si>
  <si>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</si>
  <si>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</si>
  <si>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</si>
  <si>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</si>
  <si>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</si>
  <si>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</si>
  <si>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</si>
  <si>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</si>
  <si>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</si>
  <si>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</si>
  <si>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</si>
  <si>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</si>
  <si>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</si>
  <si>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</si>
  <si>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</si>
  <si>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</si>
  <si>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</si>
  <si>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</si>
  <si>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</si>
  <si>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</si>
  <si>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</si>
  <si>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</si>
  <si>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</si>
  <si>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</si>
  <si>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</si>
  <si>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</si>
  <si>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</si>
  <si>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</si>
  <si>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</si>
  <si>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</si>
  <si>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</si>
  <si>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</si>
  <si>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</si>
  <si>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</si>
  <si>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</si>
  <si>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</si>
  <si>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</si>
  <si>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</si>
  <si>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</si>
  <si>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</si>
  <si>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</si>
  <si>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</si>
  <si>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</si>
  <si>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</si>
  <si>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</si>
  <si>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</si>
  <si>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</si>
  <si>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</si>
  <si>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</si>
  <si>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</si>
  <si>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</si>
  <si>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</si>
  <si>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</si>
  <si>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</si>
  <si>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</si>
  <si>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</si>
  <si>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</si>
  <si>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</si>
  <si>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</si>
  <si>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</si>
  <si>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</si>
  <si>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</si>
  <si>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</si>
  <si>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</si>
  <si>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</si>
  <si>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</si>
  <si>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</si>
  <si>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</si>
  <si>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</si>
  <si>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</si>
  <si>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</si>
  <si>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</si>
  <si>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</si>
  <si>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</si>
  <si>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</si>
  <si>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</si>
  <si>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</si>
  <si>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</si>
  <si>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</si>
  <si>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</si>
  <si>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</si>
  <si>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</si>
  <si>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</si>
  <si>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</si>
  <si>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</si>
  <si>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</si>
  <si>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</si>
  <si>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</si>
  <si>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</si>
  <si>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</si>
  <si>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</si>
  <si>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</si>
  <si>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</si>
  <si>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</si>
  <si>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</si>
  <si>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</si>
  <si>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</si>
  <si>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</si>
  <si>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</si>
  <si>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</si>
  <si>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</si>
  <si>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</si>
  <si>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</si>
  <si>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</si>
  <si>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</si>
  <si>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</si>
  <si>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</si>
  <si>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</si>
  <si>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</si>
  <si>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</si>
  <si>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</si>
  <si>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</si>
  <si>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</si>
  <si>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</si>
  <si>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</si>
  <si>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</si>
  <si>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</si>
  <si>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</si>
  <si>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</si>
  <si>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</si>
  <si>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</si>
  <si>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</si>
  <si>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</si>
  <si>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</si>
  <si>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</si>
  <si>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</si>
  <si>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</si>
  <si>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</si>
  <si>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</si>
  <si>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</si>
  <si>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</si>
  <si>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</si>
  <si>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</si>
  <si>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</si>
  <si>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</si>
  <si>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</si>
  <si>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</si>
  <si>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</si>
  <si>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</si>
  <si>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</si>
  <si>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</si>
  <si>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</si>
  <si>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</si>
  <si>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</si>
  <si>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</si>
  <si>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</si>
  <si>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</si>
  <si>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</si>
  <si>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</si>
  <si>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</si>
  <si>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</si>
  <si>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</si>
  <si>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</si>
  <si>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</si>
  <si>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</si>
  <si>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</si>
  <si>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</si>
  <si>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</si>
  <si>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</si>
  <si>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</si>
  <si>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</si>
  <si>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</si>
  <si>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</si>
  <si>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</si>
  <si>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</si>
  <si>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</si>
  <si>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</si>
  <si>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</si>
  <si>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</si>
  <si>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</si>
  <si>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</si>
  <si>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</si>
  <si>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</si>
  <si>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</si>
  <si>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</si>
  <si>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</si>
  <si>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</si>
  <si>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</si>
  <si>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</si>
  <si>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</si>
  <si>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</si>
  <si>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</si>
  <si>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</si>
  <si>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</si>
  <si>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</si>
  <si>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</si>
  <si>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</si>
  <si>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</si>
  <si>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</si>
  <si>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</si>
  <si>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</si>
  <si>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</si>
  <si>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</si>
  <si>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</si>
  <si>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</si>
  <si>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</si>
  <si>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</si>
  <si>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</si>
  <si>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</si>
  <si>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</si>
  <si>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</si>
  <si>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</si>
  <si>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</si>
  <si>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</si>
  <si>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</si>
  <si>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</si>
  <si>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</si>
  <si>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</si>
  <si>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</si>
  <si>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</si>
  <si>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</si>
  <si>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</si>
  <si>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</si>
  <si>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</si>
  <si>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</si>
  <si>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</si>
  <si>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</si>
  <si>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</si>
  <si>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</si>
  <si>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</si>
  <si>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</si>
  <si>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</si>
  <si>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</si>
  <si>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</si>
  <si>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</si>
  <si>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</si>
  <si>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</si>
  <si>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</si>
  <si>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</si>
  <si>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</si>
  <si>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</si>
  <si>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</si>
  <si>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</si>
  <si>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</si>
  <si>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</si>
  <si>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</si>
  <si>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</si>
  <si>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</si>
  <si>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</si>
  <si>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</si>
  <si>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</si>
  <si>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</si>
  <si>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</si>
  <si>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</si>
  <si>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</si>
  <si>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</si>
  <si>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</si>
  <si>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</si>
  <si>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</si>
  <si>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</si>
  <si>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</si>
  <si>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</si>
  <si>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</si>
  <si>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</si>
  <si>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</si>
  <si>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</si>
  <si>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</si>
  <si>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</si>
  <si>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</si>
  <si>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</si>
  <si>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</si>
  <si>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</si>
  <si>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</si>
  <si>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</si>
  <si>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</si>
  <si>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</si>
  <si>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</si>
  <si>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</si>
  <si>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</si>
  <si>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</si>
  <si>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</si>
  <si>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</si>
  <si>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</si>
  <si>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</si>
  <si>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</si>
  <si>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</si>
  <si>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</si>
  <si>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</si>
  <si>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</si>
  <si>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</si>
  <si>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</si>
  <si>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</si>
  <si>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</si>
  <si>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</si>
  <si>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</si>
  <si>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</si>
  <si>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</si>
  <si>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</si>
  <si>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</si>
  <si>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</si>
  <si>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</si>
  <si>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</si>
  <si>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</si>
  <si>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</si>
  <si>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</si>
  <si>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</si>
  <si>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</si>
  <si>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</si>
  <si>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</si>
  <si>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</si>
  <si>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</si>
  <si>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</si>
  <si>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</si>
  <si>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</si>
  <si>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</si>
  <si>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</si>
  <si>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</si>
  <si>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</si>
  <si>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</si>
  <si>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</si>
  <si>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</si>
  <si>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</si>
  <si>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</si>
  <si>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</si>
  <si>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</si>
  <si>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</si>
  <si>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</si>
  <si>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</si>
  <si>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</si>
  <si>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</si>
  <si>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</si>
  <si>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</si>
  <si>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</si>
  <si>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</si>
  <si>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</si>
  <si>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</si>
  <si>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</si>
  <si>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</si>
  <si>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</si>
  <si>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</si>
  <si>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</si>
  <si>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</si>
  <si>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</si>
  <si>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</si>
  <si>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</si>
  <si>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</si>
  <si>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</si>
  <si>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</si>
  <si>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</si>
  <si>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</si>
  <si>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</si>
  <si>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</si>
  <si>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</si>
  <si>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</si>
  <si>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</si>
  <si>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</si>
  <si>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</si>
  <si>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</si>
  <si>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</si>
  <si>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</si>
  <si>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</si>
  <si>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</si>
  <si>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</si>
  <si>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</si>
  <si>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</si>
  <si>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</si>
  <si>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</si>
  <si>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</si>
  <si>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</si>
  <si>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</si>
  <si>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</si>
  <si>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</si>
  <si>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</si>
  <si>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</si>
  <si>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</si>
  <si>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</si>
  <si>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</si>
  <si>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</si>
  <si>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</si>
  <si>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</si>
  <si>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</si>
  <si>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</si>
  <si>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</si>
  <si>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</si>
  <si>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</si>
  <si>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</si>
  <si>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</si>
  <si>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</si>
  <si>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</si>
  <si>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</si>
  <si>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</si>
  <si>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</si>
  <si>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</si>
  <si>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</si>
  <si>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</si>
  <si>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</si>
  <si>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</si>
  <si>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</si>
  <si>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</si>
  <si>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</si>
  <si>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</si>
  <si>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</si>
  <si>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</si>
  <si>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</si>
  <si>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</si>
  <si>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</si>
  <si>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</si>
  <si>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</si>
  <si>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</si>
  <si>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</si>
  <si>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</si>
  <si>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</si>
  <si>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</si>
  <si>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</si>
  <si>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</si>
  <si>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</si>
  <si>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</si>
  <si>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</si>
  <si>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</si>
  <si>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</si>
  <si>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</si>
  <si>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</si>
  <si>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</si>
  <si>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</si>
  <si>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</si>
  <si>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</si>
  <si>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</si>
  <si>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</si>
  <si>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</si>
  <si>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</si>
  <si>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</si>
  <si>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</si>
  <si>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</si>
  <si>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</si>
  <si>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</si>
  <si>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</si>
  <si>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</si>
  <si>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</si>
  <si>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</si>
  <si>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</si>
  <si>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</si>
  <si>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</si>
  <si>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</si>
  <si>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</si>
  <si>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</si>
  <si>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</si>
  <si>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</si>
  <si>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</si>
  <si>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</si>
  <si>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</si>
  <si>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</si>
  <si>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</si>
  <si>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</si>
  <si>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</si>
  <si>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</si>
  <si>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</si>
  <si>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</si>
  <si>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</si>
  <si>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</si>
  <si>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</si>
  <si>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</si>
  <si>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</si>
  <si>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</si>
  <si>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</si>
  <si>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</si>
  <si>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</si>
  <si>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</si>
  <si>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</si>
  <si>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</si>
  <si>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</si>
  <si>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</si>
  <si>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</si>
  <si>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</si>
  <si>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</si>
  <si>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</si>
  <si>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</si>
  <si>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</si>
  <si>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</si>
  <si>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</si>
  <si>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</si>
  <si>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</si>
  <si>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</si>
  <si>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</si>
  <si>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</si>
  <si>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</si>
  <si>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</si>
  <si>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</si>
  <si>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</si>
  <si>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</si>
  <si>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</si>
  <si>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</si>
  <si>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</si>
  <si>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</si>
  <si>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</si>
  <si>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</si>
  <si>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</si>
  <si>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</si>
  <si>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</si>
  <si>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</si>
  <si>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</si>
  <si>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</si>
  <si>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</si>
  <si>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</si>
  <si>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</si>
  <si>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</si>
  <si>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</si>
  <si>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</si>
  <si>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</si>
  <si>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</si>
  <si>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</si>
  <si>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</si>
  <si>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</si>
  <si>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</si>
  <si>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</si>
  <si>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</si>
  <si>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</si>
  <si>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</si>
  <si>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</si>
  <si>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</si>
  <si>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</si>
  <si>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</si>
  <si>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</si>
  <si>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</si>
  <si>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</si>
  <si>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</si>
  <si>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</si>
  <si>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</si>
  <si>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</si>
  <si>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</si>
  <si>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</si>
  <si>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</si>
  <si>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</si>
  <si>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</si>
  <si>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</si>
  <si>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</si>
  <si>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</si>
  <si>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</si>
  <si>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</si>
  <si>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</si>
  <si>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</si>
  <si>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</si>
  <si>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</si>
  <si>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</si>
  <si>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</si>
  <si>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</si>
  <si>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</si>
  <si>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</si>
  <si>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</si>
  <si>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</si>
  <si>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</si>
  <si>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</si>
  <si>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</si>
  <si>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</si>
  <si>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</si>
  <si>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</si>
  <si>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</si>
  <si>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</si>
  <si>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</si>
  <si>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</si>
  <si>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</si>
  <si>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</si>
  <si>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</si>
  <si>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</si>
  <si>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</si>
  <si>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</si>
  <si>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</si>
  <si>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</si>
  <si>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</si>
  <si>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</si>
  <si>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</si>
  <si>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</si>
  <si>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</si>
  <si>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</si>
  <si>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</si>
  <si>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</si>
  <si>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</si>
  <si>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</si>
  <si>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</si>
  <si>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</si>
  <si>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</si>
  <si>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</si>
  <si>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</si>
  <si>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</si>
  <si>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</si>
  <si>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</si>
  <si>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</si>
  <si>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</si>
  <si>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</si>
  <si>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</si>
  <si>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</si>
  <si>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</si>
  <si>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</si>
  <si>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</si>
  <si>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</si>
  <si>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</si>
  <si>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</si>
  <si>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</si>
  <si>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</si>
  <si>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</si>
  <si>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</si>
  <si>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</si>
  <si>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</si>
  <si>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</si>
  <si>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</si>
  <si>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</si>
  <si>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</si>
  <si>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</si>
  <si>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</si>
  <si>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</si>
  <si>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</si>
  <si>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</si>
  <si>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</si>
  <si>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</si>
  <si>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</si>
  <si>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</si>
  <si>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</si>
  <si>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</si>
  <si>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</si>
  <si>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</si>
  <si>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</si>
  <si>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</si>
  <si>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</si>
  <si>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</si>
  <si>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</si>
  <si>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</si>
  <si>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</si>
  <si>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</si>
  <si>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</si>
  <si>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</si>
  <si>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</si>
  <si>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</si>
  <si>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</si>
  <si>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</si>
  <si>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</si>
  <si>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</si>
  <si>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</si>
  <si>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</si>
  <si>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</si>
  <si>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</si>
  <si>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</si>
  <si>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</si>
  <si>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</si>
  <si>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</si>
  <si>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</si>
  <si>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</si>
  <si>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</si>
  <si>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</si>
  <si>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</si>
  <si>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</si>
  <si>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</si>
  <si>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</si>
  <si>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</si>
  <si>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</si>
  <si>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</si>
  <si>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</si>
  <si>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</si>
  <si>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</si>
  <si>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</si>
  <si>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</si>
  <si>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</si>
  <si>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</si>
  <si>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</si>
  <si>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</si>
  <si>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</si>
  <si>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</si>
  <si>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</si>
  <si>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</si>
  <si>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</si>
  <si>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</si>
  <si>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</si>
  <si>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</si>
  <si>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</si>
  <si>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</si>
  <si>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</si>
  <si>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</si>
  <si>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</si>
  <si>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</si>
  <si>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</si>
  <si>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</si>
  <si>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</si>
  <si>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</si>
  <si>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</si>
  <si>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</si>
  <si>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</si>
  <si>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</si>
  <si>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</si>
  <si>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</si>
  <si>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</si>
  <si>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</si>
  <si>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</si>
  <si>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</si>
  <si>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</si>
  <si>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</si>
  <si>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</si>
  <si>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</si>
  <si>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</si>
  <si>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</si>
  <si>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</si>
  <si>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</si>
  <si>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</si>
  <si>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</si>
  <si>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</si>
  <si>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</si>
  <si>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</si>
  <si>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</si>
  <si>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</si>
  <si>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</si>
  <si>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</si>
  <si>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</si>
  <si>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</si>
  <si>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</si>
  <si>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</si>
  <si>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</si>
  <si>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</si>
  <si>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</si>
  <si>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</si>
  <si>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</si>
  <si>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</si>
  <si>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</si>
  <si>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</si>
  <si>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</si>
  <si>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</si>
  <si>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</si>
  <si>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</si>
  <si>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</si>
  <si>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</si>
  <si>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</si>
  <si>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</si>
  <si>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</si>
  <si>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</si>
  <si>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</si>
  <si>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</si>
  <si>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</si>
  <si>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</si>
  <si>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</si>
  <si>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</si>
  <si>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</si>
  <si>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</si>
  <si>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</si>
  <si>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</si>
  <si>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</si>
  <si>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</si>
  <si>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</si>
  <si>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</si>
  <si>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</si>
  <si>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</si>
  <si>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</si>
  <si>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</si>
  <si>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</si>
  <si>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</si>
  <si>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</si>
  <si>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</si>
  <si>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</si>
  <si>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</si>
  <si>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</si>
  <si>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</si>
  <si>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</si>
  <si>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</si>
  <si>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</si>
  <si>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</si>
  <si>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</si>
  <si>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</si>
  <si>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</si>
  <si>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</si>
  <si>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</si>
  <si>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</si>
  <si>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</si>
  <si>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</si>
  <si>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</si>
  <si>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</si>
  <si>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</si>
  <si>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</si>
  <si>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</si>
  <si>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</si>
  <si>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</si>
  <si>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</si>
  <si>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</si>
  <si>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</si>
  <si>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</si>
  <si>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</si>
  <si>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</si>
  <si>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</si>
  <si>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</si>
  <si>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</si>
  <si>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</si>
  <si>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</si>
  <si>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</si>
  <si>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</si>
  <si>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</si>
  <si>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</si>
  <si>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</si>
  <si>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</si>
  <si>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</si>
  <si>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</si>
  <si>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</si>
  <si>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</si>
  <si>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</si>
  <si>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Number of Accounts</t>
  </si>
  <si>
    <t>Employee Revenue</t>
  </si>
  <si>
    <t>% of Quota</t>
  </si>
  <si>
    <t>Quota Tier</t>
  </si>
  <si>
    <t>Total Commission</t>
  </si>
  <si>
    <t>Total Pay</t>
  </si>
  <si>
    <t>Commission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</si>
  <si>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</si>
  <si>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</si>
  <si>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</si>
  <si>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</si>
  <si>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</si>
  <si>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</si>
  <si>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</si>
  <si>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</si>
  <si>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 Per Account</t>
  </si>
  <si>
    <t>Total Compensation</t>
  </si>
  <si>
    <t>Net Revenue</t>
  </si>
  <si>
    <t>Avg Net Revenue Per Employee</t>
  </si>
  <si>
    <t>Base Assumptions</t>
  </si>
  <si>
    <t>New Assumptions</t>
  </si>
  <si>
    <t>Growth Rate</t>
  </si>
  <si>
    <t>Headcount</t>
  </si>
  <si>
    <t>Strategy 1: Assume consistent compensation structure and no growth in headcount. Optimize by assuming that the company grows its book of business.</t>
  </si>
  <si>
    <t>Strategy 2: Modify the pay structure to boost incentives for employees and maximize net revenue.</t>
  </si>
  <si>
    <t>Strategy 3: Increase the headcount.</t>
  </si>
  <si>
    <t>Strategy 1</t>
  </si>
  <si>
    <t>Strategy 2</t>
  </si>
  <si>
    <t>Strategy 3</t>
  </si>
  <si>
    <t>Baseline (2018)</t>
  </si>
  <si>
    <t>Annual Raise</t>
  </si>
  <si>
    <t>Combined</t>
  </si>
  <si>
    <t>Employee Information</t>
  </si>
  <si>
    <t>Employee Name</t>
  </si>
  <si>
    <t>Job Title</t>
  </si>
  <si>
    <t>Bertie Turpey</t>
  </si>
  <si>
    <t>Compensation Information</t>
  </si>
  <si>
    <t>2018 Base Salary</t>
  </si>
  <si>
    <t>2018 Commission</t>
  </si>
  <si>
    <t>2018 Total Pay</t>
  </si>
  <si>
    <t>Benchmark Data</t>
  </si>
  <si>
    <t>Benchmark Base Salary</t>
  </si>
  <si>
    <t>Full Name</t>
  </si>
  <si>
    <t>Average Compensation</t>
  </si>
  <si>
    <t>Employee Compensation</t>
  </si>
  <si>
    <t>Average Commission</t>
  </si>
  <si>
    <t>Average Base Salary</t>
  </si>
  <si>
    <t>Average Total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</si>
</sst>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&quot;$&quot;#,##0"/>
    <numFmt numFmtId="167" formatCode="_(* #,##0_);_(* \(#,##0\);_(* &quot;-&quot;??_);_(@_)"/>
    <numFmt numFmtId="168" formatCode="_(&quot;$&quot;* #,##0_);_(&quot;$&quot;* \(#,##0\);_(&quot;$&quot;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Fill="1"/>
    <xf numFmtId="0" fontId="0" fillId="0" borderId="0" xfId="0" applyFill="1" applyBorder="1"/>
    <xf numFmtId="164" fontId="0" fillId="0" borderId="0" xfId="1" applyNumberFormat="1" applyFont="1" applyFill="1" applyBorder="1"/>
    <xf numFmtId="0" fontId="0" fillId="0" borderId="0" xfId="2" applyNumberFormat="1" applyFont="1" applyFill="1" applyBorder="1"/>
    <xf numFmtId="164" fontId="0" fillId="0" borderId="0" xfId="1" applyNumberFormat="1" applyFont="1"/>
    <xf numFmtId="0" fontId="2" fillId="3" borderId="0" xfId="0" applyFont="1" applyFill="1"/>
    <xf numFmtId="166" fontId="0" fillId="0" borderId="0" xfId="0" applyNumberFormat="1"/>
    <xf numFmtId="10" fontId="0" fillId="0" borderId="0" xfId="2" applyNumberFormat="1" applyFont="1"/>
    <xf numFmtId="164" fontId="0" fillId="0" borderId="0" xfId="0" applyNumberFormat="1"/>
    <xf numFmtId="168" fontId="0" fillId="0" borderId="0" xfId="0" applyNumberFormat="1"/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9" fontId="2" fillId="3" borderId="0" xfId="0" applyNumberFormat="1" applyFont="1" applyFill="1" applyAlignment="1">
      <alignment horizontal="center"/>
    </xf>
    <xf numFmtId="0" fontId="0" fillId="0" borderId="1" xfId="0" applyBorder="1"/>
    <xf numFmtId="0" fontId="2" fillId="5" borderId="0" xfId="0" applyFont="1" applyFill="1"/>
    <xf numFmtId="165" fontId="0" fillId="0" borderId="1" xfId="0" applyNumberFormat="1" applyBorder="1"/>
    <xf numFmtId="0" fontId="0" fillId="0" borderId="0" xfId="0" applyProtection="1">
      <protection locked="0"/>
    </xf>
    <xf numFmtId="0" fontId="0" fillId="0" borderId="1" xfId="0" applyFill="1" applyBorder="1" applyProtection="1">
      <protection locked="0"/>
    </xf>
    <xf numFmtId="0" fontId="0" fillId="0" borderId="1" xfId="0" applyBorder="1" applyProtection="1">
      <protection locked="0"/>
    </xf>
    <xf numFmtId="9" fontId="0" fillId="3" borderId="1" xfId="0" applyNumberFormat="1" applyFill="1" applyBorder="1" applyProtection="1">
      <protection locked="0"/>
    </xf>
    <xf numFmtId="0" fontId="2" fillId="0" borderId="3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0" fillId="0" borderId="2" xfId="0" applyFill="1" applyBorder="1" applyProtection="1">
      <protection locked="0"/>
    </xf>
    <xf numFmtId="164" fontId="0" fillId="3" borderId="1" xfId="1" applyNumberFormat="1" applyFont="1" applyFill="1" applyBorder="1" applyProtection="1">
      <protection locked="0"/>
    </xf>
    <xf numFmtId="9" fontId="0" fillId="3" borderId="1" xfId="2" applyFont="1" applyFill="1" applyBorder="1" applyProtection="1">
      <protection locked="0"/>
    </xf>
    <xf numFmtId="0" fontId="0" fillId="3" borderId="1" xfId="0" applyFill="1" applyBorder="1" applyProtection="1">
      <protection locked="0"/>
    </xf>
    <xf numFmtId="0" fontId="0" fillId="0" borderId="0" xfId="0" applyProtection="1"/>
    <xf numFmtId="0" fontId="2" fillId="0" borderId="1" xfId="0" applyFont="1" applyBorder="1" applyAlignment="1" applyProtection="1">
      <alignment horizontal="center"/>
    </xf>
    <xf numFmtId="0" fontId="2" fillId="0" borderId="1" xfId="0" applyFont="1" applyFill="1" applyBorder="1" applyAlignment="1" applyProtection="1">
      <alignment horizontal="center"/>
    </xf>
    <xf numFmtId="0" fontId="0" fillId="0" borderId="1" xfId="0" applyBorder="1" applyProtection="1"/>
    <xf numFmtId="0" fontId="0" fillId="4" borderId="1" xfId="0" applyFill="1" applyBorder="1" applyProtection="1"/>
    <xf numFmtId="0" fontId="0" fillId="6" borderId="1" xfId="0" applyFill="1" applyBorder="1" applyProtection="1"/>
    <xf numFmtId="1" fontId="0" fillId="6" borderId="1" xfId="0" applyNumberFormat="1" applyFill="1" applyBorder="1" applyProtection="1"/>
    <xf numFmtId="164" fontId="0" fillId="4" borderId="1" xfId="1" applyNumberFormat="1" applyFont="1" applyFill="1" applyBorder="1" applyProtection="1"/>
    <xf numFmtId="164" fontId="0" fillId="6" borderId="1" xfId="1" applyNumberFormat="1" applyFont="1" applyFill="1" applyBorder="1" applyProtection="1"/>
    <xf numFmtId="44" fontId="3" fillId="6" borderId="1" xfId="0" applyNumberFormat="1" applyFont="1" applyFill="1" applyBorder="1" applyProtection="1"/>
    <xf numFmtId="166" fontId="0" fillId="4" borderId="1" xfId="0" applyNumberFormat="1" applyFill="1" applyBorder="1" applyProtection="1"/>
    <xf numFmtId="166" fontId="0" fillId="6" borderId="1" xfId="0" applyNumberFormat="1" applyFill="1" applyBorder="1" applyProtection="1"/>
    <xf numFmtId="44" fontId="0" fillId="6" borderId="1" xfId="1" applyFont="1" applyFill="1" applyBorder="1" applyProtection="1"/>
    <xf numFmtId="10" fontId="0" fillId="4" borderId="1" xfId="2" applyNumberFormat="1" applyFont="1" applyFill="1" applyBorder="1" applyProtection="1"/>
    <xf numFmtId="10" fontId="0" fillId="6" borderId="1" xfId="2" applyNumberFormat="1" applyFon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7" fontId="0" fillId="6" borderId="1" xfId="0" applyNumberFormat="1" applyFill="1" applyBorder="1" applyProtection="1"/>
    <xf numFmtId="44" fontId="0" fillId="4" borderId="1" xfId="0" applyNumberFormat="1" applyFill="1" applyBorder="1" applyProtection="1"/>
    <xf numFmtId="44" fontId="0" fillId="6" borderId="1" xfId="0" applyNumberFormat="1" applyFill="1" applyBorder="1" applyProtection="1"/>
    <xf numFmtId="165" fontId="0" fillId="6" borderId="1" xfId="0" applyNumberFormat="1" applyFill="1" applyBorder="1" applyProtection="1"/>
    <xf numFmtId="165" fontId="0" fillId="4" borderId="1" xfId="0" applyNumberFormat="1" applyFill="1" applyBorder="1" applyProtection="1"/>
    <xf numFmtId="0" fontId="0" fillId="0" borderId="1" xfId="0" applyFill="1" applyBorder="1" applyProtection="1"/>
    <xf numFmtId="9" fontId="0" fillId="4" borderId="1" xfId="2" applyFont="1" applyFill="1" applyBorder="1" applyProtection="1"/>
    <xf numFmtId="0" fontId="2" fillId="0" borderId="1" xfId="0" applyFont="1" applyBorder="1" applyProtection="1"/>
    <xf numFmtId="165" fontId="0" fillId="0" borderId="1" xfId="0" applyNumberFormat="1" applyBorder="1" applyProtection="1"/>
    <xf numFmtId="0" fontId="2" fillId="0" borderId="0" xfId="0" applyFont="1" applyAlignment="1" applyProtection="1"/>
    <xf numFmtId="0" fontId="0" fillId="0" borderId="0" xfId="0" applyAlignment="1" applyProtection="1"/>
    <xf numFmtId="0" fontId="2" fillId="0" borderId="3" xfId="0" applyFont="1" applyBorder="1" applyAlignment="1" applyProtection="1">
      <alignment horizontal="center"/>
    </xf>
    <xf numFmtId="0" fontId="2" fillId="0" borderId="4" xfId="0" applyFont="1" applyBorder="1" applyAlignment="1" applyProtection="1">
      <alignment horizontal="center"/>
    </xf>
    <xf numFmtId="0" fontId="2" fillId="0" borderId="5" xfId="0" applyFont="1" applyBorder="1" applyAlignment="1" applyProtection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 applyProtection="1">
      <alignment horizontal="center"/>
    </xf>
    <xf numFmtId="0" fontId="0" fillId="0" borderId="0" xfId="0" applyAlignment="1" applyProtection="1">
      <alignment horizontal="center"/>
    </xf>
    <xf numFmtId="0" fontId="4" fillId="0" borderId="1" xfId="0" applyFont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center" vertical="center"/>
    </xf>
    <xf numFmtId="0" fontId="0" fillId="0" borderId="3" xfId="0" applyBorder="1" applyProtection="1"/>
    <xf numFmtId="165" fontId="0" fillId="0" borderId="3" xfId="0" applyNumberFormat="1" applyBorder="1" applyProtection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Average </a:t>
            </a:r>
            <a:r>
              <a:rPr lang="en-US" sz="1400" b="0" i="0" u="none" strike="noStrike" baseline="0">
                <a:effectLst/>
              </a:rPr>
              <a:t>Account Executive I</a:t>
            </a:r>
            <a:r>
              <a:rPr lang="en-US"/>
              <a:t> Base Salary,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1E-4838-A68D-A27DA2CF61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(1)'!$G$5,'POWER POINT (1)'!$G$9)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('POWER POINT (1)'!$H$5,'POWER POINT (1)'!$H$9)</c:f>
              <c:numCache>
                <c:formatCode>"$"#,##0.00</c:formatCode>
                <c:ptCount val="2"/>
                <c:pt idx="0">
                  <c:v>47025.909677419353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E-4838-A68D-A27DA2CF61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</a:t>
            </a:r>
            <a:r>
              <a:rPr lang="en-US"/>
              <a:t> Base Commission,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B3-4626-8206-76FDDBD027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(1)'!$G$6,'POWER POINT (1)'!$G$10)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('POWER POINT (1)'!$H$6,'POWER POINT (1)'!$H$10)</c:f>
              <c:numCache>
                <c:formatCode>"$"#,##0.00</c:formatCode>
                <c:ptCount val="2"/>
                <c:pt idx="0">
                  <c:v>84322.002258064458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3-4626-8206-76FDDBD027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</a:t>
            </a:r>
            <a:r>
              <a:rPr lang="en-US"/>
              <a:t> Base Total Pay,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0A-4B93-80F8-CC8C81C76F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(1)'!$G$7,'POWER POINT (1)'!$G$11)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('POWER POINT (1)'!$H$7,'POWER POINT (1)'!$H$11)</c:f>
              <c:numCache>
                <c:formatCode>"$"#,##0.00</c:formatCode>
                <c:ptCount val="2"/>
                <c:pt idx="0">
                  <c:v>131347.9119354838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0A-4B93-80F8-CC8C81C76F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Average </a:t>
            </a:r>
            <a:r>
              <a:rPr lang="en-US" sz="1400" b="0" i="0" u="none" strike="noStrike" baseline="0">
                <a:effectLst/>
              </a:rPr>
              <a:t>Account Executive II</a:t>
            </a:r>
            <a:r>
              <a:rPr lang="en-US"/>
              <a:t> Base Salary,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477-489A-9956-6C00B707FA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(2)'!$G$5,'POWER POINT (2)'!$G$9)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('POWER POINT (2)'!$H$5,'POWER POINT (2)'!$H$9)</c:f>
              <c:numCache>
                <c:formatCode>"$"#,##0.00</c:formatCode>
                <c:ptCount val="2"/>
                <c:pt idx="0">
                  <c:v>65493.15160349854</c:v>
                </c:pt>
                <c:pt idx="1">
                  <c:v>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7-489A-9956-6C00B707FA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II</a:t>
            </a:r>
            <a:r>
              <a:rPr lang="en-US"/>
              <a:t> Base Commission,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4C7-4809-A074-47A810B4AE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(2)'!$G$6,'POWER POINT (2)'!$G$10)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('POWER POINT (2)'!$H$6,'POWER POINT (2)'!$H$10)</c:f>
              <c:numCache>
                <c:formatCode>"$"#,##0.00</c:formatCode>
                <c:ptCount val="2"/>
                <c:pt idx="0">
                  <c:v>100431.13081632661</c:v>
                </c:pt>
                <c:pt idx="1">
                  <c:v>95000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7-4809-A074-47A810B4AE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II</a:t>
            </a:r>
            <a:r>
              <a:rPr lang="en-US"/>
              <a:t> Base Total Pay,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459-41F3-BC72-AB9C70E988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(2)'!$G$7,'POWER POINT (2)'!$G$11)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('POWER POINT (2)'!$H$7,'POWER POINT (2)'!$H$11)</c:f>
              <c:numCache>
                <c:formatCode>"$"#,##0.00</c:formatCode>
                <c:ptCount val="2"/>
                <c:pt idx="0">
                  <c:v>165924.28241982515</c:v>
                </c:pt>
                <c:pt idx="1">
                  <c:v>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9-41F3-BC72-AB9C70E988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Average Account Executive III</a:t>
            </a:r>
            <a:r>
              <a:rPr lang="en-US"/>
              <a:t> Base Salary,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748-4020-A345-EB4836C5E5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(3)'!$G$5,'POWER POINT (3)'!$G$9)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('POWER POINT (3)'!$H$5,'POWER POINT (3)'!$H$9)</c:f>
              <c:numCache>
                <c:formatCode>"$"#,##0.00</c:formatCode>
                <c:ptCount val="2"/>
                <c:pt idx="0">
                  <c:v>100776.10951008646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8-4020-A345-EB4836C5E5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III</a:t>
            </a:r>
            <a:r>
              <a:rPr lang="en-US"/>
              <a:t> Base Commission,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87-4499-A173-563BBABDC8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(3)'!$G$6,'POWER POINT (3)'!$G$10)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('POWER POINT (3)'!$H$6,'POWER POINT (3)'!$H$10)</c:f>
              <c:numCache>
                <c:formatCode>"$"#,##0.00</c:formatCode>
                <c:ptCount val="2"/>
                <c:pt idx="0">
                  <c:v>105907.99489913539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7-4499-A173-563BBABDC8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</a:t>
            </a:r>
            <a:r>
              <a:rPr lang="en-US" sz="1400" b="0" i="0" u="none" strike="noStrike" baseline="0">
                <a:effectLst/>
              </a:rPr>
              <a:t>Account Executive III</a:t>
            </a:r>
            <a:r>
              <a:rPr lang="en-US"/>
              <a:t> Base Total Pay,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78-4ACF-8EEF-D74D7014F0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('POWER POINT (3)'!$G$7,'POWER POINT (3)'!$G$11)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('POWER POINT (3)'!$H$7,'POWER POINT (3)'!$H$11)</c:f>
              <c:numCache>
                <c:formatCode>"$"#,##0.00</c:formatCode>
                <c:ptCount val="2"/>
                <c:pt idx="0">
                  <c:v>206684.10440922185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8-4ACF-8EEF-D74D7014F0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A60-4A13-94C4-DE2DA400BE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Database'!$C$5,'Employee Database'!$C$9)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Database'!$D$5,'Employee Database'!$D$9)</c:f>
              <c:numCache>
                <c:formatCode>"$"#,##0.00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0-4A13-94C4-DE2DA400BE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6B-49AF-9BBB-E9F9C72DE5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Database'!$C$6,'Employee Database'!$C$10)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Database'!$D$6,'Employee Database'!$D$10)</c:f>
              <c:numCache>
                <c:formatCode>"$"#,##0.00</c:formatCode>
                <c:ptCount val="2"/>
                <c:pt idx="0">
                  <c:v>139368.28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B-49AF-9BBB-E9F9C72DE5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Total Pay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3D-4EDE-91D3-215213B300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Database'!$C$7,'Employee Database'!$C$11)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Database'!$D$7,'Employee Database'!$D$11)</c:f>
              <c:numCache>
                <c:formatCode>"$"#,##0.00</c:formatCode>
                <c:ptCount val="2"/>
                <c:pt idx="0">
                  <c:v>220128.28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D-4EDE-91D3-215213B300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versus Average Position</a:t>
            </a:r>
            <a:r>
              <a:rPr lang="en-US"/>
              <a:t> Base Salary,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Database'!$C$5</c:f>
              <c:strCache>
                <c:ptCount val="1"/>
                <c:pt idx="0">
                  <c:v>2018 Base Salary</c:v>
                </c:pt>
              </c:strCache>
            </c:strRef>
          </c:cat>
          <c:val>
            <c:numRef>
              <c:f>'Job Title Database'!$D$5</c:f>
              <c:numCache>
                <c:formatCode>"$"#,##0.00</c:formatCode>
                <c:ptCount val="1"/>
                <c:pt idx="0">
                  <c:v>80760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B-465A-9439-2BD79E9C502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Database'!$C$5</c:f>
              <c:strCache>
                <c:ptCount val="1"/>
                <c:pt idx="0">
                  <c:v>2018 Base Salary</c:v>
                </c:pt>
              </c:strCache>
            </c:strRef>
          </c:cat>
          <c:val>
            <c:numRef>
              <c:f>'Job Title Database'!$C$9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7B-465A-9439-2BD79E9C502C}"/>
            </c:ext>
          </c:extLst>
        </c:ser>
        <c:ser>
          <c:idx val="4"/>
          <c:order val="2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Database'!$C$5</c:f>
              <c:strCache>
                <c:ptCount val="1"/>
                <c:pt idx="0">
                  <c:v>2018 Base Salary</c:v>
                </c:pt>
              </c:strCache>
            </c:strRef>
          </c:cat>
          <c:val>
            <c:numRef>
              <c:f>'Job Title Database'!$H$5</c:f>
              <c:numCache>
                <c:formatCode>"$"#,##0.00</c:formatCode>
                <c:ptCount val="1"/>
                <c:pt idx="0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7B-465A-9439-2BD79E9C502C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Database'!$C$5</c:f>
              <c:strCache>
                <c:ptCount val="1"/>
                <c:pt idx="0">
                  <c:v>2018 Base Salary</c:v>
                </c:pt>
              </c:strCache>
            </c:strRef>
          </c:cat>
          <c:val>
            <c:numRef>
              <c:f>'Job Title Database'!$G$5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7B-465A-9439-2BD79E9C502C}"/>
            </c:ext>
          </c:extLst>
        </c:ser>
        <c:ser>
          <c:idx val="2"/>
          <c:order val="4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D5-4B43-BBB9-3CF978F46F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Database'!$C$5</c:f>
              <c:strCache>
                <c:ptCount val="1"/>
                <c:pt idx="0">
                  <c:v>2018 Base Salary</c:v>
                </c:pt>
              </c:strCache>
            </c:strRef>
          </c:cat>
          <c:val>
            <c:numRef>
              <c:f>'Job Title Database'!$D$9</c:f>
              <c:numCache>
                <c:formatCode>"$"#,##0.00</c:formatCode>
                <c:ptCount val="1"/>
                <c:pt idx="0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7B-465A-9439-2BD79E9C50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Emplyee versus Average Position Base Commission,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Database'!$C$6</c:f>
              <c:strCache>
                <c:ptCount val="1"/>
                <c:pt idx="0">
                  <c:v>2018 Commission</c:v>
                </c:pt>
              </c:strCache>
            </c:strRef>
          </c:cat>
          <c:val>
            <c:numRef>
              <c:f>'Job Title Database'!$D$6</c:f>
              <c:numCache>
                <c:formatCode>"$"#,##0.00</c:formatCode>
                <c:ptCount val="1"/>
                <c:pt idx="0">
                  <c:v>139368.28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4-41F1-AEED-0E72BB0847A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Database'!$C$6</c:f>
              <c:strCache>
                <c:ptCount val="1"/>
                <c:pt idx="0">
                  <c:v>2018 Commission</c:v>
                </c:pt>
              </c:strCache>
            </c:strRef>
          </c:cat>
          <c:val>
            <c:numRef>
              <c:f>'Job Title Database'!$C$10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B4-41F1-AEED-0E72BB0847AB}"/>
            </c:ext>
          </c:extLst>
        </c:ser>
        <c:ser>
          <c:idx val="4"/>
          <c:order val="2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Database'!$C$6</c:f>
              <c:strCache>
                <c:ptCount val="1"/>
                <c:pt idx="0">
                  <c:v>2018 Commission</c:v>
                </c:pt>
              </c:strCache>
            </c:strRef>
          </c:cat>
          <c:val>
            <c:numRef>
              <c:f>'Job Title Database'!$H$6</c:f>
              <c:numCache>
                <c:formatCode>"$"#,##0.00</c:formatCode>
                <c:ptCount val="1"/>
                <c:pt idx="0">
                  <c:v>105907.99489913539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B4-41F1-AEED-0E72BB0847A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Database'!$C$6</c:f>
              <c:strCache>
                <c:ptCount val="1"/>
                <c:pt idx="0">
                  <c:v>2018 Commission</c:v>
                </c:pt>
              </c:strCache>
            </c:strRef>
          </c:cat>
          <c:val>
            <c:numRef>
              <c:f>'Job Title Database'!$G$6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4-41F1-AEED-0E72BB0847AB}"/>
            </c:ext>
          </c:extLst>
        </c:ser>
        <c:ser>
          <c:idx val="2"/>
          <c:order val="4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43-4C9A-B738-735676C164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Database'!$C$6</c:f>
              <c:strCache>
                <c:ptCount val="1"/>
                <c:pt idx="0">
                  <c:v>2018 Commission</c:v>
                </c:pt>
              </c:strCache>
            </c:strRef>
          </c:cat>
          <c:val>
            <c:numRef>
              <c:f>'Job Title Database'!$D$10</c:f>
              <c:numCache>
                <c:formatCode>"$"#,##0.00</c:formatCode>
                <c:ptCount val="1"/>
                <c:pt idx="0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B4-41F1-AEED-0E72BB084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versus Average Position Base Total Pay,</a:t>
            </a:r>
          </a:p>
          <a:p>
            <a:pPr>
              <a:defRPr/>
            </a:pP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Database'!$C$7</c:f>
              <c:strCache>
                <c:ptCount val="1"/>
                <c:pt idx="0">
                  <c:v>2018 Total Pay</c:v>
                </c:pt>
              </c:strCache>
            </c:strRef>
          </c:cat>
          <c:val>
            <c:numRef>
              <c:f>'Job Title Database'!$D$7</c:f>
              <c:numCache>
                <c:formatCode>"$"#,##0.00</c:formatCode>
                <c:ptCount val="1"/>
                <c:pt idx="0">
                  <c:v>220128.28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2-4F96-9432-BA67F38F8F2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Database'!$C$7</c:f>
              <c:strCache>
                <c:ptCount val="1"/>
                <c:pt idx="0">
                  <c:v>2018 Total Pay</c:v>
                </c:pt>
              </c:strCache>
            </c:strRef>
          </c:cat>
          <c:val>
            <c:numRef>
              <c:f>'Job Title Database'!$C$11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C2-4F96-9432-BA67F38F8F2B}"/>
            </c:ext>
          </c:extLst>
        </c:ser>
        <c:ser>
          <c:idx val="4"/>
          <c:order val="2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Database'!$C$7</c:f>
              <c:strCache>
                <c:ptCount val="1"/>
                <c:pt idx="0">
                  <c:v>2018 Total Pay</c:v>
                </c:pt>
              </c:strCache>
            </c:strRef>
          </c:cat>
          <c:val>
            <c:numRef>
              <c:f>'Job Title Database'!$H$7</c:f>
              <c:numCache>
                <c:formatCode>"$"#,##0.00</c:formatCode>
                <c:ptCount val="1"/>
                <c:pt idx="0">
                  <c:v>206684.10440922185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C2-4F96-9432-BA67F38F8F2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'Job Title Database'!$C$7</c:f>
              <c:strCache>
                <c:ptCount val="1"/>
                <c:pt idx="0">
                  <c:v>2018 Total Pay</c:v>
                </c:pt>
              </c:strCache>
            </c:strRef>
          </c:cat>
          <c:val>
            <c:numRef>
              <c:f>'Job Title Database'!$G$7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C2-4F96-9432-BA67F38F8F2B}"/>
            </c:ext>
          </c:extLst>
        </c:ser>
        <c:ser>
          <c:idx val="2"/>
          <c:order val="4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FA-4ABE-87C5-9A55E2A7BB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 Database'!$C$7</c:f>
              <c:strCache>
                <c:ptCount val="1"/>
                <c:pt idx="0">
                  <c:v>2018 Total Pay</c:v>
                </c:pt>
              </c:strCache>
            </c:strRef>
          </c:cat>
          <c:val>
            <c:numRef>
              <c:f>'Job Title Database'!$D$11</c:f>
              <c:numCache>
                <c:formatCode>"$"#,##0.00</c:formatCode>
                <c:ptCount val="1"/>
                <c:pt idx="0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C2-4F96-9432-BA67F38F8F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811871"/>
        <c:axId val="212050543"/>
      </c:barChart>
      <c:catAx>
        <c:axId val="108481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0543"/>
        <c:crosses val="autoZero"/>
        <c:auto val="1"/>
        <c:lblAlgn val="ctr"/>
        <c:lblOffset val="100"/>
        <c:noMultiLvlLbl val="0"/>
      </c:catAx>
      <c:valAx>
        <c:axId val="212050543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1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636270</xdr:colOff>
      <xdr:row>16</xdr:row>
      <xdr:rowOff>1905</xdr:rowOff>
    </xdr:from>
    <xdr:to>
      <xdr:col>4</xdr:col>
      <xdr:colOff>304800</xdr:colOff>
      <xdr:row>31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20962-69CA-4272-B950-9B9DE85BB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</xdr:colOff>
      <xdr:row>16</xdr:row>
      <xdr:rowOff>7620</xdr:rowOff>
    </xdr:from>
    <xdr:to>
      <xdr:col>9</xdr:col>
      <xdr:colOff>38100</xdr:colOff>
      <xdr:row>31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A564B-DF4C-4CB2-A883-E64117A44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499110</xdr:colOff>
      <xdr:row>16</xdr:row>
      <xdr:rowOff>3810</xdr:rowOff>
    </xdr:from>
    <xdr:to>
      <xdr:col>14</xdr:col>
      <xdr:colOff>3810</xdr:colOff>
      <xdr:row>31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94D29-521B-4A61-9126-AE09D7286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636270</xdr:colOff>
      <xdr:row>16</xdr:row>
      <xdr:rowOff>1905</xdr:rowOff>
    </xdr:from>
    <xdr:to>
      <xdr:col>4</xdr:col>
      <xdr:colOff>304800</xdr:colOff>
      <xdr:row>31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5CCF2-80B6-4D6F-B182-EEBA76ACF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</xdr:colOff>
      <xdr:row>16</xdr:row>
      <xdr:rowOff>7620</xdr:rowOff>
    </xdr:from>
    <xdr:to>
      <xdr:col>9</xdr:col>
      <xdr:colOff>38100</xdr:colOff>
      <xdr:row>31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3D63F-3D9B-445A-8554-95A702521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499110</xdr:colOff>
      <xdr:row>16</xdr:row>
      <xdr:rowOff>3810</xdr:rowOff>
    </xdr:from>
    <xdr:to>
      <xdr:col>14</xdr:col>
      <xdr:colOff>3810</xdr:colOff>
      <xdr:row>31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3274F5-41B1-4935-93CF-513D00C9E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636270</xdr:colOff>
      <xdr:row>16</xdr:row>
      <xdr:rowOff>1905</xdr:rowOff>
    </xdr:from>
    <xdr:to>
      <xdr:col>4</xdr:col>
      <xdr:colOff>304800</xdr:colOff>
      <xdr:row>31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B1C25-DBEA-4676-85DF-E84725856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</xdr:colOff>
      <xdr:row>16</xdr:row>
      <xdr:rowOff>7620</xdr:rowOff>
    </xdr:from>
    <xdr:to>
      <xdr:col>9</xdr:col>
      <xdr:colOff>38100</xdr:colOff>
      <xdr:row>31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14E32-0EB0-4138-9C64-BB8D37D07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499110</xdr:colOff>
      <xdr:row>16</xdr:row>
      <xdr:rowOff>3810</xdr:rowOff>
    </xdr:from>
    <xdr:to>
      <xdr:col>14</xdr:col>
      <xdr:colOff>3810</xdr:colOff>
      <xdr:row>31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973D7B-22CB-40A5-8817-F4852C1E3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636270</xdr:colOff>
      <xdr:row>16</xdr:row>
      <xdr:rowOff>1905</xdr:rowOff>
    </xdr:from>
    <xdr:to>
      <xdr:col>4</xdr:col>
      <xdr:colOff>304800</xdr:colOff>
      <xdr:row>31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F97C8-5D0D-4A49-A5F5-E23266CF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</xdr:colOff>
      <xdr:row>16</xdr:row>
      <xdr:rowOff>0</xdr:rowOff>
    </xdr:from>
    <xdr:to>
      <xdr:col>12</xdr:col>
      <xdr:colOff>95250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A2C4F4-314B-4CFA-9D33-796D7876F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636270</xdr:colOff>
      <xdr:row>16</xdr:row>
      <xdr:rowOff>0</xdr:rowOff>
    </xdr:from>
    <xdr:to>
      <xdr:col>20</xdr:col>
      <xdr:colOff>87630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E2E2C-3ADB-43CA-9A87-396047C8E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636270</xdr:colOff>
      <xdr:row>16</xdr:row>
      <xdr:rowOff>1905</xdr:rowOff>
    </xdr:from>
    <xdr:to>
      <xdr:col>4</xdr:col>
      <xdr:colOff>304800</xdr:colOff>
      <xdr:row>31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CC76E-EED6-49C4-BC5E-606EB7F99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</xdr:colOff>
      <xdr:row>16</xdr:row>
      <xdr:rowOff>7620</xdr:rowOff>
    </xdr:from>
    <xdr:to>
      <xdr:col>9</xdr:col>
      <xdr:colOff>38100</xdr:colOff>
      <xdr:row>31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4BC86-1FD2-4B96-940E-055B98BE1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499110</xdr:colOff>
      <xdr:row>16</xdr:row>
      <xdr:rowOff>3810</xdr:rowOff>
    </xdr:from>
    <xdr:to>
      <xdr:col>14</xdr:col>
      <xdr:colOff>3810</xdr:colOff>
      <xdr:row>31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46226-768C-4D0B-87F2-FB1A67A10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325E-5634-45B2-98B0-4E10CC35EF0B}">
  <dimension ref="B1:T15"/>
  <sheetViews>
    <sheetView showGridLines="0" topLeftCell="A4" workbookViewId="0">
      <selection activeCell="L11" sqref="L11"/>
    </sheetView>
  </sheetViews>
  <sheetFormatPr defaultRowHeight="14.4" x14ac:dyDescent="0.55000000000000004"/>
  <cols>
    <col min="1" max="1" width="8.83984375" style="28"/>
    <col min="2" max="2" width="22.1015625" style="28" bestFit="1" customWidth="1"/>
    <col min="3" max="3" width="19.7890625" style="28" bestFit="1" customWidth="1"/>
    <col min="4" max="4" width="17" style="28" bestFit="1" customWidth="1"/>
    <col min="5" max="5" width="8.83984375" style="28"/>
    <col min="6" max="6" width="22.7890625" style="28" bestFit="1" customWidth="1"/>
    <col min="7" max="7" width="19.7890625" style="28" bestFit="1" customWidth="1"/>
    <col min="8" max="8" width="17" style="28" bestFit="1" customWidth="1"/>
    <col min="9" max="9" width="8.83984375" style="28"/>
    <col min="10" max="10" width="17.578125" style="28" bestFit="1" customWidth="1"/>
    <col min="11" max="11" width="16.47265625" style="28" bestFit="1" customWidth="1"/>
    <col min="12" max="13" width="17.26171875" style="28" bestFit="1" customWidth="1"/>
    <col min="14" max="16384" width="8.83984375" style="28"/>
  </cols>
  <sheetData>
    <row r="1" spans="2:20" ht="14.7" thickBot="1" x14ac:dyDescent="0.6"/>
    <row r="2" spans="2:20" ht="15" thickTop="1" thickBot="1" x14ac:dyDescent="0.6">
      <c r="B2" s="65"/>
      <c r="C2" s="31"/>
      <c r="D2" s="31"/>
      <c r="F2" s="65"/>
      <c r="G2" s="31"/>
      <c r="H2" s="31"/>
      <c r="J2" s="31"/>
      <c r="K2" s="67" t="s">
        <v>22369</v>
      </c>
      <c r="L2" s="31" t="s">
        <v>22368</v>
      </c>
      <c r="M2" s="31" t="s">
        <v>22370</v>
      </c>
    </row>
    <row r="3" spans="2:20" ht="15" thickTop="1" thickBot="1" x14ac:dyDescent="0.6">
      <c r="B3" s="65"/>
      <c r="C3" s="31"/>
      <c r="D3" s="31"/>
      <c r="F3" s="65"/>
      <c r="G3" s="31"/>
      <c r="H3" s="31"/>
      <c r="J3" s="52" t="s">
        <v>7</v>
      </c>
      <c r="K3" s="68">
        <f>AVERAGEIF(Calculations!$E:$E,$J3,Calculations!$F:$F)</f>
        <v>47025.909677419353</v>
      </c>
      <c r="L3" s="53">
        <f>AVERAGEIF(Calculations!$E:$E,$J3,Calculations!$T:$T)</f>
        <v>84322.002258064458</v>
      </c>
      <c r="M3" s="53">
        <f>K3+L3</f>
        <v>131347.9119354838</v>
      </c>
    </row>
    <row r="4" spans="2:20" ht="15" thickTop="1" thickBot="1" x14ac:dyDescent="0.6">
      <c r="J4" s="52" t="s">
        <v>29</v>
      </c>
      <c r="K4" s="68">
        <f>AVERAGEIF(Calculations!$E:$E,$J4,Calculations!$F:$F)</f>
        <v>65493.15160349854</v>
      </c>
      <c r="L4" s="53">
        <f>AVERAGEIF(Calculations!$E:$E,$J4,Calculations!$T:$T)</f>
        <v>100431.13081632661</v>
      </c>
      <c r="M4" s="53">
        <f t="shared" ref="M4:M5" si="0">K4+L4</f>
        <v>165924.28241982515</v>
      </c>
    </row>
    <row r="5" spans="2:20" ht="15" thickTop="1" thickBot="1" x14ac:dyDescent="0.6">
      <c r="B5" s="66"/>
      <c r="C5" s="31"/>
      <c r="D5" s="53"/>
      <c r="F5" s="66" t="s">
        <v>22366</v>
      </c>
      <c r="G5" s="31" t="s">
        <v>22360</v>
      </c>
      <c r="H5" s="53">
        <f>K3</f>
        <v>47025.909677419353</v>
      </c>
      <c r="J5" s="52" t="s">
        <v>10</v>
      </c>
      <c r="K5" s="68">
        <f>AVERAGEIF(Calculations!$E:$E,$J5,Calculations!$F:$F)</f>
        <v>100776.10951008646</v>
      </c>
      <c r="L5" s="53">
        <f>AVERAGEIF(Calculations!$E:$E,$J5,Calculations!$T:$T)</f>
        <v>105907.99489913539</v>
      </c>
      <c r="M5" s="53">
        <f t="shared" si="0"/>
        <v>206684.10440922185</v>
      </c>
    </row>
    <row r="6" spans="2:20" ht="15" thickTop="1" thickBot="1" x14ac:dyDescent="0.6">
      <c r="B6" s="66"/>
      <c r="C6" s="31"/>
      <c r="D6" s="53"/>
      <c r="F6" s="66"/>
      <c r="G6" s="31" t="s">
        <v>22361</v>
      </c>
      <c r="H6" s="53">
        <f>L3</f>
        <v>84322.002258064458</v>
      </c>
    </row>
    <row r="7" spans="2:20" ht="15" thickTop="1" thickBot="1" x14ac:dyDescent="0.6">
      <c r="B7" s="66"/>
      <c r="C7" s="31"/>
      <c r="D7" s="53"/>
      <c r="F7" s="66"/>
      <c r="G7" s="31" t="s">
        <v>22362</v>
      </c>
      <c r="H7" s="53">
        <f>H5+H6</f>
        <v>131347.9119354838</v>
      </c>
    </row>
    <row r="8" spans="2:20" ht="15" thickTop="1" thickBot="1" x14ac:dyDescent="0.6"/>
    <row r="9" spans="2:20" ht="15" thickTop="1" thickBot="1" x14ac:dyDescent="0.6">
      <c r="B9" s="66"/>
      <c r="C9" s="31"/>
      <c r="D9" s="53"/>
      <c r="F9" s="66" t="s">
        <v>22363</v>
      </c>
      <c r="G9" s="31" t="s">
        <v>22364</v>
      </c>
      <c r="H9" s="53">
        <f>VLOOKUP(J3,benchmark_data!$A$1:$D$10,2,FALSE)</f>
        <v>50000</v>
      </c>
    </row>
    <row r="10" spans="2:20" ht="15" thickTop="1" thickBot="1" x14ac:dyDescent="0.6">
      <c r="B10" s="66"/>
      <c r="C10" s="31"/>
      <c r="D10" s="53"/>
      <c r="F10" s="66"/>
      <c r="G10" s="31" t="s">
        <v>22321</v>
      </c>
      <c r="H10" s="53">
        <f>VLOOKUP(J3,benchmark_data!$A$1:$D$4,3,FALSE)</f>
        <v>75000</v>
      </c>
    </row>
    <row r="11" spans="2:20" ht="15" thickTop="1" thickBot="1" x14ac:dyDescent="0.6">
      <c r="B11" s="66"/>
      <c r="C11" s="31"/>
      <c r="D11" s="53"/>
      <c r="F11" s="66"/>
      <c r="G11" s="31" t="s">
        <v>22322</v>
      </c>
      <c r="H11" s="53">
        <f>H9+H10</f>
        <v>125000</v>
      </c>
    </row>
    <row r="12" spans="2:20" ht="14.7" thickTop="1" x14ac:dyDescent="0.55000000000000004"/>
    <row r="14" spans="2:20" ht="18.3" x14ac:dyDescent="0.7">
      <c r="B14" s="63" t="str">
        <f>J3</f>
        <v>Account Executive I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54"/>
      <c r="P14" s="54"/>
      <c r="Q14" s="54"/>
      <c r="R14" s="54"/>
      <c r="S14" s="54"/>
      <c r="T14" s="54"/>
    </row>
    <row r="15" spans="2:20" x14ac:dyDescent="0.55000000000000004"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55"/>
      <c r="P15" s="55"/>
      <c r="Q15" s="55"/>
      <c r="R15" s="55"/>
      <c r="S15" s="55"/>
      <c r="T15" s="55"/>
    </row>
  </sheetData>
  <mergeCells count="8">
    <mergeCell ref="B14:N14"/>
    <mergeCell ref="B15:N15"/>
    <mergeCell ref="B2:B3"/>
    <mergeCell ref="F2:F3"/>
    <mergeCell ref="B5:B7"/>
    <mergeCell ref="F5:F7"/>
    <mergeCell ref="B9:B11"/>
    <mergeCell ref="F9:F1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9C9D6D-627C-4261-8CB7-D1F8A55E7071}">
          <x14:formula1>
            <xm:f>Calculations!$A:$A</xm:f>
          </x14:formula1>
          <xm:sqref>D2 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B8590-C7D9-49B9-BCAE-D1F47AC1FB22}">
  <dimension ref="B1:T15"/>
  <sheetViews>
    <sheetView showGridLines="0" tabSelected="1" workbookViewId="0">
      <selection activeCell="B14" sqref="B14:N14"/>
    </sheetView>
  </sheetViews>
  <sheetFormatPr defaultRowHeight="14.4" x14ac:dyDescent="0.55000000000000004"/>
  <cols>
    <col min="1" max="1" width="8.83984375" style="28"/>
    <col min="2" max="2" width="22.1015625" style="28" bestFit="1" customWidth="1"/>
    <col min="3" max="3" width="19.7890625" style="28" bestFit="1" customWidth="1"/>
    <col min="4" max="4" width="17" style="28" bestFit="1" customWidth="1"/>
    <col min="5" max="5" width="8.83984375" style="28"/>
    <col min="6" max="6" width="22.7890625" style="28" bestFit="1" customWidth="1"/>
    <col min="7" max="7" width="19.7890625" style="28" bestFit="1" customWidth="1"/>
    <col min="8" max="8" width="17" style="28" bestFit="1" customWidth="1"/>
    <col min="9" max="9" width="8.83984375" style="28"/>
    <col min="10" max="10" width="17.578125" style="28" bestFit="1" customWidth="1"/>
    <col min="11" max="11" width="16.47265625" style="28" bestFit="1" customWidth="1"/>
    <col min="12" max="13" width="17.26171875" style="28" bestFit="1" customWidth="1"/>
    <col min="14" max="16384" width="8.83984375" style="28"/>
  </cols>
  <sheetData>
    <row r="1" spans="2:20" ht="14.7" thickBot="1" x14ac:dyDescent="0.6"/>
    <row r="2" spans="2:20" ht="15" thickTop="1" thickBot="1" x14ac:dyDescent="0.6">
      <c r="B2" s="65"/>
      <c r="C2" s="31"/>
      <c r="D2" s="31"/>
      <c r="F2" s="65"/>
      <c r="G2" s="31"/>
      <c r="H2" s="31"/>
      <c r="J2" s="31"/>
      <c r="K2" s="67" t="s">
        <v>22369</v>
      </c>
      <c r="L2" s="31" t="s">
        <v>22368</v>
      </c>
      <c r="M2" s="31" t="s">
        <v>22370</v>
      </c>
    </row>
    <row r="3" spans="2:20" ht="15" thickTop="1" thickBot="1" x14ac:dyDescent="0.6">
      <c r="B3" s="65"/>
      <c r="C3" s="31"/>
      <c r="D3" s="31"/>
      <c r="F3" s="65"/>
      <c r="G3" s="31"/>
      <c r="H3" s="31"/>
      <c r="J3" s="52" t="s">
        <v>7</v>
      </c>
      <c r="K3" s="68">
        <f>AVERAGEIF(Calculations!$E:$E,$J3,Calculations!$F:$F)</f>
        <v>47025.909677419353</v>
      </c>
      <c r="L3" s="53">
        <f>AVERAGEIF(Calculations!$E:$E,$J3,Calculations!$T:$T)</f>
        <v>84322.002258064458</v>
      </c>
      <c r="M3" s="53">
        <f>K3+L3</f>
        <v>131347.9119354838</v>
      </c>
    </row>
    <row r="4" spans="2:20" ht="15" thickTop="1" thickBot="1" x14ac:dyDescent="0.6">
      <c r="J4" s="52" t="s">
        <v>29</v>
      </c>
      <c r="K4" s="68">
        <f>AVERAGEIF(Calculations!$E:$E,$J4,Calculations!$F:$F)</f>
        <v>65493.15160349854</v>
      </c>
      <c r="L4" s="53">
        <f>AVERAGEIF(Calculations!$E:$E,$J4,Calculations!$T:$T)</f>
        <v>100431.13081632661</v>
      </c>
      <c r="M4" s="53">
        <f t="shared" ref="M4:M5" si="0">K4+L4</f>
        <v>165924.28241982515</v>
      </c>
    </row>
    <row r="5" spans="2:20" ht="15" thickTop="1" thickBot="1" x14ac:dyDescent="0.6">
      <c r="B5" s="66"/>
      <c r="C5" s="31"/>
      <c r="D5" s="53"/>
      <c r="F5" s="66" t="s">
        <v>22366</v>
      </c>
      <c r="G5" s="31" t="s">
        <v>22360</v>
      </c>
      <c r="H5" s="53">
        <f>K4</f>
        <v>65493.15160349854</v>
      </c>
      <c r="J5" s="52" t="s">
        <v>10</v>
      </c>
      <c r="K5" s="68">
        <f>AVERAGEIF(Calculations!$E:$E,$J5,Calculations!$F:$F)</f>
        <v>100776.10951008646</v>
      </c>
      <c r="L5" s="53">
        <f>AVERAGEIF(Calculations!$E:$E,$J5,Calculations!$T:$T)</f>
        <v>105907.99489913539</v>
      </c>
      <c r="M5" s="53">
        <f t="shared" si="0"/>
        <v>206684.10440922185</v>
      </c>
    </row>
    <row r="6" spans="2:20" ht="15" thickTop="1" thickBot="1" x14ac:dyDescent="0.6">
      <c r="B6" s="66"/>
      <c r="C6" s="31"/>
      <c r="D6" s="53"/>
      <c r="F6" s="66"/>
      <c r="G6" s="31" t="s">
        <v>22361</v>
      </c>
      <c r="H6" s="53">
        <f>L4</f>
        <v>100431.13081632661</v>
      </c>
    </row>
    <row r="7" spans="2:20" ht="15" thickTop="1" thickBot="1" x14ac:dyDescent="0.6">
      <c r="B7" s="66"/>
      <c r="C7" s="31"/>
      <c r="D7" s="53"/>
      <c r="F7" s="66"/>
      <c r="G7" s="31" t="s">
        <v>22362</v>
      </c>
      <c r="H7" s="53">
        <f>H5+H6</f>
        <v>165924.28241982515</v>
      </c>
    </row>
    <row r="8" spans="2:20" ht="15" thickTop="1" thickBot="1" x14ac:dyDescent="0.6"/>
    <row r="9" spans="2:20" ht="15" thickTop="1" thickBot="1" x14ac:dyDescent="0.6">
      <c r="B9" s="66"/>
      <c r="C9" s="31"/>
      <c r="D9" s="53"/>
      <c r="F9" s="66" t="s">
        <v>22363</v>
      </c>
      <c r="G9" s="31" t="s">
        <v>22364</v>
      </c>
      <c r="H9" s="53">
        <f>VLOOKUP(J4,benchmark_data!$A$1:$D$10,2,FALSE)</f>
        <v>65000</v>
      </c>
    </row>
    <row r="10" spans="2:20" ht="15" thickTop="1" thickBot="1" x14ac:dyDescent="0.6">
      <c r="B10" s="66"/>
      <c r="C10" s="31"/>
      <c r="D10" s="53"/>
      <c r="F10" s="66"/>
      <c r="G10" s="31" t="s">
        <v>22321</v>
      </c>
      <c r="H10" s="53">
        <f>VLOOKUP(J4,benchmark_data!$A$1:$D$4,3,FALSE)</f>
        <v>95000</v>
      </c>
    </row>
    <row r="11" spans="2:20" ht="15" thickTop="1" thickBot="1" x14ac:dyDescent="0.6">
      <c r="B11" s="66"/>
      <c r="C11" s="31"/>
      <c r="D11" s="53"/>
      <c r="F11" s="66"/>
      <c r="G11" s="31" t="s">
        <v>22322</v>
      </c>
      <c r="H11" s="53">
        <f>H9+H10</f>
        <v>160000</v>
      </c>
    </row>
    <row r="12" spans="2:20" ht="14.7" thickTop="1" x14ac:dyDescent="0.55000000000000004"/>
    <row r="14" spans="2:20" ht="18.3" x14ac:dyDescent="0.7">
      <c r="B14" s="63" t="str">
        <f>J4</f>
        <v>Account Executive II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54"/>
      <c r="P14" s="54"/>
      <c r="Q14" s="54"/>
      <c r="R14" s="54"/>
      <c r="S14" s="54"/>
      <c r="T14" s="54"/>
    </row>
    <row r="15" spans="2:20" x14ac:dyDescent="0.55000000000000004"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55"/>
      <c r="P15" s="55"/>
      <c r="Q15" s="55"/>
      <c r="R15" s="55"/>
      <c r="S15" s="55"/>
      <c r="T15" s="55"/>
    </row>
  </sheetData>
  <mergeCells count="8">
    <mergeCell ref="B14:N14"/>
    <mergeCell ref="B15:N15"/>
    <mergeCell ref="B2:B3"/>
    <mergeCell ref="F2:F3"/>
    <mergeCell ref="B5:B7"/>
    <mergeCell ref="F5:F7"/>
    <mergeCell ref="B9:B11"/>
    <mergeCell ref="F9:F1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356A8E-5E64-41BC-9838-526A40C5F81E}">
          <x14:formula1>
            <xm:f>Calculations!$A:$A</xm:f>
          </x14:formula1>
          <xm:sqref>D2 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4605-9F8B-4E0F-9D96-C70E93ECE013}">
  <dimension ref="B1:T15"/>
  <sheetViews>
    <sheetView showGridLines="0" topLeftCell="F4" workbookViewId="0">
      <selection activeCell="B15" sqref="B15:N15"/>
    </sheetView>
  </sheetViews>
  <sheetFormatPr defaultRowHeight="14.4" x14ac:dyDescent="0.55000000000000004"/>
  <cols>
    <col min="1" max="1" width="8.83984375" style="28"/>
    <col min="2" max="2" width="22.1015625" style="28" bestFit="1" customWidth="1"/>
    <col min="3" max="3" width="19.7890625" style="28" bestFit="1" customWidth="1"/>
    <col min="4" max="4" width="17" style="28" bestFit="1" customWidth="1"/>
    <col min="5" max="5" width="8.83984375" style="28"/>
    <col min="6" max="6" width="22.7890625" style="28" bestFit="1" customWidth="1"/>
    <col min="7" max="7" width="19.7890625" style="28" bestFit="1" customWidth="1"/>
    <col min="8" max="8" width="17" style="28" bestFit="1" customWidth="1"/>
    <col min="9" max="9" width="8.83984375" style="28"/>
    <col min="10" max="10" width="17.578125" style="28" bestFit="1" customWidth="1"/>
    <col min="11" max="11" width="16.47265625" style="28" bestFit="1" customWidth="1"/>
    <col min="12" max="13" width="17.26171875" style="28" bestFit="1" customWidth="1"/>
    <col min="14" max="16384" width="8.83984375" style="28"/>
  </cols>
  <sheetData>
    <row r="1" spans="2:20" ht="14.7" thickBot="1" x14ac:dyDescent="0.6"/>
    <row r="2" spans="2:20" ht="15" thickTop="1" thickBot="1" x14ac:dyDescent="0.6">
      <c r="B2" s="65"/>
      <c r="C2" s="31"/>
      <c r="D2" s="31"/>
      <c r="F2" s="65"/>
      <c r="G2" s="31"/>
      <c r="H2" s="31"/>
      <c r="J2" s="31"/>
      <c r="K2" s="67" t="s">
        <v>22369</v>
      </c>
      <c r="L2" s="31" t="s">
        <v>22368</v>
      </c>
      <c r="M2" s="31" t="s">
        <v>22370</v>
      </c>
    </row>
    <row r="3" spans="2:20" ht="15" thickTop="1" thickBot="1" x14ac:dyDescent="0.6">
      <c r="B3" s="65"/>
      <c r="C3" s="31"/>
      <c r="D3" s="31"/>
      <c r="F3" s="65"/>
      <c r="G3" s="31"/>
      <c r="H3" s="31"/>
      <c r="J3" s="52" t="s">
        <v>7</v>
      </c>
      <c r="K3" s="68">
        <f>AVERAGEIF(Calculations!$E:$E,$J3,Calculations!$F:$F)</f>
        <v>47025.909677419353</v>
      </c>
      <c r="L3" s="53">
        <f>AVERAGEIF(Calculations!$E:$E,$J3,Calculations!$T:$T)</f>
        <v>84322.002258064458</v>
      </c>
      <c r="M3" s="53">
        <f>K3+L3</f>
        <v>131347.9119354838</v>
      </c>
    </row>
    <row r="4" spans="2:20" ht="15" thickTop="1" thickBot="1" x14ac:dyDescent="0.6">
      <c r="J4" s="52" t="s">
        <v>29</v>
      </c>
      <c r="K4" s="68">
        <f>AVERAGEIF(Calculations!$E:$E,$J4,Calculations!$F:$F)</f>
        <v>65493.15160349854</v>
      </c>
      <c r="L4" s="53">
        <f>AVERAGEIF(Calculations!$E:$E,$J4,Calculations!$T:$T)</f>
        <v>100431.13081632661</v>
      </c>
      <c r="M4" s="53">
        <f t="shared" ref="M4:M5" si="0">K4+L4</f>
        <v>165924.28241982515</v>
      </c>
    </row>
    <row r="5" spans="2:20" ht="15" thickTop="1" thickBot="1" x14ac:dyDescent="0.6">
      <c r="B5" s="66"/>
      <c r="C5" s="31"/>
      <c r="D5" s="53"/>
      <c r="F5" s="66" t="s">
        <v>22366</v>
      </c>
      <c r="G5" s="31" t="s">
        <v>22360</v>
      </c>
      <c r="H5" s="53">
        <f>K5</f>
        <v>100776.10951008646</v>
      </c>
      <c r="J5" s="52" t="s">
        <v>10</v>
      </c>
      <c r="K5" s="68">
        <f>AVERAGEIF(Calculations!$E:$E,$J5,Calculations!$F:$F)</f>
        <v>100776.10951008646</v>
      </c>
      <c r="L5" s="53">
        <f>AVERAGEIF(Calculations!$E:$E,$J5,Calculations!$T:$T)</f>
        <v>105907.99489913539</v>
      </c>
      <c r="M5" s="53">
        <f t="shared" si="0"/>
        <v>206684.10440922185</v>
      </c>
    </row>
    <row r="6" spans="2:20" ht="15" thickTop="1" thickBot="1" x14ac:dyDescent="0.6">
      <c r="B6" s="66"/>
      <c r="C6" s="31"/>
      <c r="D6" s="53"/>
      <c r="F6" s="66"/>
      <c r="G6" s="31" t="s">
        <v>22361</v>
      </c>
      <c r="H6" s="53">
        <f>L5</f>
        <v>105907.99489913539</v>
      </c>
    </row>
    <row r="7" spans="2:20" ht="15" thickTop="1" thickBot="1" x14ac:dyDescent="0.6">
      <c r="B7" s="66"/>
      <c r="C7" s="31"/>
      <c r="D7" s="53"/>
      <c r="F7" s="66"/>
      <c r="G7" s="31" t="s">
        <v>22362</v>
      </c>
      <c r="H7" s="53">
        <f>H5+H6</f>
        <v>206684.10440922185</v>
      </c>
    </row>
    <row r="8" spans="2:20" ht="15" thickTop="1" thickBot="1" x14ac:dyDescent="0.6"/>
    <row r="9" spans="2:20" ht="15" thickTop="1" thickBot="1" x14ac:dyDescent="0.6">
      <c r="B9" s="66"/>
      <c r="C9" s="31"/>
      <c r="D9" s="53"/>
      <c r="F9" s="66" t="s">
        <v>22363</v>
      </c>
      <c r="G9" s="31" t="s">
        <v>22364</v>
      </c>
      <c r="H9" s="53">
        <f>VLOOKUP(J5,benchmark_data!$A$1:$D$10,2,FALSE)</f>
        <v>85000</v>
      </c>
    </row>
    <row r="10" spans="2:20" ht="15" thickTop="1" thickBot="1" x14ac:dyDescent="0.6">
      <c r="B10" s="66"/>
      <c r="C10" s="31"/>
      <c r="D10" s="53"/>
      <c r="F10" s="66"/>
      <c r="G10" s="31" t="s">
        <v>22321</v>
      </c>
      <c r="H10" s="53">
        <f>VLOOKUP(J5,benchmark_data!$A$1:$D$4,3,FALSE)</f>
        <v>125000</v>
      </c>
    </row>
    <row r="11" spans="2:20" ht="15" thickTop="1" thickBot="1" x14ac:dyDescent="0.6">
      <c r="B11" s="66"/>
      <c r="C11" s="31"/>
      <c r="D11" s="53"/>
      <c r="F11" s="66"/>
      <c r="G11" s="31" t="s">
        <v>22322</v>
      </c>
      <c r="H11" s="53">
        <f>H9+H10</f>
        <v>210000</v>
      </c>
    </row>
    <row r="12" spans="2:20" ht="14.7" thickTop="1" x14ac:dyDescent="0.55000000000000004"/>
    <row r="14" spans="2:20" ht="18.3" x14ac:dyDescent="0.7">
      <c r="B14" s="63" t="str">
        <f>J5</f>
        <v>Account Executive III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54"/>
      <c r="P14" s="54"/>
      <c r="Q14" s="54"/>
      <c r="R14" s="54"/>
      <c r="S14" s="54"/>
      <c r="T14" s="54"/>
    </row>
    <row r="15" spans="2:20" x14ac:dyDescent="0.55000000000000004"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55"/>
      <c r="P15" s="55"/>
      <c r="Q15" s="55"/>
      <c r="R15" s="55"/>
      <c r="S15" s="55"/>
      <c r="T15" s="55"/>
    </row>
  </sheetData>
  <mergeCells count="8">
    <mergeCell ref="B14:N14"/>
    <mergeCell ref="B15:N15"/>
    <mergeCell ref="B2:B3"/>
    <mergeCell ref="F2:F3"/>
    <mergeCell ref="B5:B7"/>
    <mergeCell ref="F5:F7"/>
    <mergeCell ref="B9:B11"/>
    <mergeCell ref="F9:F1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B23D68-45F4-4605-A04B-270EDED3CDDE}">
          <x14:formula1>
            <xm:f>Calculations!$A:$A</xm:f>
          </x14:formula1>
          <xm:sqref>D2 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topLeftCell="A970" workbookViewId="0"/>
  </sheetViews>
  <sheetFormatPr defaultRowHeight="14.4" x14ac:dyDescent="0.55000000000000004"/>
  <cols>
    <col min="1" max="1" width="12.68359375" bestFit="1" customWidth="1"/>
    <col min="2" max="2" width="13.26171875" bestFit="1" customWidth="1"/>
    <col min="3" max="3" width="14.15625" bestFit="1" customWidth="1"/>
    <col min="4" max="4" width="19.578125" bestFit="1" customWidth="1"/>
    <col min="5" max="5" width="7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55000000000000004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55000000000000004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55000000000000004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55000000000000004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55000000000000004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55000000000000004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55000000000000004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55000000000000004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55000000000000004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55000000000000004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55000000000000004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55000000000000004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55000000000000004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55000000000000004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55000000000000004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55000000000000004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55000000000000004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55000000000000004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55000000000000004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55000000000000004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55000000000000004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55000000000000004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55000000000000004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55000000000000004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55000000000000004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55000000000000004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55000000000000004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55000000000000004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55000000000000004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55000000000000004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55000000000000004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55000000000000004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55000000000000004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55000000000000004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55000000000000004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55000000000000004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55000000000000004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55000000000000004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55000000000000004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55000000000000004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55000000000000004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55000000000000004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55000000000000004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55000000000000004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55000000000000004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55000000000000004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55000000000000004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55000000000000004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55000000000000004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55000000000000004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55000000000000004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55000000000000004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55000000000000004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55000000000000004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55000000000000004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55000000000000004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55000000000000004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55000000000000004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55000000000000004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55000000000000004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55000000000000004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55000000000000004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55000000000000004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55000000000000004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55000000000000004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55000000000000004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55000000000000004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55000000000000004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55000000000000004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55000000000000004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55000000000000004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55000000000000004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55000000000000004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55000000000000004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55000000000000004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55000000000000004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55000000000000004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55000000000000004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55000000000000004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55000000000000004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55000000000000004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55000000000000004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55000000000000004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55000000000000004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55000000000000004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55000000000000004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55000000000000004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55000000000000004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55000000000000004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55000000000000004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55000000000000004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55000000000000004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55000000000000004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55000000000000004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55000000000000004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55000000000000004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55000000000000004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55000000000000004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55000000000000004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55000000000000004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55000000000000004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55000000000000004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55000000000000004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55000000000000004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55000000000000004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55000000000000004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55000000000000004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55000000000000004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55000000000000004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55000000000000004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55000000000000004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55000000000000004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55000000000000004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55000000000000004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55000000000000004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55000000000000004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55000000000000004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55000000000000004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55000000000000004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55000000000000004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55000000000000004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55000000000000004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55000000000000004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55000000000000004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55000000000000004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55000000000000004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55000000000000004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55000000000000004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55000000000000004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55000000000000004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55000000000000004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55000000000000004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55000000000000004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55000000000000004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55000000000000004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55000000000000004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55000000000000004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55000000000000004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55000000000000004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55000000000000004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55000000000000004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55000000000000004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55000000000000004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55000000000000004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55000000000000004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55000000000000004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55000000000000004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55000000000000004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55000000000000004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55000000000000004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55000000000000004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55000000000000004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55000000000000004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55000000000000004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55000000000000004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55000000000000004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55000000000000004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55000000000000004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55000000000000004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55000000000000004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55000000000000004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55000000000000004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55000000000000004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55000000000000004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55000000000000004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55000000000000004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55000000000000004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55000000000000004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55000000000000004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55000000000000004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55000000000000004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55000000000000004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55000000000000004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55000000000000004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55000000000000004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55000000000000004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55000000000000004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55000000000000004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55000000000000004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55000000000000004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55000000000000004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55000000000000004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55000000000000004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55000000000000004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55000000000000004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55000000000000004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55000000000000004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55000000000000004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55000000000000004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55000000000000004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55000000000000004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55000000000000004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55000000000000004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55000000000000004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55000000000000004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55000000000000004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55000000000000004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55000000000000004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55000000000000004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55000000000000004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55000000000000004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55000000000000004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55000000000000004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55000000000000004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55000000000000004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55000000000000004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55000000000000004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55000000000000004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55000000000000004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55000000000000004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55000000000000004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55000000000000004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55000000000000004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55000000000000004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55000000000000004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55000000000000004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55000000000000004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55000000000000004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55000000000000004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55000000000000004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55000000000000004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55000000000000004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55000000000000004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55000000000000004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55000000000000004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55000000000000004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55000000000000004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55000000000000004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55000000000000004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55000000000000004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55000000000000004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55000000000000004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55000000000000004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55000000000000004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55000000000000004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55000000000000004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55000000000000004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55000000000000004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55000000000000004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55000000000000004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55000000000000004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55000000000000004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55000000000000004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55000000000000004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55000000000000004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55000000000000004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55000000000000004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55000000000000004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55000000000000004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55000000000000004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55000000000000004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55000000000000004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55000000000000004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55000000000000004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55000000000000004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55000000000000004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55000000000000004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55000000000000004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55000000000000004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55000000000000004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55000000000000004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55000000000000004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55000000000000004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55000000000000004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55000000000000004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55000000000000004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55000000000000004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55000000000000004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55000000000000004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55000000000000004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55000000000000004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55000000000000004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55000000000000004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55000000000000004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55000000000000004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55000000000000004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55000000000000004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55000000000000004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55000000000000004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55000000000000004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55000000000000004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55000000000000004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55000000000000004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55000000000000004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55000000000000004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55000000000000004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55000000000000004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55000000000000004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55000000000000004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55000000000000004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55000000000000004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55000000000000004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55000000000000004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55000000000000004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55000000000000004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55000000000000004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55000000000000004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55000000000000004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55000000000000004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55000000000000004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55000000000000004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55000000000000004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55000000000000004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55000000000000004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55000000000000004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55000000000000004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55000000000000004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55000000000000004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55000000000000004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55000000000000004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55000000000000004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55000000000000004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55000000000000004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55000000000000004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55000000000000004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55000000000000004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55000000000000004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55000000000000004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55000000000000004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55000000000000004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55000000000000004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55000000000000004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55000000000000004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55000000000000004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55000000000000004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55000000000000004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55000000000000004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55000000000000004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55000000000000004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55000000000000004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55000000000000004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55000000000000004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55000000000000004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55000000000000004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55000000000000004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55000000000000004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55000000000000004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55000000000000004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55000000000000004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55000000000000004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55000000000000004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55000000000000004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55000000000000004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55000000000000004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55000000000000004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55000000000000004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55000000000000004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55000000000000004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55000000000000004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55000000000000004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55000000000000004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55000000000000004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55000000000000004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55000000000000004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55000000000000004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55000000000000004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55000000000000004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55000000000000004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55000000000000004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55000000000000004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55000000000000004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55000000000000004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55000000000000004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55000000000000004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55000000000000004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55000000000000004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55000000000000004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55000000000000004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55000000000000004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55000000000000004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55000000000000004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55000000000000004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55000000000000004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55000000000000004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55000000000000004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55000000000000004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55000000000000004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55000000000000004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55000000000000004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55000000000000004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55000000000000004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55000000000000004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55000000000000004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55000000000000004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55000000000000004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55000000000000004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55000000000000004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55000000000000004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55000000000000004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55000000000000004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55000000000000004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55000000000000004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55000000000000004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55000000000000004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55000000000000004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55000000000000004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55000000000000004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55000000000000004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55000000000000004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55000000000000004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55000000000000004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55000000000000004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55000000000000004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55000000000000004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55000000000000004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55000000000000004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55000000000000004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55000000000000004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55000000000000004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55000000000000004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55000000000000004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55000000000000004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55000000000000004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55000000000000004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55000000000000004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55000000000000004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55000000000000004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55000000000000004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55000000000000004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55000000000000004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55000000000000004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55000000000000004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55000000000000004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55000000000000004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55000000000000004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55000000000000004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55000000000000004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55000000000000004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55000000000000004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55000000000000004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55000000000000004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55000000000000004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55000000000000004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55000000000000004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55000000000000004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55000000000000004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55000000000000004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55000000000000004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55000000000000004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55000000000000004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55000000000000004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55000000000000004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55000000000000004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55000000000000004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55000000000000004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55000000000000004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55000000000000004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55000000000000004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55000000000000004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55000000000000004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55000000000000004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55000000000000004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55000000000000004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55000000000000004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55000000000000004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55000000000000004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55000000000000004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55000000000000004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55000000000000004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55000000000000004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55000000000000004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55000000000000004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55000000000000004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55000000000000004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55000000000000004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55000000000000004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55000000000000004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55000000000000004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55000000000000004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55000000000000004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55000000000000004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55000000000000004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55000000000000004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55000000000000004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55000000000000004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55000000000000004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55000000000000004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55000000000000004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55000000000000004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55000000000000004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55000000000000004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55000000000000004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55000000000000004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55000000000000004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55000000000000004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55000000000000004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55000000000000004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55000000000000004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55000000000000004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55000000000000004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55000000000000004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55000000000000004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55000000000000004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55000000000000004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55000000000000004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55000000000000004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55000000000000004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55000000000000004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55000000000000004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55000000000000004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55000000000000004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55000000000000004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55000000000000004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55000000000000004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55000000000000004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55000000000000004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55000000000000004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55000000000000004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55000000000000004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55000000000000004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55000000000000004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55000000000000004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55000000000000004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55000000000000004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55000000000000004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55000000000000004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55000000000000004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55000000000000004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55000000000000004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55000000000000004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55000000000000004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55000000000000004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55000000000000004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55000000000000004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55000000000000004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55000000000000004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55000000000000004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55000000000000004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55000000000000004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55000000000000004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55000000000000004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55000000000000004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55000000000000004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55000000000000004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55000000000000004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55000000000000004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55000000000000004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55000000000000004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55000000000000004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55000000000000004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55000000000000004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55000000000000004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55000000000000004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55000000000000004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55000000000000004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55000000000000004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55000000000000004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55000000000000004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55000000000000004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55000000000000004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55000000000000004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55000000000000004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55000000000000004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55000000000000004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55000000000000004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55000000000000004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55000000000000004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55000000000000004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55000000000000004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55000000000000004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55000000000000004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55000000000000004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55000000000000004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55000000000000004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55000000000000004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55000000000000004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55000000000000004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55000000000000004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55000000000000004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55000000000000004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55000000000000004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55000000000000004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55000000000000004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55000000000000004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55000000000000004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55000000000000004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55000000000000004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55000000000000004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55000000000000004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55000000000000004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55000000000000004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55000000000000004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55000000000000004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55000000000000004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55000000000000004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55000000000000004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55000000000000004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55000000000000004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55000000000000004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55000000000000004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55000000000000004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55000000000000004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55000000000000004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55000000000000004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55000000000000004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55000000000000004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55000000000000004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55000000000000004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55000000000000004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55000000000000004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55000000000000004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55000000000000004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55000000000000004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55000000000000004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55000000000000004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55000000000000004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55000000000000004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55000000000000004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55000000000000004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55000000000000004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55000000000000004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55000000000000004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55000000000000004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55000000000000004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55000000000000004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55000000000000004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55000000000000004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55000000000000004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55000000000000004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55000000000000004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55000000000000004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55000000000000004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55000000000000004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55000000000000004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55000000000000004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55000000000000004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55000000000000004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55000000000000004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55000000000000004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55000000000000004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55000000000000004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55000000000000004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55000000000000004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55000000000000004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55000000000000004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55000000000000004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55000000000000004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55000000000000004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55000000000000004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55000000000000004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55000000000000004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55000000000000004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55000000000000004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55000000000000004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55000000000000004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55000000000000004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55000000000000004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55000000000000004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55000000000000004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55000000000000004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55000000000000004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55000000000000004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55000000000000004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55000000000000004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55000000000000004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55000000000000004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55000000000000004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55000000000000004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55000000000000004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55000000000000004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55000000000000004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55000000000000004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55000000000000004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55000000000000004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55000000000000004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55000000000000004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55000000000000004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55000000000000004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55000000000000004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55000000000000004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55000000000000004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55000000000000004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55000000000000004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55000000000000004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55000000000000004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55000000000000004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55000000000000004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55000000000000004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55000000000000004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55000000000000004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55000000000000004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55000000000000004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55000000000000004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55000000000000004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55000000000000004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55000000000000004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55000000000000004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55000000000000004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55000000000000004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55000000000000004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55000000000000004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55000000000000004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55000000000000004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55000000000000004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55000000000000004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55000000000000004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55000000000000004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55000000000000004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55000000000000004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55000000000000004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55000000000000004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55000000000000004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55000000000000004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55000000000000004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55000000000000004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55000000000000004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55000000000000004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55000000000000004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55000000000000004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55000000000000004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55000000000000004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55000000000000004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55000000000000004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55000000000000004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55000000000000004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55000000000000004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55000000000000004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55000000000000004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55000000000000004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55000000000000004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55000000000000004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55000000000000004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55000000000000004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55000000000000004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55000000000000004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55000000000000004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55000000000000004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55000000000000004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55000000000000004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55000000000000004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55000000000000004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55000000000000004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55000000000000004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55000000000000004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55000000000000004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55000000000000004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55000000000000004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55000000000000004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55000000000000004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55000000000000004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55000000000000004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55000000000000004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55000000000000004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55000000000000004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55000000000000004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55000000000000004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55000000000000004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55000000000000004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55000000000000004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55000000000000004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55000000000000004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55000000000000004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55000000000000004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55000000000000004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55000000000000004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55000000000000004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55000000000000004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55000000000000004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55000000000000004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55000000000000004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55000000000000004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55000000000000004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55000000000000004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55000000000000004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55000000000000004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55000000000000004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55000000000000004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55000000000000004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55000000000000004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55000000000000004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55000000000000004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55000000000000004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55000000000000004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55000000000000004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55000000000000004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55000000000000004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55000000000000004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55000000000000004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55000000000000004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55000000000000004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55000000000000004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55000000000000004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55000000000000004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55000000000000004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55000000000000004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55000000000000004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55000000000000004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55000000000000004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55000000000000004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55000000000000004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55000000000000004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55000000000000004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55000000000000004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55000000000000004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55000000000000004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55000000000000004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55000000000000004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55000000000000004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55000000000000004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55000000000000004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55000000000000004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55000000000000004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55000000000000004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55000000000000004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55000000000000004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55000000000000004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55000000000000004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55000000000000004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55000000000000004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55000000000000004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55000000000000004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55000000000000004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55000000000000004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55000000000000004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55000000000000004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55000000000000004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55000000000000004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55000000000000004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55000000000000004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55000000000000004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55000000000000004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55000000000000004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55000000000000004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55000000000000004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55000000000000004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55000000000000004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55000000000000004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55000000000000004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55000000000000004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55000000000000004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55000000000000004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55000000000000004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55000000000000004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55000000000000004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55000000000000004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55000000000000004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55000000000000004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55000000000000004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55000000000000004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55000000000000004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55000000000000004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55000000000000004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55000000000000004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55000000000000004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55000000000000004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55000000000000004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55000000000000004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55000000000000004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55000000000000004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55000000000000004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55000000000000004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55000000000000004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55000000000000004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55000000000000004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55000000000000004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55000000000000004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55000000000000004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55000000000000004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55000000000000004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55000000000000004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55000000000000004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55000000000000004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55000000000000004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55000000000000004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55000000000000004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55000000000000004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55000000000000004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55000000000000004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55000000000000004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55000000000000004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55000000000000004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55000000000000004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55000000000000004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55000000000000004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55000000000000004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55000000000000004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55000000000000004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55000000000000004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55000000000000004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55000000000000004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55000000000000004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55000000000000004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55000000000000004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55000000000000004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55000000000000004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55000000000000004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55000000000000004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55000000000000004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55000000000000004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55000000000000004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55000000000000004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55000000000000004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55000000000000004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55000000000000004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55000000000000004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55000000000000004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55000000000000004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55000000000000004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55000000000000004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55000000000000004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55000000000000004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55000000000000004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55000000000000004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55000000000000004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55000000000000004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55000000000000004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55000000000000004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55000000000000004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55000000000000004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55000000000000004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55000000000000004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55000000000000004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55000000000000004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55000000000000004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55000000000000004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55000000000000004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55000000000000004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55000000000000004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55000000000000004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55000000000000004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55000000000000004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55000000000000004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55000000000000004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55000000000000004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55000000000000004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55000000000000004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55000000000000004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55000000000000004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55000000000000004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55000000000000004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55000000000000004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55000000000000004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55000000000000004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55000000000000004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55000000000000004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55000000000000004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55000000000000004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55000000000000004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55000000000000004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55000000000000004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55000000000000004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55000000000000004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55000000000000004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55000000000000004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55000000000000004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55000000000000004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55000000000000004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55000000000000004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55000000000000004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55000000000000004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55000000000000004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55000000000000004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55000000000000004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55000000000000004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55000000000000004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55000000000000004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55000000000000004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55000000000000004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55000000000000004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55000000000000004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55000000000000004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55000000000000004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55000000000000004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55000000000000004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55000000000000004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55000000000000004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55000000000000004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55000000000000004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55000000000000004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55000000000000004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55000000000000004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55000000000000004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55000000000000004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55000000000000004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55000000000000004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55000000000000004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55000000000000004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55000000000000004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55000000000000004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55000000000000004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55000000000000004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55000000000000004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55000000000000004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55000000000000004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55000000000000004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55000000000000004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55000000000000004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55000000000000004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55000000000000004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55000000000000004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55000000000000004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55000000000000004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55000000000000004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55000000000000004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55000000000000004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55000000000000004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55000000000000004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55000000000000004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55000000000000004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1"/>
  <sheetViews>
    <sheetView workbookViewId="0"/>
  </sheetViews>
  <sheetFormatPr defaultRowHeight="14.4" x14ac:dyDescent="0.55000000000000004"/>
  <cols>
    <col min="1" max="1" width="11.41796875" bestFit="1" customWidth="1"/>
    <col min="2" max="2" width="14.578125" bestFit="1" customWidth="1"/>
    <col min="3" max="3" width="14.68359375" bestFit="1" customWidth="1"/>
    <col min="4" max="4" width="12.68359375" bestFit="1" customWidth="1"/>
  </cols>
  <sheetData>
    <row r="1" spans="1:4" x14ac:dyDescent="0.55000000000000004">
      <c r="A1" t="s">
        <v>1926</v>
      </c>
      <c r="B1" t="s">
        <v>1927</v>
      </c>
      <c r="C1" t="s">
        <v>1928</v>
      </c>
      <c r="D1" t="s">
        <v>0</v>
      </c>
    </row>
    <row r="2" spans="1:4" x14ac:dyDescent="0.55000000000000004">
      <c r="A2" t="s">
        <v>1929</v>
      </c>
      <c r="B2" t="s">
        <v>1930</v>
      </c>
      <c r="C2">
        <v>56950</v>
      </c>
      <c r="D2">
        <v>5422052862</v>
      </c>
    </row>
    <row r="3" spans="1:4" x14ac:dyDescent="0.55000000000000004">
      <c r="A3" t="s">
        <v>1931</v>
      </c>
      <c r="B3" t="s">
        <v>1932</v>
      </c>
      <c r="C3">
        <v>48209</v>
      </c>
      <c r="D3">
        <v>8565880958</v>
      </c>
    </row>
    <row r="4" spans="1:4" x14ac:dyDescent="0.55000000000000004">
      <c r="A4" t="s">
        <v>1933</v>
      </c>
      <c r="B4" t="s">
        <v>1934</v>
      </c>
      <c r="C4">
        <v>21451</v>
      </c>
      <c r="D4">
        <v>5511711233</v>
      </c>
    </row>
    <row r="5" spans="1:4" x14ac:dyDescent="0.55000000000000004">
      <c r="A5" t="s">
        <v>1935</v>
      </c>
      <c r="B5" t="s">
        <v>1936</v>
      </c>
      <c r="C5">
        <v>25987</v>
      </c>
      <c r="D5">
        <v>3547596165</v>
      </c>
    </row>
    <row r="6" spans="1:4" x14ac:dyDescent="0.55000000000000004">
      <c r="A6" t="s">
        <v>1937</v>
      </c>
      <c r="B6" t="s">
        <v>1938</v>
      </c>
      <c r="C6">
        <v>34774</v>
      </c>
      <c r="D6">
        <v>4175195971</v>
      </c>
    </row>
    <row r="7" spans="1:4" x14ac:dyDescent="0.55000000000000004">
      <c r="A7" t="s">
        <v>1939</v>
      </c>
      <c r="B7" t="s">
        <v>1940</v>
      </c>
      <c r="C7">
        <v>14259</v>
      </c>
      <c r="D7">
        <v>6183510505</v>
      </c>
    </row>
    <row r="8" spans="1:4" x14ac:dyDescent="0.55000000000000004">
      <c r="A8" t="s">
        <v>1941</v>
      </c>
      <c r="B8" t="s">
        <v>1942</v>
      </c>
      <c r="C8">
        <v>14971</v>
      </c>
      <c r="D8">
        <v>9483290694</v>
      </c>
    </row>
    <row r="9" spans="1:4" x14ac:dyDescent="0.55000000000000004">
      <c r="A9" t="s">
        <v>1943</v>
      </c>
      <c r="B9" t="s">
        <v>1944</v>
      </c>
      <c r="C9">
        <v>56182</v>
      </c>
      <c r="D9">
        <v>264454596</v>
      </c>
    </row>
    <row r="10" spans="1:4" x14ac:dyDescent="0.55000000000000004">
      <c r="A10" t="s">
        <v>1945</v>
      </c>
      <c r="B10" t="s">
        <v>1946</v>
      </c>
      <c r="C10">
        <v>37022</v>
      </c>
      <c r="D10">
        <v>3935718624</v>
      </c>
    </row>
    <row r="11" spans="1:4" x14ac:dyDescent="0.55000000000000004">
      <c r="A11" t="s">
        <v>1947</v>
      </c>
      <c r="B11" t="s">
        <v>1948</v>
      </c>
      <c r="C11">
        <v>54203</v>
      </c>
      <c r="D11">
        <v>2355104786</v>
      </c>
    </row>
    <row r="12" spans="1:4" x14ac:dyDescent="0.55000000000000004">
      <c r="A12" t="s">
        <v>1949</v>
      </c>
      <c r="B12" t="s">
        <v>1950</v>
      </c>
      <c r="C12">
        <v>17688</v>
      </c>
      <c r="D12">
        <v>2533903736</v>
      </c>
    </row>
    <row r="13" spans="1:4" x14ac:dyDescent="0.55000000000000004">
      <c r="A13" t="s">
        <v>1951</v>
      </c>
      <c r="B13" t="s">
        <v>1952</v>
      </c>
      <c r="C13">
        <v>53718</v>
      </c>
      <c r="D13">
        <v>9293760045</v>
      </c>
    </row>
    <row r="14" spans="1:4" x14ac:dyDescent="0.55000000000000004">
      <c r="A14" t="s">
        <v>1953</v>
      </c>
      <c r="B14" t="s">
        <v>1954</v>
      </c>
      <c r="C14">
        <v>22114</v>
      </c>
      <c r="D14">
        <v>3933561566</v>
      </c>
    </row>
    <row r="15" spans="1:4" x14ac:dyDescent="0.55000000000000004">
      <c r="A15" t="s">
        <v>1955</v>
      </c>
      <c r="B15" t="s">
        <v>1956</v>
      </c>
      <c r="C15">
        <v>56954</v>
      </c>
      <c r="D15">
        <v>7402856011</v>
      </c>
    </row>
    <row r="16" spans="1:4" x14ac:dyDescent="0.55000000000000004">
      <c r="A16" t="s">
        <v>1957</v>
      </c>
      <c r="B16" t="s">
        <v>1958</v>
      </c>
      <c r="C16">
        <v>36601</v>
      </c>
      <c r="D16">
        <v>4323171323</v>
      </c>
    </row>
    <row r="17" spans="1:4" x14ac:dyDescent="0.55000000000000004">
      <c r="A17" t="s">
        <v>1959</v>
      </c>
      <c r="B17" t="s">
        <v>1960</v>
      </c>
      <c r="C17">
        <v>34798</v>
      </c>
      <c r="D17">
        <v>594961432</v>
      </c>
    </row>
    <row r="18" spans="1:4" x14ac:dyDescent="0.55000000000000004">
      <c r="A18" t="s">
        <v>1961</v>
      </c>
      <c r="B18" t="s">
        <v>1962</v>
      </c>
      <c r="C18">
        <v>58683</v>
      </c>
      <c r="D18">
        <v>3381164996</v>
      </c>
    </row>
    <row r="19" spans="1:4" x14ac:dyDescent="0.55000000000000004">
      <c r="A19" t="s">
        <v>1963</v>
      </c>
      <c r="B19" t="s">
        <v>1964</v>
      </c>
      <c r="C19">
        <v>39579</v>
      </c>
      <c r="D19">
        <v>8467388188</v>
      </c>
    </row>
    <row r="20" spans="1:4" x14ac:dyDescent="0.55000000000000004">
      <c r="A20" t="s">
        <v>1965</v>
      </c>
      <c r="B20" t="s">
        <v>1966</v>
      </c>
      <c r="C20">
        <v>34362</v>
      </c>
      <c r="D20">
        <v>2138131904</v>
      </c>
    </row>
    <row r="21" spans="1:4" x14ac:dyDescent="0.55000000000000004">
      <c r="A21" t="s">
        <v>1967</v>
      </c>
      <c r="B21" t="s">
        <v>1968</v>
      </c>
      <c r="C21">
        <v>36916</v>
      </c>
      <c r="D21">
        <v>3145039288</v>
      </c>
    </row>
    <row r="22" spans="1:4" x14ac:dyDescent="0.55000000000000004">
      <c r="A22" t="s">
        <v>1969</v>
      </c>
      <c r="B22" t="s">
        <v>1970</v>
      </c>
      <c r="C22">
        <v>20514</v>
      </c>
      <c r="D22">
        <v>299663825</v>
      </c>
    </row>
    <row r="23" spans="1:4" x14ac:dyDescent="0.55000000000000004">
      <c r="A23" t="s">
        <v>1971</v>
      </c>
      <c r="B23" t="s">
        <v>1972</v>
      </c>
      <c r="C23">
        <v>36420</v>
      </c>
      <c r="D23">
        <v>1839046880</v>
      </c>
    </row>
    <row r="24" spans="1:4" x14ac:dyDescent="0.55000000000000004">
      <c r="A24" t="s">
        <v>1973</v>
      </c>
      <c r="B24" t="s">
        <v>1974</v>
      </c>
      <c r="C24">
        <v>29041</v>
      </c>
      <c r="D24">
        <v>7560031153</v>
      </c>
    </row>
    <row r="25" spans="1:4" x14ac:dyDescent="0.55000000000000004">
      <c r="A25" t="s">
        <v>1975</v>
      </c>
      <c r="B25" t="s">
        <v>1976</v>
      </c>
      <c r="C25">
        <v>39244</v>
      </c>
      <c r="D25">
        <v>5637692440</v>
      </c>
    </row>
    <row r="26" spans="1:4" x14ac:dyDescent="0.55000000000000004">
      <c r="A26" t="s">
        <v>1977</v>
      </c>
      <c r="B26" t="s">
        <v>1978</v>
      </c>
      <c r="C26">
        <v>49572</v>
      </c>
      <c r="D26">
        <v>4862005330</v>
      </c>
    </row>
    <row r="27" spans="1:4" x14ac:dyDescent="0.55000000000000004">
      <c r="A27" t="s">
        <v>1979</v>
      </c>
      <c r="B27" t="s">
        <v>1980</v>
      </c>
      <c r="C27">
        <v>54376</v>
      </c>
      <c r="D27">
        <v>6286877770</v>
      </c>
    </row>
    <row r="28" spans="1:4" x14ac:dyDescent="0.55000000000000004">
      <c r="A28" t="s">
        <v>1981</v>
      </c>
      <c r="B28" t="s">
        <v>1982</v>
      </c>
      <c r="C28">
        <v>54964</v>
      </c>
      <c r="D28">
        <v>7326611955</v>
      </c>
    </row>
    <row r="29" spans="1:4" x14ac:dyDescent="0.55000000000000004">
      <c r="A29" t="s">
        <v>1983</v>
      </c>
      <c r="B29" t="s">
        <v>1984</v>
      </c>
      <c r="C29">
        <v>34620</v>
      </c>
      <c r="D29">
        <v>9163060264</v>
      </c>
    </row>
    <row r="30" spans="1:4" x14ac:dyDescent="0.55000000000000004">
      <c r="A30" t="s">
        <v>1985</v>
      </c>
      <c r="B30" t="s">
        <v>1986</v>
      </c>
      <c r="C30">
        <v>17792</v>
      </c>
      <c r="D30">
        <v>3259018638</v>
      </c>
    </row>
    <row r="31" spans="1:4" x14ac:dyDescent="0.55000000000000004">
      <c r="A31" t="s">
        <v>1987</v>
      </c>
      <c r="B31" t="s">
        <v>1988</v>
      </c>
      <c r="C31">
        <v>13775</v>
      </c>
      <c r="D31">
        <v>6819637888</v>
      </c>
    </row>
    <row r="32" spans="1:4" x14ac:dyDescent="0.55000000000000004">
      <c r="A32" t="s">
        <v>1989</v>
      </c>
      <c r="B32" t="s">
        <v>1970</v>
      </c>
      <c r="C32">
        <v>45277</v>
      </c>
      <c r="D32">
        <v>5474718616</v>
      </c>
    </row>
    <row r="33" spans="1:4" x14ac:dyDescent="0.55000000000000004">
      <c r="A33" t="s">
        <v>1990</v>
      </c>
      <c r="B33" t="s">
        <v>1991</v>
      </c>
      <c r="C33">
        <v>33594</v>
      </c>
      <c r="D33">
        <v>4192879565</v>
      </c>
    </row>
    <row r="34" spans="1:4" x14ac:dyDescent="0.55000000000000004">
      <c r="A34" t="s">
        <v>1992</v>
      </c>
      <c r="B34" t="s">
        <v>1993</v>
      </c>
      <c r="C34">
        <v>25434</v>
      </c>
      <c r="D34">
        <v>6776868107</v>
      </c>
    </row>
    <row r="35" spans="1:4" x14ac:dyDescent="0.55000000000000004">
      <c r="A35" t="s">
        <v>1994</v>
      </c>
      <c r="B35" t="s">
        <v>1995</v>
      </c>
      <c r="C35">
        <v>56499</v>
      </c>
      <c r="D35">
        <v>2565093969</v>
      </c>
    </row>
    <row r="36" spans="1:4" x14ac:dyDescent="0.55000000000000004">
      <c r="A36" t="s">
        <v>1996</v>
      </c>
      <c r="B36" t="s">
        <v>1997</v>
      </c>
      <c r="C36">
        <v>38741</v>
      </c>
      <c r="D36">
        <v>9207464802</v>
      </c>
    </row>
    <row r="37" spans="1:4" x14ac:dyDescent="0.55000000000000004">
      <c r="A37" t="s">
        <v>1998</v>
      </c>
      <c r="B37" t="s">
        <v>1999</v>
      </c>
      <c r="C37">
        <v>50162</v>
      </c>
      <c r="D37">
        <v>7132417177</v>
      </c>
    </row>
    <row r="38" spans="1:4" x14ac:dyDescent="0.55000000000000004">
      <c r="A38" t="s">
        <v>2000</v>
      </c>
      <c r="B38" t="s">
        <v>2001</v>
      </c>
      <c r="C38">
        <v>58300</v>
      </c>
      <c r="D38">
        <v>9548500949</v>
      </c>
    </row>
    <row r="39" spans="1:4" x14ac:dyDescent="0.55000000000000004">
      <c r="A39" t="s">
        <v>2002</v>
      </c>
      <c r="B39" t="s">
        <v>1940</v>
      </c>
      <c r="C39">
        <v>17246</v>
      </c>
      <c r="D39">
        <v>397599129</v>
      </c>
    </row>
    <row r="40" spans="1:4" x14ac:dyDescent="0.55000000000000004">
      <c r="A40" t="s">
        <v>2003</v>
      </c>
      <c r="B40" t="s">
        <v>2004</v>
      </c>
      <c r="C40">
        <v>58781</v>
      </c>
      <c r="D40">
        <v>1518783783</v>
      </c>
    </row>
    <row r="41" spans="1:4" x14ac:dyDescent="0.55000000000000004">
      <c r="A41" t="s">
        <v>2005</v>
      </c>
      <c r="B41" t="s">
        <v>2006</v>
      </c>
      <c r="C41">
        <v>44609</v>
      </c>
      <c r="D41">
        <v>8002426673</v>
      </c>
    </row>
    <row r="42" spans="1:4" x14ac:dyDescent="0.55000000000000004">
      <c r="A42" t="s">
        <v>2007</v>
      </c>
      <c r="B42" t="s">
        <v>2008</v>
      </c>
      <c r="C42">
        <v>19443</v>
      </c>
      <c r="D42">
        <v>1268934771</v>
      </c>
    </row>
    <row r="43" spans="1:4" x14ac:dyDescent="0.55000000000000004">
      <c r="A43" t="s">
        <v>2009</v>
      </c>
      <c r="B43" t="s">
        <v>2010</v>
      </c>
      <c r="C43">
        <v>20581</v>
      </c>
      <c r="D43">
        <v>4900475084</v>
      </c>
    </row>
    <row r="44" spans="1:4" x14ac:dyDescent="0.55000000000000004">
      <c r="A44" t="s">
        <v>2011</v>
      </c>
      <c r="B44" t="s">
        <v>2012</v>
      </c>
      <c r="C44">
        <v>24071</v>
      </c>
      <c r="D44">
        <v>7338728615</v>
      </c>
    </row>
    <row r="45" spans="1:4" x14ac:dyDescent="0.55000000000000004">
      <c r="A45" t="s">
        <v>2013</v>
      </c>
      <c r="B45" t="s">
        <v>2014</v>
      </c>
      <c r="C45">
        <v>31450</v>
      </c>
      <c r="D45">
        <v>6148235056</v>
      </c>
    </row>
    <row r="46" spans="1:4" x14ac:dyDescent="0.55000000000000004">
      <c r="A46" t="s">
        <v>2015</v>
      </c>
      <c r="B46" t="s">
        <v>2016</v>
      </c>
      <c r="C46">
        <v>26995</v>
      </c>
      <c r="D46">
        <v>2376099331</v>
      </c>
    </row>
    <row r="47" spans="1:4" x14ac:dyDescent="0.55000000000000004">
      <c r="A47" t="s">
        <v>2017</v>
      </c>
      <c r="B47" t="s">
        <v>2018</v>
      </c>
      <c r="C47">
        <v>28746</v>
      </c>
      <c r="D47">
        <v>9545462825</v>
      </c>
    </row>
    <row r="48" spans="1:4" x14ac:dyDescent="0.55000000000000004">
      <c r="A48" t="s">
        <v>2019</v>
      </c>
      <c r="B48" t="s">
        <v>2020</v>
      </c>
      <c r="C48">
        <v>59225</v>
      </c>
      <c r="D48">
        <v>4852897158</v>
      </c>
    </row>
    <row r="49" spans="1:4" x14ac:dyDescent="0.55000000000000004">
      <c r="A49" t="s">
        <v>2021</v>
      </c>
      <c r="B49" t="s">
        <v>2022</v>
      </c>
      <c r="C49">
        <v>57868</v>
      </c>
      <c r="D49">
        <v>4691333258</v>
      </c>
    </row>
    <row r="50" spans="1:4" x14ac:dyDescent="0.55000000000000004">
      <c r="A50" t="s">
        <v>2023</v>
      </c>
      <c r="B50" t="s">
        <v>2024</v>
      </c>
      <c r="C50">
        <v>24547</v>
      </c>
      <c r="D50">
        <v>1739513533</v>
      </c>
    </row>
    <row r="51" spans="1:4" x14ac:dyDescent="0.55000000000000004">
      <c r="A51" t="s">
        <v>2025</v>
      </c>
      <c r="B51" t="s">
        <v>2026</v>
      </c>
      <c r="C51">
        <v>23450</v>
      </c>
      <c r="D51">
        <v>5795848808</v>
      </c>
    </row>
    <row r="52" spans="1:4" x14ac:dyDescent="0.55000000000000004">
      <c r="A52" t="s">
        <v>2027</v>
      </c>
      <c r="B52" t="s">
        <v>2028</v>
      </c>
      <c r="C52">
        <v>20598</v>
      </c>
      <c r="D52">
        <v>1462166245</v>
      </c>
    </row>
    <row r="53" spans="1:4" x14ac:dyDescent="0.55000000000000004">
      <c r="A53" t="s">
        <v>2029</v>
      </c>
      <c r="B53" t="s">
        <v>2030</v>
      </c>
      <c r="C53">
        <v>20792</v>
      </c>
      <c r="D53">
        <v>9483290694</v>
      </c>
    </row>
    <row r="54" spans="1:4" x14ac:dyDescent="0.55000000000000004">
      <c r="A54" t="s">
        <v>2031</v>
      </c>
      <c r="B54" t="s">
        <v>2032</v>
      </c>
      <c r="C54">
        <v>39299</v>
      </c>
      <c r="D54">
        <v>8127128031</v>
      </c>
    </row>
    <row r="55" spans="1:4" x14ac:dyDescent="0.55000000000000004">
      <c r="A55" t="s">
        <v>2033</v>
      </c>
      <c r="B55" t="s">
        <v>1948</v>
      </c>
      <c r="C55">
        <v>54613</v>
      </c>
      <c r="D55">
        <v>3213290963</v>
      </c>
    </row>
    <row r="56" spans="1:4" x14ac:dyDescent="0.55000000000000004">
      <c r="A56" t="s">
        <v>2034</v>
      </c>
      <c r="B56" t="s">
        <v>2035</v>
      </c>
      <c r="C56">
        <v>15967</v>
      </c>
      <c r="D56">
        <v>3986480021</v>
      </c>
    </row>
    <row r="57" spans="1:4" x14ac:dyDescent="0.55000000000000004">
      <c r="A57" t="s">
        <v>2036</v>
      </c>
      <c r="B57" t="s">
        <v>2037</v>
      </c>
      <c r="C57">
        <v>25047</v>
      </c>
      <c r="D57">
        <v>1053331541</v>
      </c>
    </row>
    <row r="58" spans="1:4" x14ac:dyDescent="0.55000000000000004">
      <c r="A58" t="s">
        <v>2038</v>
      </c>
      <c r="B58" t="s">
        <v>2039</v>
      </c>
      <c r="C58">
        <v>48477</v>
      </c>
      <c r="D58">
        <v>5197585250</v>
      </c>
    </row>
    <row r="59" spans="1:4" x14ac:dyDescent="0.55000000000000004">
      <c r="A59" t="s">
        <v>2040</v>
      </c>
      <c r="B59" t="s">
        <v>2041</v>
      </c>
      <c r="C59">
        <v>21275</v>
      </c>
      <c r="D59">
        <v>3877279783</v>
      </c>
    </row>
    <row r="60" spans="1:4" x14ac:dyDescent="0.55000000000000004">
      <c r="A60" t="s">
        <v>2042</v>
      </c>
      <c r="B60" t="s">
        <v>2043</v>
      </c>
      <c r="C60">
        <v>30039</v>
      </c>
      <c r="D60">
        <v>5079859830</v>
      </c>
    </row>
    <row r="61" spans="1:4" x14ac:dyDescent="0.55000000000000004">
      <c r="A61" t="s">
        <v>2044</v>
      </c>
      <c r="B61" t="s">
        <v>2045</v>
      </c>
      <c r="C61">
        <v>14895</v>
      </c>
      <c r="D61">
        <v>5687748091</v>
      </c>
    </row>
    <row r="62" spans="1:4" x14ac:dyDescent="0.55000000000000004">
      <c r="A62" t="s">
        <v>2046</v>
      </c>
      <c r="B62" t="s">
        <v>2047</v>
      </c>
      <c r="C62">
        <v>27539</v>
      </c>
      <c r="D62">
        <v>8267733809</v>
      </c>
    </row>
    <row r="63" spans="1:4" x14ac:dyDescent="0.55000000000000004">
      <c r="A63" t="s">
        <v>2048</v>
      </c>
      <c r="B63" t="s">
        <v>2049</v>
      </c>
      <c r="C63">
        <v>10836</v>
      </c>
      <c r="D63">
        <v>7645724897</v>
      </c>
    </row>
    <row r="64" spans="1:4" x14ac:dyDescent="0.55000000000000004">
      <c r="A64" t="s">
        <v>2050</v>
      </c>
      <c r="B64" t="s">
        <v>2051</v>
      </c>
      <c r="C64">
        <v>20834</v>
      </c>
      <c r="D64">
        <v>9885165231</v>
      </c>
    </row>
    <row r="65" spans="1:4" x14ac:dyDescent="0.55000000000000004">
      <c r="A65" t="s">
        <v>2052</v>
      </c>
      <c r="B65" t="s">
        <v>1956</v>
      </c>
      <c r="C65">
        <v>15147</v>
      </c>
      <c r="D65">
        <v>9128677390</v>
      </c>
    </row>
    <row r="66" spans="1:4" x14ac:dyDescent="0.55000000000000004">
      <c r="A66" t="s">
        <v>2053</v>
      </c>
      <c r="B66" t="s">
        <v>2054</v>
      </c>
      <c r="C66">
        <v>26500</v>
      </c>
      <c r="D66">
        <v>209942509</v>
      </c>
    </row>
    <row r="67" spans="1:4" x14ac:dyDescent="0.55000000000000004">
      <c r="A67" t="s">
        <v>2055</v>
      </c>
      <c r="B67" t="s">
        <v>1976</v>
      </c>
      <c r="C67">
        <v>35913</v>
      </c>
      <c r="D67">
        <v>4162153728</v>
      </c>
    </row>
    <row r="68" spans="1:4" x14ac:dyDescent="0.55000000000000004">
      <c r="A68" t="s">
        <v>2056</v>
      </c>
      <c r="B68" t="s">
        <v>2057</v>
      </c>
      <c r="C68">
        <v>52124</v>
      </c>
      <c r="D68">
        <v>3507341514</v>
      </c>
    </row>
    <row r="69" spans="1:4" x14ac:dyDescent="0.55000000000000004">
      <c r="A69" t="s">
        <v>2058</v>
      </c>
      <c r="B69" t="s">
        <v>2059</v>
      </c>
      <c r="C69">
        <v>20964</v>
      </c>
      <c r="D69">
        <v>2314136845</v>
      </c>
    </row>
    <row r="70" spans="1:4" x14ac:dyDescent="0.55000000000000004">
      <c r="A70" t="s">
        <v>2060</v>
      </c>
      <c r="B70" t="s">
        <v>2061</v>
      </c>
      <c r="C70">
        <v>49247</v>
      </c>
      <c r="D70">
        <v>7236563277</v>
      </c>
    </row>
    <row r="71" spans="1:4" x14ac:dyDescent="0.55000000000000004">
      <c r="A71" t="s">
        <v>2062</v>
      </c>
      <c r="B71" t="s">
        <v>2063</v>
      </c>
      <c r="C71">
        <v>16928</v>
      </c>
      <c r="D71">
        <v>9312128221</v>
      </c>
    </row>
    <row r="72" spans="1:4" x14ac:dyDescent="0.55000000000000004">
      <c r="A72" t="s">
        <v>2064</v>
      </c>
      <c r="B72" t="s">
        <v>2065</v>
      </c>
      <c r="C72">
        <v>57926</v>
      </c>
      <c r="D72">
        <v>1953937357</v>
      </c>
    </row>
    <row r="73" spans="1:4" x14ac:dyDescent="0.55000000000000004">
      <c r="A73" t="s">
        <v>2066</v>
      </c>
      <c r="B73" t="s">
        <v>2067</v>
      </c>
      <c r="C73">
        <v>39932</v>
      </c>
      <c r="D73">
        <v>7205288142</v>
      </c>
    </row>
    <row r="74" spans="1:4" x14ac:dyDescent="0.55000000000000004">
      <c r="A74" t="s">
        <v>2068</v>
      </c>
      <c r="B74" t="s">
        <v>2069</v>
      </c>
      <c r="C74">
        <v>19364</v>
      </c>
      <c r="D74">
        <v>1958063002</v>
      </c>
    </row>
    <row r="75" spans="1:4" x14ac:dyDescent="0.55000000000000004">
      <c r="A75" t="s">
        <v>2070</v>
      </c>
      <c r="B75" t="s">
        <v>2071</v>
      </c>
      <c r="C75">
        <v>46426</v>
      </c>
      <c r="D75">
        <v>9163060264</v>
      </c>
    </row>
    <row r="76" spans="1:4" x14ac:dyDescent="0.55000000000000004">
      <c r="A76" t="s">
        <v>2072</v>
      </c>
      <c r="B76" t="s">
        <v>2073</v>
      </c>
      <c r="C76">
        <v>31106</v>
      </c>
      <c r="D76">
        <v>19662963</v>
      </c>
    </row>
    <row r="77" spans="1:4" x14ac:dyDescent="0.55000000000000004">
      <c r="A77" t="s">
        <v>2074</v>
      </c>
      <c r="B77" t="s">
        <v>2075</v>
      </c>
      <c r="C77">
        <v>49263</v>
      </c>
      <c r="D77">
        <v>3661649302</v>
      </c>
    </row>
    <row r="78" spans="1:4" x14ac:dyDescent="0.55000000000000004">
      <c r="A78" t="s">
        <v>2076</v>
      </c>
      <c r="B78" t="s">
        <v>2077</v>
      </c>
      <c r="C78">
        <v>14614</v>
      </c>
      <c r="D78">
        <v>5837066497</v>
      </c>
    </row>
    <row r="79" spans="1:4" x14ac:dyDescent="0.55000000000000004">
      <c r="A79" t="s">
        <v>2078</v>
      </c>
      <c r="B79" t="s">
        <v>2079</v>
      </c>
      <c r="C79">
        <v>47449</v>
      </c>
      <c r="D79">
        <v>6515844751</v>
      </c>
    </row>
    <row r="80" spans="1:4" x14ac:dyDescent="0.55000000000000004">
      <c r="A80" t="s">
        <v>2080</v>
      </c>
      <c r="B80" t="s">
        <v>1958</v>
      </c>
      <c r="C80">
        <v>17319</v>
      </c>
      <c r="D80">
        <v>1419116835</v>
      </c>
    </row>
    <row r="81" spans="1:4" x14ac:dyDescent="0.55000000000000004">
      <c r="A81" t="s">
        <v>2081</v>
      </c>
      <c r="B81" t="s">
        <v>1934</v>
      </c>
      <c r="C81">
        <v>59484</v>
      </c>
      <c r="D81">
        <v>4525743115</v>
      </c>
    </row>
    <row r="82" spans="1:4" x14ac:dyDescent="0.55000000000000004">
      <c r="A82" t="s">
        <v>2082</v>
      </c>
      <c r="B82" t="s">
        <v>2083</v>
      </c>
      <c r="C82">
        <v>28158</v>
      </c>
      <c r="D82">
        <v>3524504531</v>
      </c>
    </row>
    <row r="83" spans="1:4" x14ac:dyDescent="0.55000000000000004">
      <c r="A83" t="s">
        <v>2084</v>
      </c>
      <c r="B83" t="s">
        <v>2079</v>
      </c>
      <c r="C83">
        <v>52673</v>
      </c>
      <c r="D83">
        <v>244523738</v>
      </c>
    </row>
    <row r="84" spans="1:4" x14ac:dyDescent="0.55000000000000004">
      <c r="A84" t="s">
        <v>2085</v>
      </c>
      <c r="B84" t="s">
        <v>1982</v>
      </c>
      <c r="C84">
        <v>50816</v>
      </c>
      <c r="D84">
        <v>3213290963</v>
      </c>
    </row>
    <row r="85" spans="1:4" x14ac:dyDescent="0.55000000000000004">
      <c r="A85" t="s">
        <v>2086</v>
      </c>
      <c r="B85" t="s">
        <v>2087</v>
      </c>
      <c r="C85">
        <v>17278</v>
      </c>
      <c r="D85">
        <v>5907724676</v>
      </c>
    </row>
    <row r="86" spans="1:4" x14ac:dyDescent="0.55000000000000004">
      <c r="A86" t="s">
        <v>2088</v>
      </c>
      <c r="B86" t="s">
        <v>2089</v>
      </c>
      <c r="C86">
        <v>24000</v>
      </c>
      <c r="D86">
        <v>7273123196</v>
      </c>
    </row>
    <row r="87" spans="1:4" x14ac:dyDescent="0.55000000000000004">
      <c r="A87" t="s">
        <v>2090</v>
      </c>
      <c r="B87" t="s">
        <v>1997</v>
      </c>
      <c r="C87">
        <v>13677</v>
      </c>
      <c r="D87">
        <v>9854387496</v>
      </c>
    </row>
    <row r="88" spans="1:4" x14ac:dyDescent="0.55000000000000004">
      <c r="A88" t="s">
        <v>2091</v>
      </c>
      <c r="B88" t="s">
        <v>2073</v>
      </c>
      <c r="C88">
        <v>53522</v>
      </c>
      <c r="D88">
        <v>1472093461</v>
      </c>
    </row>
    <row r="89" spans="1:4" x14ac:dyDescent="0.55000000000000004">
      <c r="A89" t="s">
        <v>2092</v>
      </c>
      <c r="B89" t="s">
        <v>2093</v>
      </c>
      <c r="C89">
        <v>26620</v>
      </c>
      <c r="D89">
        <v>4786629839</v>
      </c>
    </row>
    <row r="90" spans="1:4" x14ac:dyDescent="0.55000000000000004">
      <c r="A90" t="s">
        <v>2094</v>
      </c>
      <c r="B90" t="s">
        <v>2095</v>
      </c>
      <c r="C90">
        <v>54950</v>
      </c>
      <c r="D90">
        <v>1532722974</v>
      </c>
    </row>
    <row r="91" spans="1:4" x14ac:dyDescent="0.55000000000000004">
      <c r="A91" t="s">
        <v>2096</v>
      </c>
      <c r="B91" t="s">
        <v>2097</v>
      </c>
      <c r="C91">
        <v>24489</v>
      </c>
      <c r="D91">
        <v>8349606134</v>
      </c>
    </row>
    <row r="92" spans="1:4" x14ac:dyDescent="0.55000000000000004">
      <c r="A92" t="s">
        <v>2098</v>
      </c>
      <c r="B92" t="s">
        <v>2099</v>
      </c>
      <c r="C92">
        <v>47329</v>
      </c>
      <c r="D92">
        <v>6734537986</v>
      </c>
    </row>
    <row r="93" spans="1:4" x14ac:dyDescent="0.55000000000000004">
      <c r="A93" t="s">
        <v>2100</v>
      </c>
      <c r="B93" t="s">
        <v>2101</v>
      </c>
      <c r="C93">
        <v>24507</v>
      </c>
      <c r="D93">
        <v>7160109333</v>
      </c>
    </row>
    <row r="94" spans="1:4" x14ac:dyDescent="0.55000000000000004">
      <c r="A94" t="s">
        <v>2102</v>
      </c>
      <c r="B94" t="s">
        <v>2103</v>
      </c>
      <c r="C94">
        <v>29852</v>
      </c>
      <c r="D94">
        <v>9491257560</v>
      </c>
    </row>
    <row r="95" spans="1:4" x14ac:dyDescent="0.55000000000000004">
      <c r="A95" t="s">
        <v>2104</v>
      </c>
      <c r="B95" t="s">
        <v>1952</v>
      </c>
      <c r="C95">
        <v>44345</v>
      </c>
      <c r="D95">
        <v>9854387496</v>
      </c>
    </row>
    <row r="96" spans="1:4" x14ac:dyDescent="0.55000000000000004">
      <c r="A96" t="s">
        <v>2105</v>
      </c>
      <c r="B96" t="s">
        <v>2106</v>
      </c>
      <c r="C96">
        <v>45664</v>
      </c>
      <c r="D96">
        <v>2575500974</v>
      </c>
    </row>
    <row r="97" spans="1:4" x14ac:dyDescent="0.55000000000000004">
      <c r="A97" t="s">
        <v>2107</v>
      </c>
      <c r="B97" t="s">
        <v>1956</v>
      </c>
      <c r="C97">
        <v>55090</v>
      </c>
      <c r="D97">
        <v>3097425365</v>
      </c>
    </row>
    <row r="98" spans="1:4" x14ac:dyDescent="0.55000000000000004">
      <c r="A98" t="s">
        <v>2108</v>
      </c>
      <c r="B98" t="s">
        <v>2109</v>
      </c>
      <c r="C98">
        <v>44305</v>
      </c>
      <c r="D98">
        <v>5439294325</v>
      </c>
    </row>
    <row r="99" spans="1:4" x14ac:dyDescent="0.55000000000000004">
      <c r="A99" t="s">
        <v>2110</v>
      </c>
      <c r="B99" t="s">
        <v>2111</v>
      </c>
      <c r="C99">
        <v>57491</v>
      </c>
      <c r="D99">
        <v>4786629839</v>
      </c>
    </row>
    <row r="100" spans="1:4" x14ac:dyDescent="0.55000000000000004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55000000000000004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55000000000000004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55000000000000004">
      <c r="A103" t="s">
        <v>2117</v>
      </c>
      <c r="B103" t="s">
        <v>2118</v>
      </c>
      <c r="C103">
        <v>44942</v>
      </c>
      <c r="D103">
        <v>25254650</v>
      </c>
    </row>
    <row r="104" spans="1:4" x14ac:dyDescent="0.55000000000000004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55000000000000004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55000000000000004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55000000000000004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55000000000000004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55000000000000004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55000000000000004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55000000000000004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55000000000000004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55000000000000004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55000000000000004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55000000000000004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55000000000000004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55000000000000004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55000000000000004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55000000000000004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55000000000000004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55000000000000004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55000000000000004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55000000000000004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55000000000000004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55000000000000004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55000000000000004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55000000000000004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55000000000000004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55000000000000004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55000000000000004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55000000000000004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55000000000000004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55000000000000004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55000000000000004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55000000000000004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55000000000000004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55000000000000004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55000000000000004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55000000000000004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55000000000000004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55000000000000004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55000000000000004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55000000000000004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55000000000000004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55000000000000004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55000000000000004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55000000000000004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55000000000000004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55000000000000004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55000000000000004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55000000000000004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55000000000000004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55000000000000004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55000000000000004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55000000000000004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55000000000000004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55000000000000004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55000000000000004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55000000000000004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55000000000000004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55000000000000004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55000000000000004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55000000000000004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55000000000000004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55000000000000004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55000000000000004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55000000000000004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55000000000000004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55000000000000004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55000000000000004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55000000000000004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55000000000000004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55000000000000004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55000000000000004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55000000000000004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55000000000000004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55000000000000004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55000000000000004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55000000000000004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55000000000000004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55000000000000004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55000000000000004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55000000000000004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55000000000000004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55000000000000004">
      <c r="A185" t="s">
        <v>2258</v>
      </c>
      <c r="B185" t="s">
        <v>1978</v>
      </c>
      <c r="C185">
        <v>34254</v>
      </c>
      <c r="D185">
        <v>27852261</v>
      </c>
    </row>
    <row r="186" spans="1:4" x14ac:dyDescent="0.55000000000000004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55000000000000004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55000000000000004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55000000000000004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55000000000000004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55000000000000004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55000000000000004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55000000000000004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55000000000000004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55000000000000004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55000000000000004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55000000000000004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55000000000000004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55000000000000004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55000000000000004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55000000000000004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55000000000000004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55000000000000004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55000000000000004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55000000000000004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55000000000000004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55000000000000004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55000000000000004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55000000000000004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55000000000000004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55000000000000004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55000000000000004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55000000000000004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55000000000000004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55000000000000004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55000000000000004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55000000000000004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55000000000000004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55000000000000004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55000000000000004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55000000000000004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55000000000000004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55000000000000004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55000000000000004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55000000000000004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55000000000000004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55000000000000004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55000000000000004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55000000000000004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55000000000000004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55000000000000004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55000000000000004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55000000000000004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55000000000000004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55000000000000004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55000000000000004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55000000000000004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55000000000000004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55000000000000004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55000000000000004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55000000000000004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55000000000000004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55000000000000004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55000000000000004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55000000000000004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55000000000000004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55000000000000004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55000000000000004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55000000000000004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55000000000000004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55000000000000004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55000000000000004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55000000000000004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55000000000000004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55000000000000004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55000000000000004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55000000000000004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55000000000000004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55000000000000004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55000000000000004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55000000000000004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55000000000000004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55000000000000004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55000000000000004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55000000000000004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55000000000000004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55000000000000004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55000000000000004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55000000000000004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55000000000000004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55000000000000004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55000000000000004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55000000000000004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55000000000000004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55000000000000004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55000000000000004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55000000000000004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55000000000000004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55000000000000004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55000000000000004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55000000000000004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55000000000000004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55000000000000004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55000000000000004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55000000000000004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55000000000000004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55000000000000004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55000000000000004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55000000000000004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55000000000000004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55000000000000004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55000000000000004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55000000000000004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55000000000000004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55000000000000004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55000000000000004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55000000000000004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55000000000000004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55000000000000004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55000000000000004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55000000000000004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55000000000000004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55000000000000004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55000000000000004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55000000000000004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55000000000000004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55000000000000004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55000000000000004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55000000000000004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55000000000000004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55000000000000004">
      <c r="A311" t="s">
        <v>2449</v>
      </c>
      <c r="B311" t="s">
        <v>2188</v>
      </c>
      <c r="C311">
        <v>18645</v>
      </c>
      <c r="D311">
        <v>37593587</v>
      </c>
    </row>
    <row r="312" spans="1:4" x14ac:dyDescent="0.55000000000000004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55000000000000004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55000000000000004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55000000000000004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55000000000000004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55000000000000004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55000000000000004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55000000000000004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55000000000000004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55000000000000004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55000000000000004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55000000000000004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55000000000000004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55000000000000004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55000000000000004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55000000000000004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55000000000000004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55000000000000004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55000000000000004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55000000000000004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55000000000000004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55000000000000004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55000000000000004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55000000000000004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55000000000000004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55000000000000004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55000000000000004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55000000000000004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55000000000000004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55000000000000004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55000000000000004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55000000000000004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55000000000000004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55000000000000004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55000000000000004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55000000000000004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55000000000000004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55000000000000004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55000000000000004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55000000000000004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55000000000000004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55000000000000004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55000000000000004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55000000000000004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55000000000000004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55000000000000004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55000000000000004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55000000000000004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55000000000000004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55000000000000004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55000000000000004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55000000000000004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55000000000000004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55000000000000004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55000000000000004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55000000000000004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55000000000000004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55000000000000004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55000000000000004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55000000000000004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55000000000000004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55000000000000004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55000000000000004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55000000000000004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55000000000000004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55000000000000004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55000000000000004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55000000000000004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55000000000000004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55000000000000004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55000000000000004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55000000000000004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55000000000000004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55000000000000004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55000000000000004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55000000000000004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55000000000000004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55000000000000004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55000000000000004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55000000000000004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55000000000000004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55000000000000004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55000000000000004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55000000000000004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55000000000000004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55000000000000004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55000000000000004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55000000000000004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55000000000000004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55000000000000004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55000000000000004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55000000000000004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55000000000000004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55000000000000004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55000000000000004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55000000000000004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55000000000000004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55000000000000004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55000000000000004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55000000000000004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55000000000000004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55000000000000004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55000000000000004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55000000000000004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55000000000000004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55000000000000004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55000000000000004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55000000000000004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55000000000000004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55000000000000004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55000000000000004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55000000000000004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55000000000000004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55000000000000004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55000000000000004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55000000000000004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55000000000000004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55000000000000004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55000000000000004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55000000000000004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55000000000000004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55000000000000004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55000000000000004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55000000000000004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55000000000000004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55000000000000004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55000000000000004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55000000000000004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55000000000000004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55000000000000004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55000000000000004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55000000000000004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55000000000000004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55000000000000004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55000000000000004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55000000000000004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55000000000000004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55000000000000004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55000000000000004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55000000000000004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55000000000000004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55000000000000004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55000000000000004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55000000000000004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55000000000000004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55000000000000004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55000000000000004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55000000000000004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55000000000000004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55000000000000004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55000000000000004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55000000000000004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55000000000000004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55000000000000004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55000000000000004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55000000000000004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55000000000000004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55000000000000004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55000000000000004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55000000000000004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55000000000000004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55000000000000004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55000000000000004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55000000000000004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55000000000000004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55000000000000004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55000000000000004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55000000000000004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55000000000000004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55000000000000004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55000000000000004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55000000000000004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55000000000000004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55000000000000004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55000000000000004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55000000000000004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55000000000000004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55000000000000004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55000000000000004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55000000000000004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55000000000000004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55000000000000004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55000000000000004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55000000000000004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55000000000000004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55000000000000004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55000000000000004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55000000000000004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55000000000000004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55000000000000004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55000000000000004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55000000000000004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55000000000000004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55000000000000004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55000000000000004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55000000000000004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55000000000000004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55000000000000004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55000000000000004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55000000000000004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55000000000000004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55000000000000004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55000000000000004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55000000000000004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55000000000000004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55000000000000004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55000000000000004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55000000000000004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55000000000000004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55000000000000004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55000000000000004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55000000000000004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55000000000000004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55000000000000004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55000000000000004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55000000000000004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55000000000000004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55000000000000004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55000000000000004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55000000000000004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55000000000000004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55000000000000004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55000000000000004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55000000000000004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55000000000000004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55000000000000004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55000000000000004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55000000000000004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55000000000000004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55000000000000004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55000000000000004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55000000000000004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55000000000000004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55000000000000004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55000000000000004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55000000000000004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55000000000000004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55000000000000004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55000000000000004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55000000000000004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55000000000000004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55000000000000004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55000000000000004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55000000000000004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55000000000000004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55000000000000004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55000000000000004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55000000000000004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55000000000000004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55000000000000004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55000000000000004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55000000000000004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55000000000000004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55000000000000004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55000000000000004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55000000000000004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55000000000000004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55000000000000004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55000000000000004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55000000000000004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55000000000000004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55000000000000004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55000000000000004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55000000000000004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55000000000000004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55000000000000004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55000000000000004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55000000000000004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55000000000000004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55000000000000004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55000000000000004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55000000000000004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55000000000000004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55000000000000004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55000000000000004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55000000000000004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55000000000000004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55000000000000004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55000000000000004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55000000000000004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55000000000000004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55000000000000004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55000000000000004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55000000000000004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55000000000000004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55000000000000004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55000000000000004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55000000000000004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55000000000000004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55000000000000004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55000000000000004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55000000000000004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55000000000000004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55000000000000004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55000000000000004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55000000000000004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55000000000000004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55000000000000004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55000000000000004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55000000000000004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55000000000000004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55000000000000004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55000000000000004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55000000000000004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55000000000000004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55000000000000004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55000000000000004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55000000000000004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55000000000000004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55000000000000004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55000000000000004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55000000000000004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55000000000000004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55000000000000004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55000000000000004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55000000000000004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55000000000000004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55000000000000004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55000000000000004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55000000000000004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55000000000000004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55000000000000004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55000000000000004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55000000000000004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55000000000000004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55000000000000004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55000000000000004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55000000000000004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55000000000000004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55000000000000004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55000000000000004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55000000000000004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55000000000000004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55000000000000004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55000000000000004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55000000000000004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55000000000000004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55000000000000004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55000000000000004">
      <c r="A650" t="s">
        <v>2886</v>
      </c>
      <c r="B650" t="s">
        <v>2764</v>
      </c>
      <c r="C650">
        <v>23484</v>
      </c>
      <c r="D650">
        <v>17898579</v>
      </c>
    </row>
    <row r="651" spans="1:4" x14ac:dyDescent="0.55000000000000004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55000000000000004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55000000000000004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55000000000000004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55000000000000004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55000000000000004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55000000000000004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55000000000000004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55000000000000004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55000000000000004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55000000000000004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55000000000000004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55000000000000004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55000000000000004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55000000000000004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55000000000000004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55000000000000004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55000000000000004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55000000000000004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55000000000000004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55000000000000004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55000000000000004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55000000000000004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55000000000000004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55000000000000004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55000000000000004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55000000000000004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55000000000000004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55000000000000004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55000000000000004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55000000000000004">
      <c r="A681" t="s">
        <v>2922</v>
      </c>
      <c r="B681" t="s">
        <v>2923</v>
      </c>
      <c r="C681">
        <v>54000</v>
      </c>
      <c r="D681">
        <v>76572129</v>
      </c>
    </row>
    <row r="682" spans="1:4" x14ac:dyDescent="0.55000000000000004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55000000000000004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55000000000000004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55000000000000004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55000000000000004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55000000000000004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55000000000000004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55000000000000004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55000000000000004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55000000000000004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55000000000000004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55000000000000004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55000000000000004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55000000000000004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55000000000000004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55000000000000004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55000000000000004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55000000000000004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55000000000000004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55000000000000004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55000000000000004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55000000000000004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55000000000000004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55000000000000004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55000000000000004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55000000000000004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55000000000000004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55000000000000004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55000000000000004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55000000000000004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55000000000000004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55000000000000004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55000000000000004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55000000000000004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55000000000000004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55000000000000004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55000000000000004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55000000000000004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55000000000000004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55000000000000004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55000000000000004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55000000000000004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55000000000000004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55000000000000004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55000000000000004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55000000000000004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55000000000000004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55000000000000004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55000000000000004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55000000000000004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55000000000000004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55000000000000004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55000000000000004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55000000000000004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55000000000000004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55000000000000004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55000000000000004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55000000000000004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55000000000000004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55000000000000004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55000000000000004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55000000000000004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55000000000000004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55000000000000004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55000000000000004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55000000000000004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55000000000000004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55000000000000004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55000000000000004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55000000000000004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55000000000000004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55000000000000004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55000000000000004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55000000000000004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55000000000000004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55000000000000004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55000000000000004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55000000000000004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55000000000000004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55000000000000004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55000000000000004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55000000000000004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55000000000000004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55000000000000004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55000000000000004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55000000000000004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55000000000000004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55000000000000004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55000000000000004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55000000000000004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55000000000000004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55000000000000004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55000000000000004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55000000000000004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55000000000000004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55000000000000004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55000000000000004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55000000000000004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55000000000000004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55000000000000004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55000000000000004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55000000000000004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55000000000000004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55000000000000004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55000000000000004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55000000000000004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55000000000000004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55000000000000004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55000000000000004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55000000000000004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55000000000000004">
      <c r="A792" t="s">
        <v>3047</v>
      </c>
      <c r="B792" t="s">
        <v>1995</v>
      </c>
      <c r="C792">
        <v>41037</v>
      </c>
      <c r="D792">
        <v>25254650</v>
      </c>
    </row>
    <row r="793" spans="1:4" x14ac:dyDescent="0.55000000000000004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55000000000000004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55000000000000004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55000000000000004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55000000000000004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55000000000000004">
      <c r="A798" t="s">
        <v>3054</v>
      </c>
      <c r="B798" t="s">
        <v>2054</v>
      </c>
      <c r="C798">
        <v>34463</v>
      </c>
      <c r="D798">
        <v>85304042</v>
      </c>
    </row>
    <row r="799" spans="1:4" x14ac:dyDescent="0.55000000000000004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55000000000000004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55000000000000004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55000000000000004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55000000000000004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55000000000000004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55000000000000004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55000000000000004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55000000000000004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55000000000000004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55000000000000004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55000000000000004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55000000000000004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55000000000000004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55000000000000004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55000000000000004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55000000000000004">
      <c r="A815" t="s">
        <v>3071</v>
      </c>
      <c r="B815" t="s">
        <v>1991</v>
      </c>
      <c r="C815">
        <v>44094</v>
      </c>
      <c r="D815">
        <v>37593587</v>
      </c>
    </row>
    <row r="816" spans="1:4" x14ac:dyDescent="0.55000000000000004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55000000000000004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55000000000000004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55000000000000004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55000000000000004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55000000000000004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55000000000000004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55000000000000004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55000000000000004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55000000000000004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55000000000000004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55000000000000004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55000000000000004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55000000000000004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55000000000000004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55000000000000004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55000000000000004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55000000000000004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55000000000000004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55000000000000004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55000000000000004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55000000000000004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55000000000000004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55000000000000004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55000000000000004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55000000000000004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55000000000000004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55000000000000004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55000000000000004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55000000000000004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55000000000000004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55000000000000004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55000000000000004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55000000000000004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55000000000000004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55000000000000004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55000000000000004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55000000000000004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55000000000000004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55000000000000004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55000000000000004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55000000000000004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55000000000000004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55000000000000004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55000000000000004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55000000000000004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55000000000000004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55000000000000004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55000000000000004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55000000000000004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55000000000000004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55000000000000004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55000000000000004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55000000000000004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55000000000000004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55000000000000004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55000000000000004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55000000000000004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55000000000000004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55000000000000004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55000000000000004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55000000000000004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55000000000000004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55000000000000004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55000000000000004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55000000000000004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55000000000000004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55000000000000004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55000000000000004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55000000000000004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55000000000000004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55000000000000004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55000000000000004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55000000000000004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55000000000000004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55000000000000004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55000000000000004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55000000000000004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55000000000000004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55000000000000004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55000000000000004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55000000000000004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55000000000000004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55000000000000004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55000000000000004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55000000000000004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55000000000000004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55000000000000004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55000000000000004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55000000000000004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55000000000000004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55000000000000004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55000000000000004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55000000000000004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55000000000000004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55000000000000004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55000000000000004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55000000000000004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55000000000000004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55000000000000004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55000000000000004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55000000000000004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55000000000000004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55000000000000004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55000000000000004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55000000000000004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55000000000000004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55000000000000004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55000000000000004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55000000000000004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55000000000000004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55000000000000004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55000000000000004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55000000000000004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55000000000000004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55000000000000004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55000000000000004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55000000000000004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55000000000000004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55000000000000004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55000000000000004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55000000000000004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55000000000000004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55000000000000004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55000000000000004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55000000000000004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55000000000000004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55000000000000004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55000000000000004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55000000000000004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55000000000000004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55000000000000004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55000000000000004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55000000000000004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55000000000000004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55000000000000004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55000000000000004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55000000000000004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55000000000000004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55000000000000004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55000000000000004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55000000000000004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55000000000000004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55000000000000004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55000000000000004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55000000000000004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55000000000000004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55000000000000004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55000000000000004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55000000000000004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55000000000000004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55000000000000004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55000000000000004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55000000000000004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55000000000000004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55000000000000004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55000000000000004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55000000000000004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55000000000000004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55000000000000004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55000000000000004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55000000000000004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55000000000000004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55000000000000004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55000000000000004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55000000000000004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55000000000000004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55000000000000004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55000000000000004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55000000000000004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55000000000000004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55000000000000004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55000000000000004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55000000000000004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55000000000000004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55000000000000004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55000000000000004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55000000000000004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55000000000000004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55000000000000004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55000000000000004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55000000000000004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55000000000000004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55000000000000004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55000000000000004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55000000000000004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55000000000000004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55000000000000004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55000000000000004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55000000000000004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55000000000000004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55000000000000004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55000000000000004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55000000000000004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55000000000000004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55000000000000004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55000000000000004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55000000000000004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55000000000000004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55000000000000004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55000000000000004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55000000000000004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55000000000000004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55000000000000004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55000000000000004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55000000000000004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55000000000000004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55000000000000004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55000000000000004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55000000000000004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55000000000000004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55000000000000004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55000000000000004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55000000000000004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55000000000000004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55000000000000004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55000000000000004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55000000000000004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55000000000000004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55000000000000004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55000000000000004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55000000000000004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55000000000000004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55000000000000004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55000000000000004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55000000000000004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55000000000000004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55000000000000004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55000000000000004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55000000000000004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55000000000000004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55000000000000004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55000000000000004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55000000000000004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55000000000000004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55000000000000004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55000000000000004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55000000000000004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55000000000000004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55000000000000004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55000000000000004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55000000000000004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55000000000000004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55000000000000004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55000000000000004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55000000000000004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55000000000000004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55000000000000004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55000000000000004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55000000000000004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55000000000000004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55000000000000004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55000000000000004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55000000000000004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55000000000000004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55000000000000004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55000000000000004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55000000000000004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55000000000000004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55000000000000004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55000000000000004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55000000000000004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55000000000000004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55000000000000004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55000000000000004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55000000000000004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55000000000000004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55000000000000004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55000000000000004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55000000000000004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55000000000000004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55000000000000004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55000000000000004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55000000000000004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55000000000000004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55000000000000004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55000000000000004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55000000000000004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55000000000000004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55000000000000004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55000000000000004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55000000000000004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55000000000000004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55000000000000004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55000000000000004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55000000000000004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55000000000000004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55000000000000004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55000000000000004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55000000000000004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55000000000000004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55000000000000004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55000000000000004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55000000000000004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55000000000000004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55000000000000004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55000000000000004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55000000000000004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55000000000000004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55000000000000004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55000000000000004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55000000000000004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55000000000000004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55000000000000004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55000000000000004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55000000000000004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55000000000000004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55000000000000004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55000000000000004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55000000000000004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55000000000000004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55000000000000004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55000000000000004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55000000000000004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55000000000000004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55000000000000004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55000000000000004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55000000000000004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55000000000000004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55000000000000004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55000000000000004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55000000000000004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55000000000000004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55000000000000004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55000000000000004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55000000000000004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55000000000000004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55000000000000004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55000000000000004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55000000000000004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55000000000000004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55000000000000004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55000000000000004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55000000000000004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55000000000000004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55000000000000004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55000000000000004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55000000000000004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55000000000000004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55000000000000004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55000000000000004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55000000000000004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55000000000000004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55000000000000004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55000000000000004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55000000000000004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55000000000000004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55000000000000004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55000000000000004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55000000000000004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55000000000000004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55000000000000004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55000000000000004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55000000000000004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55000000000000004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55000000000000004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55000000000000004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55000000000000004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55000000000000004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55000000000000004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55000000000000004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55000000000000004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55000000000000004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55000000000000004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55000000000000004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55000000000000004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55000000000000004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55000000000000004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55000000000000004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55000000000000004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55000000000000004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55000000000000004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55000000000000004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55000000000000004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55000000000000004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55000000000000004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55000000000000004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55000000000000004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55000000000000004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55000000000000004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55000000000000004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55000000000000004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55000000000000004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55000000000000004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55000000000000004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55000000000000004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55000000000000004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55000000000000004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55000000000000004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55000000000000004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55000000000000004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55000000000000004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55000000000000004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55000000000000004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55000000000000004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55000000000000004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55000000000000004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55000000000000004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55000000000000004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55000000000000004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55000000000000004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55000000000000004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55000000000000004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55000000000000004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55000000000000004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55000000000000004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55000000000000004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55000000000000004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55000000000000004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55000000000000004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55000000000000004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55000000000000004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55000000000000004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55000000000000004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55000000000000004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55000000000000004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55000000000000004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55000000000000004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55000000000000004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55000000000000004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55000000000000004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55000000000000004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55000000000000004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55000000000000004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55000000000000004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55000000000000004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55000000000000004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55000000000000004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55000000000000004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55000000000000004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55000000000000004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55000000000000004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55000000000000004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55000000000000004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55000000000000004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55000000000000004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55000000000000004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55000000000000004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55000000000000004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55000000000000004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55000000000000004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55000000000000004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55000000000000004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55000000000000004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55000000000000004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55000000000000004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55000000000000004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55000000000000004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55000000000000004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55000000000000004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55000000000000004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55000000000000004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55000000000000004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55000000000000004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55000000000000004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55000000000000004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55000000000000004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55000000000000004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55000000000000004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55000000000000004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55000000000000004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55000000000000004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55000000000000004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55000000000000004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55000000000000004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55000000000000004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55000000000000004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55000000000000004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55000000000000004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55000000000000004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55000000000000004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55000000000000004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55000000000000004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55000000000000004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55000000000000004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55000000000000004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55000000000000004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55000000000000004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55000000000000004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55000000000000004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55000000000000004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55000000000000004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55000000000000004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55000000000000004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55000000000000004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55000000000000004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55000000000000004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55000000000000004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55000000000000004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55000000000000004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55000000000000004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55000000000000004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55000000000000004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55000000000000004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55000000000000004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55000000000000004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55000000000000004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55000000000000004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55000000000000004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55000000000000004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55000000000000004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55000000000000004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55000000000000004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55000000000000004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55000000000000004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55000000000000004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55000000000000004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55000000000000004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55000000000000004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55000000000000004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55000000000000004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55000000000000004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55000000000000004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55000000000000004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55000000000000004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55000000000000004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55000000000000004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55000000000000004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55000000000000004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55000000000000004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55000000000000004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55000000000000004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55000000000000004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55000000000000004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55000000000000004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55000000000000004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55000000000000004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55000000000000004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55000000000000004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55000000000000004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55000000000000004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55000000000000004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55000000000000004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55000000000000004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55000000000000004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55000000000000004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55000000000000004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55000000000000004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55000000000000004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55000000000000004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55000000000000004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55000000000000004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55000000000000004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55000000000000004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55000000000000004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55000000000000004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55000000000000004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55000000000000004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55000000000000004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55000000000000004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55000000000000004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55000000000000004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55000000000000004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55000000000000004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55000000000000004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55000000000000004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55000000000000004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55000000000000004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55000000000000004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55000000000000004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55000000000000004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55000000000000004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55000000000000004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55000000000000004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55000000000000004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55000000000000004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55000000000000004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55000000000000004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55000000000000004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55000000000000004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55000000000000004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55000000000000004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55000000000000004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55000000000000004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55000000000000004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55000000000000004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55000000000000004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55000000000000004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55000000000000004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55000000000000004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55000000000000004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55000000000000004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55000000000000004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55000000000000004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55000000000000004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55000000000000004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55000000000000004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55000000000000004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55000000000000004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55000000000000004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55000000000000004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55000000000000004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55000000000000004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55000000000000004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55000000000000004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55000000000000004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55000000000000004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55000000000000004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55000000000000004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55000000000000004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55000000000000004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55000000000000004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55000000000000004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55000000000000004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55000000000000004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55000000000000004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55000000000000004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55000000000000004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55000000000000004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55000000000000004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55000000000000004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55000000000000004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55000000000000004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55000000000000004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55000000000000004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55000000000000004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55000000000000004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55000000000000004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55000000000000004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55000000000000004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55000000000000004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55000000000000004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55000000000000004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55000000000000004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55000000000000004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55000000000000004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55000000000000004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55000000000000004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55000000000000004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55000000000000004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55000000000000004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55000000000000004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55000000000000004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55000000000000004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55000000000000004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55000000000000004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55000000000000004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55000000000000004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55000000000000004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55000000000000004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55000000000000004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55000000000000004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55000000000000004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55000000000000004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55000000000000004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55000000000000004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55000000000000004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55000000000000004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55000000000000004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55000000000000004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55000000000000004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55000000000000004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55000000000000004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55000000000000004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55000000000000004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55000000000000004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55000000000000004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55000000000000004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55000000000000004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55000000000000004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55000000000000004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55000000000000004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55000000000000004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55000000000000004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55000000000000004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55000000000000004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55000000000000004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55000000000000004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55000000000000004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55000000000000004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55000000000000004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55000000000000004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55000000000000004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55000000000000004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55000000000000004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55000000000000004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55000000000000004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55000000000000004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55000000000000004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55000000000000004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55000000000000004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55000000000000004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55000000000000004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55000000000000004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55000000000000004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55000000000000004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55000000000000004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55000000000000004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55000000000000004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55000000000000004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55000000000000004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55000000000000004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55000000000000004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55000000000000004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55000000000000004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55000000000000004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55000000000000004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55000000000000004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55000000000000004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55000000000000004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55000000000000004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55000000000000004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55000000000000004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55000000000000004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55000000000000004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55000000000000004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55000000000000004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55000000000000004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55000000000000004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55000000000000004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55000000000000004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55000000000000004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55000000000000004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55000000000000004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55000000000000004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55000000000000004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55000000000000004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55000000000000004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55000000000000004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55000000000000004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55000000000000004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55000000000000004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55000000000000004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55000000000000004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55000000000000004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55000000000000004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55000000000000004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55000000000000004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55000000000000004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55000000000000004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55000000000000004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55000000000000004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55000000000000004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55000000000000004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55000000000000004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55000000000000004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55000000000000004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55000000000000004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55000000000000004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55000000000000004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55000000000000004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55000000000000004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55000000000000004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55000000000000004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55000000000000004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55000000000000004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55000000000000004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55000000000000004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55000000000000004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55000000000000004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55000000000000004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55000000000000004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55000000000000004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55000000000000004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55000000000000004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55000000000000004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55000000000000004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55000000000000004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55000000000000004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55000000000000004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55000000000000004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55000000000000004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55000000000000004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55000000000000004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55000000000000004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55000000000000004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55000000000000004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55000000000000004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55000000000000004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55000000000000004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55000000000000004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55000000000000004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55000000000000004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55000000000000004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55000000000000004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55000000000000004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55000000000000004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55000000000000004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55000000000000004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55000000000000004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55000000000000004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55000000000000004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55000000000000004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55000000000000004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55000000000000004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55000000000000004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55000000000000004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55000000000000004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55000000000000004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55000000000000004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55000000000000004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55000000000000004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55000000000000004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55000000000000004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55000000000000004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55000000000000004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55000000000000004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55000000000000004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55000000000000004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55000000000000004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55000000000000004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55000000000000004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55000000000000004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55000000000000004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55000000000000004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55000000000000004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55000000000000004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55000000000000004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55000000000000004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55000000000000004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55000000000000004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55000000000000004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55000000000000004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55000000000000004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55000000000000004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55000000000000004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55000000000000004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55000000000000004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55000000000000004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55000000000000004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55000000000000004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55000000000000004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55000000000000004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55000000000000004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55000000000000004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55000000000000004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55000000000000004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55000000000000004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55000000000000004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55000000000000004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55000000000000004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55000000000000004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55000000000000004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55000000000000004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55000000000000004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55000000000000004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55000000000000004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55000000000000004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55000000000000004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55000000000000004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55000000000000004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55000000000000004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55000000000000004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55000000000000004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55000000000000004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55000000000000004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55000000000000004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55000000000000004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55000000000000004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55000000000000004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55000000000000004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55000000000000004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55000000000000004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55000000000000004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55000000000000004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55000000000000004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55000000000000004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55000000000000004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55000000000000004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55000000000000004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55000000000000004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55000000000000004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55000000000000004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55000000000000004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55000000000000004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55000000000000004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55000000000000004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55000000000000004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55000000000000004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55000000000000004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55000000000000004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55000000000000004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55000000000000004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55000000000000004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55000000000000004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55000000000000004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55000000000000004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55000000000000004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55000000000000004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55000000000000004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55000000000000004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55000000000000004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55000000000000004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55000000000000004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55000000000000004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55000000000000004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55000000000000004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55000000000000004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55000000000000004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55000000000000004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55000000000000004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55000000000000004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55000000000000004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55000000000000004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55000000000000004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55000000000000004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55000000000000004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55000000000000004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55000000000000004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55000000000000004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55000000000000004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55000000000000004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55000000000000004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55000000000000004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55000000000000004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55000000000000004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55000000000000004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55000000000000004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55000000000000004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55000000000000004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55000000000000004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55000000000000004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55000000000000004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55000000000000004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55000000000000004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55000000000000004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55000000000000004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55000000000000004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55000000000000004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55000000000000004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55000000000000004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55000000000000004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55000000000000004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55000000000000004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55000000000000004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55000000000000004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55000000000000004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55000000000000004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55000000000000004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55000000000000004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55000000000000004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55000000000000004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55000000000000004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55000000000000004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55000000000000004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55000000000000004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55000000000000004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55000000000000004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55000000000000004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55000000000000004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55000000000000004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55000000000000004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55000000000000004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55000000000000004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55000000000000004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55000000000000004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55000000000000004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55000000000000004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55000000000000004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55000000000000004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55000000000000004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55000000000000004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55000000000000004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55000000000000004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55000000000000004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55000000000000004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55000000000000004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55000000000000004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55000000000000004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55000000000000004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55000000000000004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55000000000000004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55000000000000004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55000000000000004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55000000000000004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55000000000000004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55000000000000004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55000000000000004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55000000000000004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55000000000000004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55000000000000004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55000000000000004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55000000000000004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55000000000000004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55000000000000004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55000000000000004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55000000000000004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55000000000000004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55000000000000004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55000000000000004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55000000000000004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55000000000000004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55000000000000004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55000000000000004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55000000000000004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55000000000000004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55000000000000004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55000000000000004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55000000000000004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55000000000000004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55000000000000004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55000000000000004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55000000000000004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55000000000000004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55000000000000004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55000000000000004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55000000000000004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55000000000000004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55000000000000004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55000000000000004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55000000000000004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55000000000000004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55000000000000004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55000000000000004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55000000000000004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55000000000000004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55000000000000004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55000000000000004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55000000000000004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55000000000000004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55000000000000004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55000000000000004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55000000000000004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55000000000000004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55000000000000004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55000000000000004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55000000000000004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55000000000000004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55000000000000004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55000000000000004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55000000000000004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55000000000000004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55000000000000004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55000000000000004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55000000000000004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55000000000000004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55000000000000004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55000000000000004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55000000000000004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55000000000000004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55000000000000004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55000000000000004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55000000000000004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55000000000000004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55000000000000004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55000000000000004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55000000000000004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55000000000000004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55000000000000004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55000000000000004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55000000000000004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55000000000000004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55000000000000004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55000000000000004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55000000000000004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55000000000000004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55000000000000004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55000000000000004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55000000000000004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55000000000000004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55000000000000004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55000000000000004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55000000000000004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55000000000000004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55000000000000004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55000000000000004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55000000000000004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55000000000000004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55000000000000004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55000000000000004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55000000000000004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55000000000000004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55000000000000004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55000000000000004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55000000000000004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55000000000000004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55000000000000004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55000000000000004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55000000000000004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55000000000000004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55000000000000004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55000000000000004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55000000000000004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55000000000000004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55000000000000004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55000000000000004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55000000000000004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55000000000000004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55000000000000004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55000000000000004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55000000000000004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55000000000000004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55000000000000004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55000000000000004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55000000000000004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55000000000000004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55000000000000004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55000000000000004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55000000000000004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55000000000000004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55000000000000004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55000000000000004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55000000000000004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55000000000000004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55000000000000004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55000000000000004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55000000000000004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55000000000000004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55000000000000004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55000000000000004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55000000000000004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55000000000000004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55000000000000004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55000000000000004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55000000000000004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55000000000000004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55000000000000004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55000000000000004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55000000000000004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55000000000000004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55000000000000004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55000000000000004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55000000000000004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55000000000000004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55000000000000004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55000000000000004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55000000000000004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55000000000000004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55000000000000004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55000000000000004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55000000000000004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55000000000000004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55000000000000004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55000000000000004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55000000000000004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55000000000000004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55000000000000004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55000000000000004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55000000000000004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55000000000000004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55000000000000004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55000000000000004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55000000000000004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55000000000000004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55000000000000004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55000000000000004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55000000000000004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55000000000000004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55000000000000004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55000000000000004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55000000000000004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55000000000000004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55000000000000004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55000000000000004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55000000000000004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55000000000000004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55000000000000004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55000000000000004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55000000000000004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55000000000000004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55000000000000004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55000000000000004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55000000000000004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55000000000000004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55000000000000004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55000000000000004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55000000000000004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55000000000000004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55000000000000004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55000000000000004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55000000000000004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55000000000000004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55000000000000004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55000000000000004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55000000000000004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55000000000000004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55000000000000004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55000000000000004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55000000000000004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55000000000000004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55000000000000004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55000000000000004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55000000000000004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55000000000000004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55000000000000004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55000000000000004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55000000000000004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55000000000000004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55000000000000004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55000000000000004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55000000000000004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55000000000000004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55000000000000004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55000000000000004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55000000000000004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55000000000000004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55000000000000004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55000000000000004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55000000000000004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55000000000000004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55000000000000004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55000000000000004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55000000000000004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55000000000000004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55000000000000004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55000000000000004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55000000000000004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55000000000000004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55000000000000004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55000000000000004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55000000000000004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55000000000000004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55000000000000004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55000000000000004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55000000000000004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55000000000000004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55000000000000004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55000000000000004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55000000000000004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55000000000000004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55000000000000004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55000000000000004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55000000000000004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55000000000000004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55000000000000004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55000000000000004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55000000000000004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55000000000000004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55000000000000004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55000000000000004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55000000000000004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55000000000000004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55000000000000004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55000000000000004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55000000000000004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55000000000000004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55000000000000004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55000000000000004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55000000000000004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55000000000000004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55000000000000004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55000000000000004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55000000000000004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55000000000000004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55000000000000004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55000000000000004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55000000000000004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55000000000000004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55000000000000004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55000000000000004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55000000000000004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55000000000000004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55000000000000004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55000000000000004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55000000000000004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55000000000000004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55000000000000004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55000000000000004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55000000000000004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55000000000000004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55000000000000004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55000000000000004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55000000000000004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55000000000000004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55000000000000004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55000000000000004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55000000000000004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55000000000000004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55000000000000004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55000000000000004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55000000000000004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55000000000000004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55000000000000004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55000000000000004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55000000000000004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55000000000000004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55000000000000004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55000000000000004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55000000000000004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55000000000000004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55000000000000004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55000000000000004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55000000000000004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55000000000000004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55000000000000004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55000000000000004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55000000000000004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55000000000000004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55000000000000004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55000000000000004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55000000000000004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55000000000000004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55000000000000004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55000000000000004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55000000000000004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55000000000000004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55000000000000004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55000000000000004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55000000000000004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55000000000000004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55000000000000004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55000000000000004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55000000000000004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55000000000000004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55000000000000004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55000000000000004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55000000000000004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55000000000000004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55000000000000004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55000000000000004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55000000000000004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55000000000000004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55000000000000004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55000000000000004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55000000000000004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55000000000000004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55000000000000004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55000000000000004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55000000000000004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55000000000000004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55000000000000004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55000000000000004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55000000000000004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55000000000000004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55000000000000004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55000000000000004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55000000000000004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55000000000000004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55000000000000004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55000000000000004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55000000000000004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55000000000000004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55000000000000004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55000000000000004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55000000000000004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55000000000000004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55000000000000004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55000000000000004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55000000000000004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55000000000000004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55000000000000004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55000000000000004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55000000000000004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55000000000000004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55000000000000004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55000000000000004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55000000000000004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55000000000000004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55000000000000004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55000000000000004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55000000000000004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55000000000000004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55000000000000004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55000000000000004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55000000000000004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55000000000000004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55000000000000004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55000000000000004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55000000000000004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55000000000000004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55000000000000004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55000000000000004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55000000000000004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55000000000000004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55000000000000004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55000000000000004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55000000000000004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55000000000000004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55000000000000004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55000000000000004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55000000000000004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55000000000000004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55000000000000004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55000000000000004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55000000000000004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55000000000000004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55000000000000004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55000000000000004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55000000000000004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55000000000000004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55000000000000004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55000000000000004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55000000000000004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55000000000000004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55000000000000004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55000000000000004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55000000000000004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55000000000000004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55000000000000004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55000000000000004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55000000000000004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55000000000000004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55000000000000004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55000000000000004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55000000000000004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55000000000000004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55000000000000004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55000000000000004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55000000000000004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55000000000000004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55000000000000004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55000000000000004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55000000000000004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55000000000000004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55000000000000004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55000000000000004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55000000000000004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55000000000000004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55000000000000004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55000000000000004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55000000000000004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55000000000000004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55000000000000004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55000000000000004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55000000000000004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55000000000000004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55000000000000004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55000000000000004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55000000000000004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55000000000000004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55000000000000004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55000000000000004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55000000000000004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55000000000000004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55000000000000004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55000000000000004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55000000000000004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55000000000000004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55000000000000004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55000000000000004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55000000000000004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55000000000000004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55000000000000004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55000000000000004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55000000000000004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55000000000000004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55000000000000004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55000000000000004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55000000000000004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55000000000000004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55000000000000004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55000000000000004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55000000000000004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55000000000000004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55000000000000004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55000000000000004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55000000000000004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55000000000000004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55000000000000004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55000000000000004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55000000000000004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55000000000000004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55000000000000004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55000000000000004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55000000000000004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55000000000000004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55000000000000004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55000000000000004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55000000000000004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55000000000000004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55000000000000004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55000000000000004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55000000000000004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55000000000000004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55000000000000004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55000000000000004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55000000000000004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55000000000000004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55000000000000004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55000000000000004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55000000000000004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55000000000000004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55000000000000004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55000000000000004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55000000000000004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55000000000000004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55000000000000004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55000000000000004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55000000000000004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55000000000000004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55000000000000004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55000000000000004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55000000000000004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55000000000000004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55000000000000004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55000000000000004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55000000000000004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55000000000000004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55000000000000004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55000000000000004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55000000000000004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55000000000000004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55000000000000004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55000000000000004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55000000000000004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55000000000000004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55000000000000004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55000000000000004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55000000000000004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55000000000000004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55000000000000004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55000000000000004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55000000000000004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55000000000000004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55000000000000004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55000000000000004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55000000000000004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55000000000000004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55000000000000004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55000000000000004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55000000000000004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55000000000000004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55000000000000004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55000000000000004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55000000000000004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55000000000000004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55000000000000004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55000000000000004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55000000000000004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55000000000000004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55000000000000004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55000000000000004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55000000000000004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55000000000000004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55000000000000004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55000000000000004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55000000000000004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55000000000000004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55000000000000004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55000000000000004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55000000000000004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55000000000000004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55000000000000004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55000000000000004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55000000000000004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55000000000000004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55000000000000004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55000000000000004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55000000000000004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55000000000000004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55000000000000004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55000000000000004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55000000000000004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55000000000000004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55000000000000004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55000000000000004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55000000000000004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55000000000000004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55000000000000004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55000000000000004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55000000000000004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55000000000000004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55000000000000004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55000000000000004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55000000000000004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55000000000000004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55000000000000004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55000000000000004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55000000000000004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55000000000000004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55000000000000004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55000000000000004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55000000000000004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55000000000000004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55000000000000004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55000000000000004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55000000000000004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55000000000000004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55000000000000004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55000000000000004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55000000000000004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55000000000000004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55000000000000004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55000000000000004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55000000000000004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55000000000000004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55000000000000004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55000000000000004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55000000000000004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55000000000000004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55000000000000004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55000000000000004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55000000000000004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55000000000000004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55000000000000004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55000000000000004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55000000000000004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55000000000000004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55000000000000004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55000000000000004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55000000000000004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55000000000000004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55000000000000004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55000000000000004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55000000000000004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55000000000000004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55000000000000004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55000000000000004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55000000000000004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55000000000000004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55000000000000004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55000000000000004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55000000000000004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55000000000000004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55000000000000004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55000000000000004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55000000000000004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55000000000000004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55000000000000004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55000000000000004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55000000000000004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55000000000000004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55000000000000004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55000000000000004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55000000000000004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55000000000000004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55000000000000004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55000000000000004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55000000000000004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55000000000000004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55000000000000004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55000000000000004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55000000000000004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55000000000000004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55000000000000004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55000000000000004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55000000000000004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55000000000000004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55000000000000004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55000000000000004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55000000000000004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55000000000000004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55000000000000004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55000000000000004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55000000000000004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55000000000000004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55000000000000004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55000000000000004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55000000000000004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55000000000000004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55000000000000004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55000000000000004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55000000000000004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55000000000000004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55000000000000004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55000000000000004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55000000000000004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55000000000000004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55000000000000004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55000000000000004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55000000000000004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55000000000000004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55000000000000004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55000000000000004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55000000000000004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55000000000000004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55000000000000004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55000000000000004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55000000000000004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55000000000000004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55000000000000004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55000000000000004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55000000000000004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55000000000000004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55000000000000004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55000000000000004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55000000000000004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55000000000000004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55000000000000004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55000000000000004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55000000000000004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55000000000000004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55000000000000004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55000000000000004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55000000000000004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55000000000000004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55000000000000004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55000000000000004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55000000000000004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55000000000000004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55000000000000004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55000000000000004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55000000000000004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55000000000000004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55000000000000004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55000000000000004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55000000000000004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55000000000000004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55000000000000004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55000000000000004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55000000000000004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55000000000000004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55000000000000004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55000000000000004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55000000000000004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55000000000000004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55000000000000004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55000000000000004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55000000000000004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55000000000000004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55000000000000004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55000000000000004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55000000000000004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55000000000000004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55000000000000004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55000000000000004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55000000000000004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55000000000000004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55000000000000004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55000000000000004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55000000000000004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55000000000000004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55000000000000004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55000000000000004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55000000000000004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55000000000000004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55000000000000004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55000000000000004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55000000000000004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55000000000000004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55000000000000004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55000000000000004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55000000000000004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55000000000000004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55000000000000004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55000000000000004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55000000000000004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55000000000000004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55000000000000004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55000000000000004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55000000000000004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55000000000000004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55000000000000004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55000000000000004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55000000000000004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55000000000000004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55000000000000004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55000000000000004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55000000000000004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55000000000000004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55000000000000004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55000000000000004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55000000000000004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55000000000000004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55000000000000004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55000000000000004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55000000000000004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55000000000000004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55000000000000004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55000000000000004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55000000000000004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55000000000000004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55000000000000004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55000000000000004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55000000000000004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55000000000000004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55000000000000004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55000000000000004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55000000000000004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55000000000000004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55000000000000004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55000000000000004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55000000000000004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55000000000000004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55000000000000004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55000000000000004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55000000000000004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55000000000000004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55000000000000004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55000000000000004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55000000000000004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55000000000000004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55000000000000004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55000000000000004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55000000000000004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55000000000000004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55000000000000004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55000000000000004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55000000000000004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55000000000000004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55000000000000004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55000000000000004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55000000000000004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55000000000000004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55000000000000004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55000000000000004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55000000000000004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55000000000000004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55000000000000004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55000000000000004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55000000000000004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55000000000000004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55000000000000004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55000000000000004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55000000000000004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55000000000000004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55000000000000004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55000000000000004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55000000000000004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55000000000000004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55000000000000004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55000000000000004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55000000000000004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55000000000000004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55000000000000004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55000000000000004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55000000000000004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55000000000000004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55000000000000004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55000000000000004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55000000000000004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55000000000000004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55000000000000004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55000000000000004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55000000000000004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55000000000000004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55000000000000004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55000000000000004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55000000000000004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55000000000000004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55000000000000004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55000000000000004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55000000000000004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55000000000000004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55000000000000004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55000000000000004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55000000000000004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55000000000000004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55000000000000004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55000000000000004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55000000000000004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55000000000000004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55000000000000004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55000000000000004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55000000000000004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55000000000000004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55000000000000004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55000000000000004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55000000000000004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55000000000000004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55000000000000004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55000000000000004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55000000000000004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55000000000000004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55000000000000004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55000000000000004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55000000000000004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55000000000000004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55000000000000004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55000000000000004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55000000000000004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55000000000000004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55000000000000004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55000000000000004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55000000000000004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55000000000000004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55000000000000004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55000000000000004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55000000000000004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55000000000000004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55000000000000004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55000000000000004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55000000000000004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55000000000000004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55000000000000004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55000000000000004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55000000000000004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55000000000000004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55000000000000004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55000000000000004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55000000000000004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55000000000000004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55000000000000004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55000000000000004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55000000000000004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55000000000000004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55000000000000004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55000000000000004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55000000000000004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55000000000000004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55000000000000004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55000000000000004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55000000000000004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55000000000000004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55000000000000004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55000000000000004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55000000000000004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55000000000000004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55000000000000004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55000000000000004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55000000000000004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55000000000000004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55000000000000004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55000000000000004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55000000000000004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55000000000000004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55000000000000004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55000000000000004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55000000000000004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55000000000000004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55000000000000004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55000000000000004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55000000000000004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55000000000000004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55000000000000004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55000000000000004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55000000000000004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55000000000000004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55000000000000004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55000000000000004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55000000000000004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55000000000000004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55000000000000004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55000000000000004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55000000000000004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55000000000000004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55000000000000004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55000000000000004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55000000000000004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55000000000000004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55000000000000004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55000000000000004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55000000000000004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55000000000000004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55000000000000004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55000000000000004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55000000000000004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55000000000000004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55000000000000004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55000000000000004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55000000000000004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55000000000000004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55000000000000004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55000000000000004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55000000000000004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55000000000000004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55000000000000004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55000000000000004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55000000000000004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55000000000000004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55000000000000004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55000000000000004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55000000000000004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55000000000000004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55000000000000004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55000000000000004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55000000000000004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55000000000000004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55000000000000004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55000000000000004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55000000000000004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55000000000000004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55000000000000004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55000000000000004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55000000000000004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55000000000000004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55000000000000004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55000000000000004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55000000000000004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55000000000000004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55000000000000004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55000000000000004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55000000000000004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55000000000000004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55000000000000004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55000000000000004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55000000000000004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55000000000000004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55000000000000004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55000000000000004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55000000000000004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55000000000000004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55000000000000004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55000000000000004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55000000000000004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55000000000000004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55000000000000004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55000000000000004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55000000000000004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55000000000000004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55000000000000004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55000000000000004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55000000000000004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55000000000000004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55000000000000004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55000000000000004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55000000000000004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55000000000000004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55000000000000004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55000000000000004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55000000000000004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55000000000000004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55000000000000004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55000000000000004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55000000000000004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55000000000000004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55000000000000004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55000000000000004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55000000000000004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55000000000000004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55000000000000004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55000000000000004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55000000000000004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55000000000000004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55000000000000004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55000000000000004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55000000000000004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55000000000000004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55000000000000004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55000000000000004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55000000000000004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55000000000000004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55000000000000004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55000000000000004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55000000000000004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55000000000000004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55000000000000004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55000000000000004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55000000000000004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55000000000000004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55000000000000004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55000000000000004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55000000000000004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55000000000000004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55000000000000004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55000000000000004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55000000000000004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55000000000000004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55000000000000004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55000000000000004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55000000000000004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55000000000000004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55000000000000004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55000000000000004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55000000000000004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55000000000000004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55000000000000004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55000000000000004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55000000000000004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55000000000000004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55000000000000004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55000000000000004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55000000000000004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55000000000000004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55000000000000004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55000000000000004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55000000000000004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55000000000000004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55000000000000004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55000000000000004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55000000000000004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55000000000000004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55000000000000004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55000000000000004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55000000000000004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55000000000000004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55000000000000004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55000000000000004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55000000000000004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55000000000000004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55000000000000004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55000000000000004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55000000000000004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55000000000000004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55000000000000004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55000000000000004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55000000000000004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55000000000000004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55000000000000004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55000000000000004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55000000000000004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55000000000000004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55000000000000004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55000000000000004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55000000000000004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55000000000000004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55000000000000004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55000000000000004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55000000000000004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55000000000000004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55000000000000004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55000000000000004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55000000000000004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55000000000000004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55000000000000004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55000000000000004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55000000000000004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55000000000000004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55000000000000004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55000000000000004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55000000000000004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55000000000000004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55000000000000004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55000000000000004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55000000000000004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55000000000000004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55000000000000004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55000000000000004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55000000000000004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55000000000000004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55000000000000004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55000000000000004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55000000000000004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55000000000000004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55000000000000004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55000000000000004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55000000000000004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55000000000000004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55000000000000004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55000000000000004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55000000000000004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55000000000000004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55000000000000004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55000000000000004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55000000000000004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55000000000000004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55000000000000004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55000000000000004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55000000000000004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55000000000000004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55000000000000004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55000000000000004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55000000000000004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55000000000000004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55000000000000004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55000000000000004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55000000000000004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55000000000000004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55000000000000004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55000000000000004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55000000000000004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55000000000000004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55000000000000004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55000000000000004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55000000000000004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55000000000000004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55000000000000004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55000000000000004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55000000000000004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55000000000000004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55000000000000004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55000000000000004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55000000000000004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55000000000000004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55000000000000004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55000000000000004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55000000000000004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55000000000000004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55000000000000004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55000000000000004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55000000000000004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55000000000000004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55000000000000004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55000000000000004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55000000000000004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55000000000000004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55000000000000004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55000000000000004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55000000000000004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55000000000000004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55000000000000004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55000000000000004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55000000000000004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55000000000000004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55000000000000004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55000000000000004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55000000000000004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55000000000000004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55000000000000004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55000000000000004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55000000000000004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55000000000000004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55000000000000004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55000000000000004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55000000000000004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55000000000000004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55000000000000004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55000000000000004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55000000000000004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55000000000000004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55000000000000004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55000000000000004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55000000000000004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55000000000000004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55000000000000004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55000000000000004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55000000000000004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55000000000000004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55000000000000004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55000000000000004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55000000000000004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55000000000000004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55000000000000004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55000000000000004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55000000000000004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55000000000000004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55000000000000004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55000000000000004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55000000000000004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55000000000000004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55000000000000004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55000000000000004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55000000000000004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55000000000000004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55000000000000004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55000000000000004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55000000000000004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55000000000000004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55000000000000004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55000000000000004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55000000000000004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55000000000000004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55000000000000004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55000000000000004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55000000000000004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55000000000000004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55000000000000004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55000000000000004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55000000000000004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55000000000000004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55000000000000004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55000000000000004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55000000000000004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55000000000000004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55000000000000004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55000000000000004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55000000000000004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55000000000000004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55000000000000004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55000000000000004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55000000000000004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55000000000000004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55000000000000004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55000000000000004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55000000000000004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55000000000000004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55000000000000004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55000000000000004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55000000000000004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55000000000000004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55000000000000004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55000000000000004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55000000000000004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55000000000000004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55000000000000004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55000000000000004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55000000000000004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55000000000000004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55000000000000004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55000000000000004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55000000000000004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55000000000000004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55000000000000004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55000000000000004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55000000000000004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55000000000000004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55000000000000004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55000000000000004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55000000000000004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55000000000000004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55000000000000004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55000000000000004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55000000000000004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55000000000000004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55000000000000004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55000000000000004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55000000000000004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55000000000000004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55000000000000004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55000000000000004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55000000000000004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55000000000000004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55000000000000004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55000000000000004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55000000000000004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55000000000000004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55000000000000004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55000000000000004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55000000000000004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55000000000000004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55000000000000004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55000000000000004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55000000000000004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55000000000000004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55000000000000004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55000000000000004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55000000000000004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55000000000000004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55000000000000004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55000000000000004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55000000000000004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55000000000000004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55000000000000004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55000000000000004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55000000000000004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55000000000000004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55000000000000004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55000000000000004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55000000000000004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55000000000000004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55000000000000004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55000000000000004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55000000000000004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55000000000000004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55000000000000004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55000000000000004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55000000000000004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55000000000000004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55000000000000004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55000000000000004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55000000000000004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55000000000000004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55000000000000004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55000000000000004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55000000000000004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55000000000000004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55000000000000004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55000000000000004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55000000000000004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55000000000000004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55000000000000004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55000000000000004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55000000000000004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55000000000000004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55000000000000004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55000000000000004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55000000000000004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55000000000000004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55000000000000004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55000000000000004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55000000000000004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55000000000000004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55000000000000004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55000000000000004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55000000000000004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55000000000000004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55000000000000004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55000000000000004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55000000000000004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55000000000000004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55000000000000004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55000000000000004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55000000000000004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55000000000000004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55000000000000004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55000000000000004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55000000000000004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55000000000000004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55000000000000004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55000000000000004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55000000000000004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55000000000000004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55000000000000004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55000000000000004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55000000000000004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55000000000000004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55000000000000004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55000000000000004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55000000000000004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55000000000000004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55000000000000004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55000000000000004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55000000000000004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55000000000000004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55000000000000004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55000000000000004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55000000000000004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55000000000000004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55000000000000004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55000000000000004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55000000000000004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55000000000000004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55000000000000004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55000000000000004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55000000000000004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55000000000000004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55000000000000004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55000000000000004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55000000000000004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55000000000000004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55000000000000004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55000000000000004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55000000000000004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55000000000000004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55000000000000004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55000000000000004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55000000000000004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55000000000000004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55000000000000004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55000000000000004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55000000000000004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55000000000000004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55000000000000004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55000000000000004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55000000000000004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55000000000000004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55000000000000004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55000000000000004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55000000000000004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55000000000000004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55000000000000004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55000000000000004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55000000000000004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55000000000000004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55000000000000004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55000000000000004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55000000000000004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55000000000000004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55000000000000004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55000000000000004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55000000000000004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55000000000000004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55000000000000004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55000000000000004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55000000000000004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55000000000000004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55000000000000004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55000000000000004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55000000000000004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55000000000000004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55000000000000004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55000000000000004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55000000000000004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55000000000000004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55000000000000004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55000000000000004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55000000000000004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55000000000000004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55000000000000004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55000000000000004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55000000000000004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55000000000000004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55000000000000004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55000000000000004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55000000000000004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55000000000000004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55000000000000004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55000000000000004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55000000000000004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55000000000000004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55000000000000004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55000000000000004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55000000000000004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55000000000000004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55000000000000004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55000000000000004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55000000000000004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55000000000000004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55000000000000004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55000000000000004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55000000000000004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55000000000000004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55000000000000004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55000000000000004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55000000000000004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55000000000000004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55000000000000004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55000000000000004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55000000000000004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55000000000000004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55000000000000004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55000000000000004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55000000000000004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55000000000000004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55000000000000004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55000000000000004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55000000000000004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55000000000000004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55000000000000004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55000000000000004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55000000000000004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55000000000000004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55000000000000004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55000000000000004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55000000000000004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55000000000000004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55000000000000004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55000000000000004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55000000000000004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55000000000000004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55000000000000004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55000000000000004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55000000000000004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55000000000000004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55000000000000004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55000000000000004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55000000000000004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55000000000000004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55000000000000004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55000000000000004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55000000000000004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55000000000000004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55000000000000004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55000000000000004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55000000000000004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55000000000000004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55000000000000004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55000000000000004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55000000000000004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55000000000000004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55000000000000004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55000000000000004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55000000000000004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55000000000000004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55000000000000004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55000000000000004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55000000000000004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55000000000000004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55000000000000004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55000000000000004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55000000000000004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55000000000000004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55000000000000004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55000000000000004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55000000000000004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55000000000000004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55000000000000004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55000000000000004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55000000000000004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55000000000000004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55000000000000004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55000000000000004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55000000000000004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55000000000000004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55000000000000004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55000000000000004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55000000000000004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55000000000000004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55000000000000004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55000000000000004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55000000000000004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55000000000000004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55000000000000004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55000000000000004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55000000000000004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55000000000000004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55000000000000004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55000000000000004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55000000000000004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55000000000000004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55000000000000004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55000000000000004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55000000000000004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55000000000000004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55000000000000004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55000000000000004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55000000000000004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55000000000000004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55000000000000004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55000000000000004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55000000000000004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55000000000000004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55000000000000004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55000000000000004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55000000000000004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55000000000000004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55000000000000004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55000000000000004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55000000000000004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55000000000000004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55000000000000004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55000000000000004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55000000000000004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55000000000000004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55000000000000004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55000000000000004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55000000000000004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55000000000000004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55000000000000004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55000000000000004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55000000000000004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55000000000000004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55000000000000004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55000000000000004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55000000000000004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55000000000000004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55000000000000004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55000000000000004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55000000000000004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55000000000000004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55000000000000004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55000000000000004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55000000000000004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55000000000000004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55000000000000004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55000000000000004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55000000000000004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55000000000000004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55000000000000004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55000000000000004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55000000000000004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55000000000000004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55000000000000004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55000000000000004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55000000000000004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55000000000000004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55000000000000004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55000000000000004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55000000000000004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55000000000000004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55000000000000004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55000000000000004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55000000000000004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55000000000000004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55000000000000004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55000000000000004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55000000000000004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55000000000000004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55000000000000004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55000000000000004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55000000000000004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55000000000000004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55000000000000004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55000000000000004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55000000000000004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55000000000000004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55000000000000004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55000000000000004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55000000000000004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55000000000000004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55000000000000004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55000000000000004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55000000000000004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55000000000000004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55000000000000004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55000000000000004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55000000000000004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55000000000000004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55000000000000004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55000000000000004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55000000000000004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55000000000000004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55000000000000004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55000000000000004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55000000000000004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55000000000000004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55000000000000004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55000000000000004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55000000000000004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55000000000000004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55000000000000004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55000000000000004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55000000000000004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55000000000000004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55000000000000004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55000000000000004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55000000000000004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55000000000000004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55000000000000004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55000000000000004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55000000000000004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55000000000000004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55000000000000004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55000000000000004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55000000000000004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55000000000000004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55000000000000004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55000000000000004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55000000000000004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55000000000000004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55000000000000004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55000000000000004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55000000000000004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55000000000000004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55000000000000004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55000000000000004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55000000000000004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55000000000000004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55000000000000004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55000000000000004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55000000000000004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55000000000000004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55000000000000004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55000000000000004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55000000000000004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55000000000000004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55000000000000004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55000000000000004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55000000000000004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55000000000000004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55000000000000004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55000000000000004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55000000000000004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55000000000000004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55000000000000004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55000000000000004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55000000000000004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55000000000000004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55000000000000004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55000000000000004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55000000000000004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55000000000000004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55000000000000004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55000000000000004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55000000000000004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55000000000000004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55000000000000004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55000000000000004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55000000000000004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55000000000000004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55000000000000004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55000000000000004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55000000000000004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55000000000000004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55000000000000004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55000000000000004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55000000000000004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55000000000000004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55000000000000004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55000000000000004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55000000000000004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55000000000000004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55000000000000004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55000000000000004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55000000000000004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55000000000000004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55000000000000004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55000000000000004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55000000000000004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55000000000000004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55000000000000004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55000000000000004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55000000000000004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55000000000000004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55000000000000004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55000000000000004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55000000000000004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55000000000000004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55000000000000004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55000000000000004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55000000000000004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55000000000000004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55000000000000004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55000000000000004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55000000000000004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55000000000000004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55000000000000004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55000000000000004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55000000000000004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55000000000000004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55000000000000004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55000000000000004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55000000000000004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55000000000000004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55000000000000004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55000000000000004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55000000000000004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55000000000000004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55000000000000004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55000000000000004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55000000000000004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55000000000000004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55000000000000004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55000000000000004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55000000000000004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55000000000000004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55000000000000004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55000000000000004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55000000000000004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55000000000000004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55000000000000004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55000000000000004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55000000000000004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55000000000000004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55000000000000004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55000000000000004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55000000000000004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55000000000000004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55000000000000004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55000000000000004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55000000000000004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55000000000000004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55000000000000004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55000000000000004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55000000000000004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55000000000000004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55000000000000004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55000000000000004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55000000000000004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55000000000000004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55000000000000004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55000000000000004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55000000000000004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55000000000000004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55000000000000004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55000000000000004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55000000000000004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55000000000000004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55000000000000004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55000000000000004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55000000000000004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55000000000000004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55000000000000004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55000000000000004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55000000000000004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55000000000000004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55000000000000004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55000000000000004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55000000000000004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55000000000000004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55000000000000004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55000000000000004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55000000000000004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55000000000000004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55000000000000004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55000000000000004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55000000000000004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55000000000000004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55000000000000004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55000000000000004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55000000000000004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55000000000000004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55000000000000004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55000000000000004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55000000000000004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55000000000000004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55000000000000004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55000000000000004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55000000000000004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55000000000000004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55000000000000004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55000000000000004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55000000000000004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55000000000000004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55000000000000004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55000000000000004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55000000000000004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55000000000000004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55000000000000004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55000000000000004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55000000000000004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55000000000000004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55000000000000004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55000000000000004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55000000000000004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55000000000000004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55000000000000004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55000000000000004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55000000000000004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55000000000000004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55000000000000004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55000000000000004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55000000000000004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55000000000000004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55000000000000004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55000000000000004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55000000000000004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55000000000000004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55000000000000004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55000000000000004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55000000000000004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55000000000000004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55000000000000004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55000000000000004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55000000000000004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55000000000000004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55000000000000004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55000000000000004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55000000000000004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55000000000000004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55000000000000004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55000000000000004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55000000000000004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55000000000000004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55000000000000004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55000000000000004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55000000000000004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55000000000000004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55000000000000004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55000000000000004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55000000000000004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55000000000000004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55000000000000004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55000000000000004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55000000000000004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55000000000000004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55000000000000004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55000000000000004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55000000000000004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55000000000000004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55000000000000004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55000000000000004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55000000000000004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55000000000000004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55000000000000004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55000000000000004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55000000000000004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55000000000000004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55000000000000004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55000000000000004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55000000000000004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55000000000000004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55000000000000004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55000000000000004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55000000000000004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55000000000000004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55000000000000004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55000000000000004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55000000000000004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55000000000000004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55000000000000004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55000000000000004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55000000000000004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55000000000000004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55000000000000004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55000000000000004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55000000000000004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55000000000000004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55000000000000004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55000000000000004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55000000000000004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55000000000000004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55000000000000004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55000000000000004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55000000000000004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55000000000000004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55000000000000004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55000000000000004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55000000000000004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55000000000000004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55000000000000004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55000000000000004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55000000000000004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55000000000000004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55000000000000004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55000000000000004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55000000000000004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55000000000000004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55000000000000004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55000000000000004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55000000000000004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55000000000000004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55000000000000004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55000000000000004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55000000000000004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55000000000000004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55000000000000004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55000000000000004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55000000000000004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55000000000000004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55000000000000004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55000000000000004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55000000000000004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55000000000000004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55000000000000004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55000000000000004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55000000000000004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55000000000000004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55000000000000004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55000000000000004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55000000000000004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55000000000000004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55000000000000004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55000000000000004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55000000000000004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55000000000000004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55000000000000004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55000000000000004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55000000000000004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55000000000000004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55000000000000004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55000000000000004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55000000000000004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55000000000000004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55000000000000004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55000000000000004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55000000000000004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55000000000000004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55000000000000004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55000000000000004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55000000000000004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55000000000000004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55000000000000004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55000000000000004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55000000000000004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55000000000000004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55000000000000004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55000000000000004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55000000000000004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55000000000000004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55000000000000004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55000000000000004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55000000000000004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55000000000000004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55000000000000004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55000000000000004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55000000000000004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55000000000000004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55000000000000004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55000000000000004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55000000000000004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55000000000000004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55000000000000004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55000000000000004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55000000000000004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55000000000000004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55000000000000004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55000000000000004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55000000000000004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55000000000000004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55000000000000004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55000000000000004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55000000000000004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55000000000000004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55000000000000004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55000000000000004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55000000000000004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55000000000000004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55000000000000004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55000000000000004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55000000000000004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55000000000000004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55000000000000004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55000000000000004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55000000000000004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55000000000000004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55000000000000004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55000000000000004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55000000000000004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55000000000000004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55000000000000004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55000000000000004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55000000000000004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55000000000000004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55000000000000004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55000000000000004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55000000000000004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55000000000000004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55000000000000004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55000000000000004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55000000000000004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55000000000000004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55000000000000004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55000000000000004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55000000000000004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55000000000000004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55000000000000004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55000000000000004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55000000000000004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55000000000000004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55000000000000004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55000000000000004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55000000000000004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55000000000000004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55000000000000004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55000000000000004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55000000000000004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55000000000000004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55000000000000004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55000000000000004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55000000000000004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55000000000000004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55000000000000004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55000000000000004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55000000000000004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55000000000000004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55000000000000004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55000000000000004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55000000000000004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55000000000000004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55000000000000004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55000000000000004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55000000000000004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55000000000000004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55000000000000004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55000000000000004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55000000000000004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55000000000000004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55000000000000004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55000000000000004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55000000000000004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55000000000000004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55000000000000004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55000000000000004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55000000000000004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55000000000000004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55000000000000004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55000000000000004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55000000000000004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55000000000000004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55000000000000004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55000000000000004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55000000000000004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55000000000000004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55000000000000004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55000000000000004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55000000000000004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55000000000000004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55000000000000004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55000000000000004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55000000000000004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55000000000000004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55000000000000004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55000000000000004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55000000000000004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55000000000000004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55000000000000004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55000000000000004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55000000000000004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55000000000000004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55000000000000004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55000000000000004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55000000000000004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55000000000000004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55000000000000004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55000000000000004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55000000000000004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55000000000000004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55000000000000004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55000000000000004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55000000000000004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55000000000000004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55000000000000004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55000000000000004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55000000000000004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55000000000000004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55000000000000004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55000000000000004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55000000000000004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55000000000000004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55000000000000004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55000000000000004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55000000000000004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55000000000000004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55000000000000004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55000000000000004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55000000000000004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55000000000000004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55000000000000004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55000000000000004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55000000000000004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55000000000000004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55000000000000004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55000000000000004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55000000000000004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55000000000000004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55000000000000004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55000000000000004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55000000000000004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55000000000000004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55000000000000004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55000000000000004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55000000000000004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55000000000000004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55000000000000004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55000000000000004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55000000000000004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55000000000000004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55000000000000004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55000000000000004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55000000000000004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55000000000000004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55000000000000004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55000000000000004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55000000000000004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55000000000000004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55000000000000004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55000000000000004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55000000000000004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55000000000000004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55000000000000004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55000000000000004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55000000000000004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55000000000000004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55000000000000004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55000000000000004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55000000000000004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55000000000000004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55000000000000004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55000000000000004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55000000000000004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55000000000000004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55000000000000004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55000000000000004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55000000000000004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55000000000000004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55000000000000004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55000000000000004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55000000000000004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55000000000000004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55000000000000004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55000000000000004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55000000000000004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55000000000000004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55000000000000004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55000000000000004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55000000000000004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55000000000000004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55000000000000004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55000000000000004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55000000000000004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55000000000000004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55000000000000004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55000000000000004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55000000000000004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55000000000000004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55000000000000004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55000000000000004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55000000000000004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55000000000000004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55000000000000004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55000000000000004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55000000000000004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55000000000000004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55000000000000004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55000000000000004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55000000000000004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55000000000000004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55000000000000004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55000000000000004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55000000000000004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55000000000000004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55000000000000004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55000000000000004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55000000000000004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55000000000000004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55000000000000004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55000000000000004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55000000000000004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55000000000000004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55000000000000004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55000000000000004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55000000000000004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55000000000000004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55000000000000004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55000000000000004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55000000000000004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55000000000000004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55000000000000004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55000000000000004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55000000000000004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55000000000000004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55000000000000004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55000000000000004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55000000000000004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55000000000000004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55000000000000004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55000000000000004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55000000000000004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55000000000000004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55000000000000004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55000000000000004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55000000000000004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55000000000000004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55000000000000004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55000000000000004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55000000000000004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55000000000000004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55000000000000004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55000000000000004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55000000000000004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55000000000000004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55000000000000004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55000000000000004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55000000000000004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55000000000000004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55000000000000004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55000000000000004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55000000000000004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55000000000000004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55000000000000004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55000000000000004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55000000000000004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55000000000000004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55000000000000004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55000000000000004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55000000000000004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55000000000000004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55000000000000004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55000000000000004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55000000000000004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55000000000000004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55000000000000004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55000000000000004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55000000000000004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55000000000000004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55000000000000004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55000000000000004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55000000000000004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55000000000000004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55000000000000004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55000000000000004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55000000000000004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55000000000000004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55000000000000004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55000000000000004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55000000000000004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55000000000000004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55000000000000004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55000000000000004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55000000000000004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55000000000000004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55000000000000004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55000000000000004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55000000000000004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55000000000000004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55000000000000004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55000000000000004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55000000000000004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55000000000000004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55000000000000004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55000000000000004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55000000000000004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55000000000000004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55000000000000004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55000000000000004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55000000000000004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55000000000000004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55000000000000004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55000000000000004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55000000000000004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55000000000000004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55000000000000004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55000000000000004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55000000000000004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55000000000000004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55000000000000004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55000000000000004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55000000000000004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55000000000000004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55000000000000004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55000000000000004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55000000000000004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55000000000000004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55000000000000004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55000000000000004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55000000000000004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55000000000000004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55000000000000004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55000000000000004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55000000000000004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55000000000000004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55000000000000004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55000000000000004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55000000000000004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55000000000000004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55000000000000004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55000000000000004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55000000000000004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55000000000000004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55000000000000004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55000000000000004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55000000000000004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55000000000000004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55000000000000004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55000000000000004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55000000000000004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55000000000000004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55000000000000004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55000000000000004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55000000000000004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55000000000000004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55000000000000004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55000000000000004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55000000000000004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55000000000000004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55000000000000004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55000000000000004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55000000000000004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55000000000000004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55000000000000004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55000000000000004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55000000000000004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55000000000000004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55000000000000004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55000000000000004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55000000000000004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55000000000000004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55000000000000004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55000000000000004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55000000000000004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55000000000000004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55000000000000004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55000000000000004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55000000000000004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55000000000000004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55000000000000004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55000000000000004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55000000000000004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55000000000000004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55000000000000004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55000000000000004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55000000000000004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55000000000000004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55000000000000004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55000000000000004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55000000000000004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55000000000000004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55000000000000004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55000000000000004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55000000000000004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55000000000000004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55000000000000004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55000000000000004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55000000000000004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55000000000000004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55000000000000004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55000000000000004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55000000000000004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55000000000000004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55000000000000004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55000000000000004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55000000000000004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55000000000000004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55000000000000004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55000000000000004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55000000000000004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55000000000000004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55000000000000004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55000000000000004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55000000000000004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55000000000000004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55000000000000004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55000000000000004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55000000000000004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55000000000000004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55000000000000004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55000000000000004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55000000000000004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55000000000000004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55000000000000004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55000000000000004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55000000000000004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55000000000000004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55000000000000004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55000000000000004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55000000000000004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55000000000000004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55000000000000004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55000000000000004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55000000000000004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55000000000000004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55000000000000004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55000000000000004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55000000000000004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55000000000000004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55000000000000004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55000000000000004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55000000000000004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55000000000000004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55000000000000004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55000000000000004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55000000000000004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55000000000000004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55000000000000004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55000000000000004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55000000000000004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55000000000000004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55000000000000004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55000000000000004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55000000000000004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55000000000000004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55000000000000004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55000000000000004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55000000000000004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55000000000000004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55000000000000004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55000000000000004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55000000000000004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55000000000000004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55000000000000004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55000000000000004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55000000000000004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55000000000000004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55000000000000004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55000000000000004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55000000000000004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55000000000000004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55000000000000004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55000000000000004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55000000000000004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55000000000000004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55000000000000004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55000000000000004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55000000000000004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55000000000000004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55000000000000004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55000000000000004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55000000000000004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55000000000000004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55000000000000004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55000000000000004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55000000000000004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55000000000000004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55000000000000004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55000000000000004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55000000000000004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55000000000000004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55000000000000004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55000000000000004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55000000000000004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55000000000000004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55000000000000004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55000000000000004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55000000000000004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55000000000000004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55000000000000004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55000000000000004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55000000000000004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55000000000000004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55000000000000004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55000000000000004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55000000000000004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55000000000000004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55000000000000004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55000000000000004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55000000000000004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55000000000000004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55000000000000004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55000000000000004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55000000000000004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55000000000000004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55000000000000004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55000000000000004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55000000000000004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55000000000000004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55000000000000004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55000000000000004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55000000000000004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55000000000000004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55000000000000004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55000000000000004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55000000000000004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55000000000000004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55000000000000004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55000000000000004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55000000000000004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55000000000000004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55000000000000004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55000000000000004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55000000000000004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55000000000000004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55000000000000004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55000000000000004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55000000000000004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55000000000000004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55000000000000004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55000000000000004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55000000000000004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55000000000000004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55000000000000004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55000000000000004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55000000000000004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55000000000000004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55000000000000004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55000000000000004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55000000000000004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55000000000000004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55000000000000004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55000000000000004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55000000000000004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55000000000000004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55000000000000004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55000000000000004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55000000000000004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55000000000000004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55000000000000004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55000000000000004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55000000000000004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55000000000000004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55000000000000004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55000000000000004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55000000000000004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55000000000000004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55000000000000004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55000000000000004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55000000000000004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55000000000000004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55000000000000004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55000000000000004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55000000000000004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55000000000000004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55000000000000004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55000000000000004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55000000000000004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55000000000000004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55000000000000004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55000000000000004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55000000000000004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55000000000000004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55000000000000004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55000000000000004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55000000000000004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55000000000000004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55000000000000004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55000000000000004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55000000000000004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55000000000000004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55000000000000004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55000000000000004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55000000000000004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55000000000000004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55000000000000004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55000000000000004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55000000000000004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55000000000000004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55000000000000004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55000000000000004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55000000000000004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55000000000000004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55000000000000004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55000000000000004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55000000000000004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55000000000000004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55000000000000004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55000000000000004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55000000000000004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55000000000000004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55000000000000004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55000000000000004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55000000000000004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55000000000000004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55000000000000004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55000000000000004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55000000000000004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55000000000000004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55000000000000004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55000000000000004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55000000000000004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55000000000000004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55000000000000004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55000000000000004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55000000000000004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55000000000000004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55000000000000004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55000000000000004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55000000000000004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55000000000000004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55000000000000004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55000000000000004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55000000000000004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55000000000000004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55000000000000004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55000000000000004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55000000000000004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55000000000000004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55000000000000004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55000000000000004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55000000000000004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55000000000000004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55000000000000004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55000000000000004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55000000000000004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55000000000000004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55000000000000004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55000000000000004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55000000000000004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55000000000000004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55000000000000004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55000000000000004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55000000000000004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55000000000000004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55000000000000004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55000000000000004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55000000000000004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55000000000000004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55000000000000004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55000000000000004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55000000000000004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55000000000000004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55000000000000004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55000000000000004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55000000000000004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55000000000000004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55000000000000004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55000000000000004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55000000000000004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55000000000000004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55000000000000004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55000000000000004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55000000000000004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55000000000000004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55000000000000004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55000000000000004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55000000000000004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55000000000000004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55000000000000004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55000000000000004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55000000000000004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55000000000000004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55000000000000004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55000000000000004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55000000000000004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55000000000000004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55000000000000004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55000000000000004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55000000000000004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55000000000000004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55000000000000004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55000000000000004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55000000000000004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55000000000000004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55000000000000004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55000000000000004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55000000000000004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55000000000000004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55000000000000004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55000000000000004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55000000000000004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55000000000000004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55000000000000004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55000000000000004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55000000000000004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55000000000000004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55000000000000004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55000000000000004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55000000000000004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55000000000000004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55000000000000004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55000000000000004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55000000000000004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55000000000000004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55000000000000004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55000000000000004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55000000000000004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55000000000000004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55000000000000004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55000000000000004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55000000000000004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55000000000000004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55000000000000004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55000000000000004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55000000000000004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55000000000000004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55000000000000004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55000000000000004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55000000000000004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55000000000000004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55000000000000004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55000000000000004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55000000000000004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55000000000000004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55000000000000004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55000000000000004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55000000000000004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55000000000000004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55000000000000004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55000000000000004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55000000000000004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55000000000000004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55000000000000004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55000000000000004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55000000000000004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55000000000000004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55000000000000004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55000000000000004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55000000000000004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55000000000000004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55000000000000004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55000000000000004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55000000000000004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55000000000000004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55000000000000004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55000000000000004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55000000000000004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55000000000000004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55000000000000004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55000000000000004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55000000000000004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55000000000000004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55000000000000004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55000000000000004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55000000000000004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55000000000000004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55000000000000004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55000000000000004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55000000000000004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55000000000000004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55000000000000004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55000000000000004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55000000000000004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55000000000000004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55000000000000004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55000000000000004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55000000000000004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55000000000000004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55000000000000004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55000000000000004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55000000000000004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55000000000000004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55000000000000004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55000000000000004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55000000000000004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55000000000000004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55000000000000004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55000000000000004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55000000000000004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55000000000000004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55000000000000004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55000000000000004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55000000000000004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55000000000000004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55000000000000004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55000000000000004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55000000000000004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55000000000000004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55000000000000004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55000000000000004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55000000000000004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55000000000000004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55000000000000004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55000000000000004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55000000000000004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55000000000000004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55000000000000004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55000000000000004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55000000000000004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55000000000000004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55000000000000004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55000000000000004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55000000000000004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55000000000000004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55000000000000004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55000000000000004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55000000000000004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55000000000000004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55000000000000004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55000000000000004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55000000000000004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55000000000000004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55000000000000004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55000000000000004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55000000000000004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55000000000000004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55000000000000004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55000000000000004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55000000000000004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55000000000000004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55000000000000004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55000000000000004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55000000000000004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55000000000000004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55000000000000004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55000000000000004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55000000000000004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55000000000000004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55000000000000004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55000000000000004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55000000000000004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55000000000000004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55000000000000004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55000000000000004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55000000000000004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55000000000000004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55000000000000004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55000000000000004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55000000000000004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55000000000000004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55000000000000004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55000000000000004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55000000000000004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55000000000000004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55000000000000004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55000000000000004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55000000000000004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55000000000000004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55000000000000004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55000000000000004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55000000000000004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55000000000000004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55000000000000004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55000000000000004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55000000000000004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55000000000000004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55000000000000004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55000000000000004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55000000000000004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55000000000000004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55000000000000004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55000000000000004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55000000000000004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55000000000000004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55000000000000004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55000000000000004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55000000000000004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55000000000000004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55000000000000004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55000000000000004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55000000000000004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55000000000000004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55000000000000004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55000000000000004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55000000000000004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55000000000000004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55000000000000004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55000000000000004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55000000000000004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55000000000000004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55000000000000004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55000000000000004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55000000000000004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55000000000000004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55000000000000004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55000000000000004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55000000000000004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55000000000000004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55000000000000004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55000000000000004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55000000000000004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55000000000000004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55000000000000004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55000000000000004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55000000000000004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55000000000000004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55000000000000004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55000000000000004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55000000000000004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55000000000000004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55000000000000004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55000000000000004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55000000000000004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55000000000000004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55000000000000004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55000000000000004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55000000000000004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55000000000000004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55000000000000004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55000000000000004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55000000000000004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55000000000000004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55000000000000004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55000000000000004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55000000000000004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55000000000000004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55000000000000004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55000000000000004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55000000000000004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55000000000000004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55000000000000004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55000000000000004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55000000000000004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55000000000000004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55000000000000004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55000000000000004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55000000000000004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55000000000000004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55000000000000004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55000000000000004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55000000000000004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55000000000000004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55000000000000004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55000000000000004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55000000000000004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55000000000000004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55000000000000004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55000000000000004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55000000000000004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55000000000000004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55000000000000004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55000000000000004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55000000000000004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55000000000000004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55000000000000004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55000000000000004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55000000000000004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55000000000000004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55000000000000004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55000000000000004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55000000000000004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55000000000000004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55000000000000004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55000000000000004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55000000000000004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55000000000000004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55000000000000004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55000000000000004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55000000000000004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55000000000000004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55000000000000004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55000000000000004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55000000000000004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55000000000000004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55000000000000004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55000000000000004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55000000000000004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55000000000000004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55000000000000004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55000000000000004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55000000000000004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55000000000000004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55000000000000004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55000000000000004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55000000000000004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55000000000000004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55000000000000004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55000000000000004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55000000000000004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55000000000000004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55000000000000004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55000000000000004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55000000000000004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55000000000000004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55000000000000004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55000000000000004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55000000000000004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55000000000000004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55000000000000004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55000000000000004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55000000000000004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55000000000000004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55000000000000004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55000000000000004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55000000000000004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55000000000000004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55000000000000004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55000000000000004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55000000000000004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55000000000000004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55000000000000004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55000000000000004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55000000000000004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55000000000000004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55000000000000004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55000000000000004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55000000000000004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55000000000000004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55000000000000004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55000000000000004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55000000000000004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55000000000000004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55000000000000004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55000000000000004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55000000000000004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55000000000000004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55000000000000004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55000000000000004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55000000000000004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55000000000000004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55000000000000004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55000000000000004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55000000000000004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55000000000000004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55000000000000004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55000000000000004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55000000000000004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55000000000000004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55000000000000004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55000000000000004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55000000000000004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55000000000000004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55000000000000004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55000000000000004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55000000000000004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55000000000000004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55000000000000004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55000000000000004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55000000000000004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55000000000000004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55000000000000004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55000000000000004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55000000000000004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55000000000000004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55000000000000004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55000000000000004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55000000000000004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55000000000000004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55000000000000004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55000000000000004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55000000000000004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55000000000000004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55000000000000004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55000000000000004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55000000000000004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55000000000000004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55000000000000004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55000000000000004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55000000000000004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55000000000000004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55000000000000004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55000000000000004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55000000000000004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55000000000000004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55000000000000004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55000000000000004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55000000000000004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55000000000000004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55000000000000004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55000000000000004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55000000000000004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55000000000000004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55000000000000004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55000000000000004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55000000000000004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55000000000000004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55000000000000004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55000000000000004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55000000000000004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55000000000000004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55000000000000004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55000000000000004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55000000000000004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55000000000000004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55000000000000004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55000000000000004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55000000000000004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55000000000000004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55000000000000004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55000000000000004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55000000000000004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55000000000000004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55000000000000004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55000000000000004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55000000000000004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55000000000000004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55000000000000004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55000000000000004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55000000000000004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55000000000000004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55000000000000004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55000000000000004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55000000000000004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55000000000000004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55000000000000004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55000000000000004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55000000000000004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55000000000000004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55000000000000004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55000000000000004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55000000000000004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55000000000000004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55000000000000004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55000000000000004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55000000000000004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55000000000000004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55000000000000004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55000000000000004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55000000000000004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55000000000000004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55000000000000004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55000000000000004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55000000000000004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55000000000000004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55000000000000004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55000000000000004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55000000000000004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55000000000000004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55000000000000004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55000000000000004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55000000000000004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55000000000000004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55000000000000004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55000000000000004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55000000000000004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55000000000000004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55000000000000004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55000000000000004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55000000000000004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55000000000000004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55000000000000004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55000000000000004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55000000000000004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55000000000000004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55000000000000004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55000000000000004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55000000000000004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55000000000000004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55000000000000004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55000000000000004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55000000000000004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55000000000000004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55000000000000004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55000000000000004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55000000000000004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55000000000000004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55000000000000004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55000000000000004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55000000000000004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55000000000000004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55000000000000004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55000000000000004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55000000000000004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55000000000000004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55000000000000004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55000000000000004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55000000000000004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55000000000000004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55000000000000004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55000000000000004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55000000000000004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55000000000000004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55000000000000004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55000000000000004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55000000000000004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55000000000000004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55000000000000004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55000000000000004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55000000000000004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55000000000000004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55000000000000004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55000000000000004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55000000000000004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55000000000000004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55000000000000004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55000000000000004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55000000000000004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55000000000000004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55000000000000004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55000000000000004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55000000000000004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55000000000000004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55000000000000004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55000000000000004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55000000000000004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55000000000000004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55000000000000004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55000000000000004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55000000000000004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55000000000000004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55000000000000004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55000000000000004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55000000000000004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55000000000000004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55000000000000004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55000000000000004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55000000000000004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55000000000000004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55000000000000004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55000000000000004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55000000000000004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55000000000000004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55000000000000004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55000000000000004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55000000000000004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55000000000000004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55000000000000004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55000000000000004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55000000000000004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55000000000000004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55000000000000004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55000000000000004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55000000000000004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55000000000000004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55000000000000004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55000000000000004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55000000000000004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55000000000000004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55000000000000004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55000000000000004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55000000000000004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55000000000000004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55000000000000004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55000000000000004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55000000000000004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55000000000000004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55000000000000004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55000000000000004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55000000000000004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55000000000000004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55000000000000004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55000000000000004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55000000000000004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55000000000000004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55000000000000004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55000000000000004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55000000000000004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55000000000000004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55000000000000004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55000000000000004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55000000000000004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55000000000000004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55000000000000004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55000000000000004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55000000000000004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55000000000000004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55000000000000004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55000000000000004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55000000000000004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55000000000000004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55000000000000004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55000000000000004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55000000000000004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55000000000000004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55000000000000004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55000000000000004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55000000000000004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55000000000000004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55000000000000004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55000000000000004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55000000000000004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55000000000000004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55000000000000004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55000000000000004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55000000000000004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55000000000000004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55000000000000004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55000000000000004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55000000000000004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55000000000000004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55000000000000004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55000000000000004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55000000000000004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55000000000000004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55000000000000004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55000000000000004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55000000000000004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55000000000000004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55000000000000004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55000000000000004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55000000000000004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55000000000000004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55000000000000004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55000000000000004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55000000000000004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55000000000000004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55000000000000004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55000000000000004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55000000000000004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55000000000000004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55000000000000004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55000000000000004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55000000000000004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55000000000000004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55000000000000004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55000000000000004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55000000000000004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55000000000000004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55000000000000004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55000000000000004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55000000000000004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55000000000000004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55000000000000004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55000000000000004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55000000000000004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55000000000000004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55000000000000004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55000000000000004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55000000000000004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55000000000000004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55000000000000004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55000000000000004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55000000000000004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55000000000000004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55000000000000004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55000000000000004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55000000000000004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55000000000000004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55000000000000004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55000000000000004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55000000000000004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55000000000000004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55000000000000004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55000000000000004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55000000000000004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55000000000000004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55000000000000004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55000000000000004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55000000000000004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55000000000000004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55000000000000004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55000000000000004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55000000000000004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55000000000000004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55000000000000004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55000000000000004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55000000000000004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55000000000000004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55000000000000004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55000000000000004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55000000000000004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55000000000000004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55000000000000004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55000000000000004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55000000000000004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55000000000000004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55000000000000004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55000000000000004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55000000000000004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55000000000000004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55000000000000004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55000000000000004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55000000000000004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55000000000000004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55000000000000004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55000000000000004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55000000000000004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55000000000000004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55000000000000004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55000000000000004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55000000000000004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55000000000000004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55000000000000004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55000000000000004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55000000000000004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55000000000000004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55000000000000004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55000000000000004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55000000000000004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55000000000000004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55000000000000004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55000000000000004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55000000000000004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55000000000000004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55000000000000004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55000000000000004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55000000000000004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55000000000000004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55000000000000004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55000000000000004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55000000000000004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55000000000000004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55000000000000004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55000000000000004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55000000000000004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55000000000000004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55000000000000004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55000000000000004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55000000000000004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55000000000000004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55000000000000004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55000000000000004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55000000000000004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55000000000000004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55000000000000004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55000000000000004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55000000000000004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55000000000000004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55000000000000004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55000000000000004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55000000000000004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55000000000000004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55000000000000004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55000000000000004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55000000000000004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55000000000000004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55000000000000004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55000000000000004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55000000000000004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55000000000000004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55000000000000004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55000000000000004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55000000000000004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55000000000000004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55000000000000004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55000000000000004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55000000000000004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55000000000000004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55000000000000004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55000000000000004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55000000000000004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55000000000000004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55000000000000004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55000000000000004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55000000000000004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55000000000000004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55000000000000004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55000000000000004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55000000000000004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55000000000000004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55000000000000004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55000000000000004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55000000000000004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55000000000000004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55000000000000004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55000000000000004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55000000000000004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55000000000000004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55000000000000004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55000000000000004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55000000000000004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55000000000000004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55000000000000004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55000000000000004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55000000000000004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55000000000000004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55000000000000004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55000000000000004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55000000000000004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55000000000000004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55000000000000004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55000000000000004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55000000000000004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55000000000000004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55000000000000004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55000000000000004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55000000000000004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55000000000000004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55000000000000004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55000000000000004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55000000000000004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55000000000000004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55000000000000004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55000000000000004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55000000000000004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55000000000000004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55000000000000004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55000000000000004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55000000000000004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55000000000000004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55000000000000004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55000000000000004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55000000000000004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55000000000000004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55000000000000004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55000000000000004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55000000000000004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55000000000000004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55000000000000004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55000000000000004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55000000000000004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55000000000000004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55000000000000004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55000000000000004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55000000000000004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55000000000000004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55000000000000004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55000000000000004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55000000000000004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55000000000000004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55000000000000004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55000000000000004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55000000000000004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55000000000000004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55000000000000004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55000000000000004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55000000000000004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55000000000000004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55000000000000004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55000000000000004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55000000000000004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55000000000000004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55000000000000004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55000000000000004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55000000000000004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55000000000000004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55000000000000004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55000000000000004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55000000000000004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55000000000000004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55000000000000004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55000000000000004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55000000000000004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55000000000000004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55000000000000004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55000000000000004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55000000000000004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55000000000000004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55000000000000004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55000000000000004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55000000000000004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55000000000000004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55000000000000004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55000000000000004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55000000000000004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55000000000000004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55000000000000004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55000000000000004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55000000000000004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55000000000000004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55000000000000004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55000000000000004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55000000000000004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55000000000000004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55000000000000004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55000000000000004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55000000000000004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55000000000000004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55000000000000004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55000000000000004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55000000000000004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55000000000000004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55000000000000004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55000000000000004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55000000000000004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55000000000000004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55000000000000004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55000000000000004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55000000000000004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55000000000000004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55000000000000004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55000000000000004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55000000000000004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55000000000000004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55000000000000004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55000000000000004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55000000000000004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55000000000000004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55000000000000004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55000000000000004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55000000000000004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55000000000000004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55000000000000004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55000000000000004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55000000000000004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55000000000000004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55000000000000004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55000000000000004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55000000000000004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55000000000000004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55000000000000004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55000000000000004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55000000000000004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55000000000000004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55000000000000004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55000000000000004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55000000000000004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55000000000000004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55000000000000004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55000000000000004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55000000000000004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55000000000000004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55000000000000004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55000000000000004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55000000000000004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55000000000000004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55000000000000004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55000000000000004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55000000000000004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55000000000000004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55000000000000004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55000000000000004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55000000000000004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55000000000000004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55000000000000004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55000000000000004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55000000000000004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55000000000000004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55000000000000004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55000000000000004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55000000000000004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55000000000000004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55000000000000004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55000000000000004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55000000000000004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55000000000000004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55000000000000004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55000000000000004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55000000000000004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55000000000000004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55000000000000004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55000000000000004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55000000000000004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55000000000000004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55000000000000004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55000000000000004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55000000000000004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55000000000000004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55000000000000004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55000000000000004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55000000000000004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55000000000000004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55000000000000004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55000000000000004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55000000000000004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55000000000000004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55000000000000004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55000000000000004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55000000000000004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55000000000000004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55000000000000004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55000000000000004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55000000000000004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55000000000000004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55000000000000004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55000000000000004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55000000000000004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55000000000000004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55000000000000004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55000000000000004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55000000000000004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55000000000000004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55000000000000004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55000000000000004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55000000000000004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55000000000000004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55000000000000004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55000000000000004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55000000000000004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55000000000000004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55000000000000004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55000000000000004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55000000000000004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55000000000000004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55000000000000004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55000000000000004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55000000000000004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55000000000000004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55000000000000004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55000000000000004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55000000000000004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55000000000000004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55000000000000004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55000000000000004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55000000000000004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55000000000000004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55000000000000004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55000000000000004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55000000000000004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55000000000000004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55000000000000004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55000000000000004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55000000000000004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55000000000000004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55000000000000004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55000000000000004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55000000000000004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55000000000000004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55000000000000004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55000000000000004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55000000000000004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55000000000000004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55000000000000004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55000000000000004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55000000000000004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55000000000000004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55000000000000004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55000000000000004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55000000000000004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55000000000000004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55000000000000004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55000000000000004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55000000000000004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55000000000000004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55000000000000004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55000000000000004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55000000000000004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55000000000000004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55000000000000004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55000000000000004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55000000000000004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55000000000000004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55000000000000004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55000000000000004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55000000000000004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55000000000000004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55000000000000004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55000000000000004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55000000000000004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55000000000000004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55000000000000004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55000000000000004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55000000000000004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55000000000000004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55000000000000004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55000000000000004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55000000000000004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55000000000000004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55000000000000004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55000000000000004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55000000000000004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55000000000000004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55000000000000004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55000000000000004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55000000000000004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55000000000000004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55000000000000004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55000000000000004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55000000000000004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55000000000000004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55000000000000004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55000000000000004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55000000000000004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55000000000000004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55000000000000004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55000000000000004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55000000000000004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55000000000000004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55000000000000004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55000000000000004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55000000000000004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55000000000000004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55000000000000004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55000000000000004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55000000000000004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55000000000000004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55000000000000004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55000000000000004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55000000000000004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55000000000000004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55000000000000004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55000000000000004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55000000000000004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55000000000000004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55000000000000004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55000000000000004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55000000000000004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55000000000000004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55000000000000004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55000000000000004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55000000000000004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55000000000000004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55000000000000004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55000000000000004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55000000000000004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55000000000000004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55000000000000004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55000000000000004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55000000000000004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55000000000000004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55000000000000004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55000000000000004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55000000000000004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55000000000000004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55000000000000004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55000000000000004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55000000000000004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55000000000000004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55000000000000004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55000000000000004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55000000000000004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55000000000000004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55000000000000004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55000000000000004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55000000000000004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55000000000000004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55000000000000004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55000000000000004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55000000000000004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55000000000000004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55000000000000004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55000000000000004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55000000000000004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55000000000000004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55000000000000004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55000000000000004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55000000000000004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55000000000000004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55000000000000004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55000000000000004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55000000000000004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55000000000000004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55000000000000004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55000000000000004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55000000000000004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55000000000000004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55000000000000004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55000000000000004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55000000000000004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55000000000000004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55000000000000004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55000000000000004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55000000000000004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55000000000000004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55000000000000004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55000000000000004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55000000000000004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55000000000000004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55000000000000004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55000000000000004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55000000000000004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55000000000000004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55000000000000004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55000000000000004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55000000000000004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55000000000000004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55000000000000004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55000000000000004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55000000000000004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55000000000000004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55000000000000004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55000000000000004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55000000000000004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55000000000000004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55000000000000004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55000000000000004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55000000000000004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55000000000000004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55000000000000004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55000000000000004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55000000000000004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55000000000000004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55000000000000004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55000000000000004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55000000000000004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55000000000000004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55000000000000004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55000000000000004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55000000000000004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55000000000000004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55000000000000004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55000000000000004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55000000000000004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55000000000000004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55000000000000004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55000000000000004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55000000000000004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55000000000000004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55000000000000004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55000000000000004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55000000000000004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55000000000000004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55000000000000004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55000000000000004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55000000000000004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55000000000000004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55000000000000004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55000000000000004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55000000000000004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55000000000000004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55000000000000004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55000000000000004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55000000000000004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55000000000000004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55000000000000004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55000000000000004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55000000000000004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55000000000000004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55000000000000004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55000000000000004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55000000000000004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55000000000000004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55000000000000004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55000000000000004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55000000000000004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55000000000000004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55000000000000004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55000000000000004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55000000000000004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55000000000000004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55000000000000004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55000000000000004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55000000000000004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55000000000000004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55000000000000004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55000000000000004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55000000000000004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55000000000000004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55000000000000004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55000000000000004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55000000000000004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55000000000000004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55000000000000004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55000000000000004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55000000000000004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55000000000000004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55000000000000004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55000000000000004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55000000000000004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55000000000000004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55000000000000004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55000000000000004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55000000000000004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55000000000000004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55000000000000004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55000000000000004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55000000000000004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55000000000000004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55000000000000004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55000000000000004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55000000000000004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55000000000000004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55000000000000004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55000000000000004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55000000000000004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55000000000000004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55000000000000004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55000000000000004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55000000000000004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55000000000000004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55000000000000004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55000000000000004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55000000000000004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55000000000000004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55000000000000004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55000000000000004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55000000000000004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55000000000000004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55000000000000004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55000000000000004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55000000000000004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55000000000000004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55000000000000004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55000000000000004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55000000000000004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55000000000000004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55000000000000004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55000000000000004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55000000000000004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55000000000000004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55000000000000004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55000000000000004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55000000000000004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55000000000000004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55000000000000004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55000000000000004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55000000000000004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55000000000000004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55000000000000004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55000000000000004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55000000000000004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55000000000000004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55000000000000004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55000000000000004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55000000000000004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55000000000000004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55000000000000004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55000000000000004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55000000000000004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55000000000000004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55000000000000004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55000000000000004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55000000000000004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55000000000000004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55000000000000004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55000000000000004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55000000000000004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55000000000000004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55000000000000004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55000000000000004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55000000000000004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55000000000000004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55000000000000004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55000000000000004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55000000000000004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55000000000000004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55000000000000004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55000000000000004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55000000000000004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55000000000000004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55000000000000004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55000000000000004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55000000000000004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55000000000000004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55000000000000004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55000000000000004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55000000000000004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55000000000000004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55000000000000004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55000000000000004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55000000000000004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55000000000000004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55000000000000004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55000000000000004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55000000000000004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55000000000000004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55000000000000004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55000000000000004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55000000000000004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55000000000000004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55000000000000004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55000000000000004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55000000000000004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55000000000000004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55000000000000004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55000000000000004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55000000000000004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55000000000000004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55000000000000004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55000000000000004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55000000000000004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55000000000000004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55000000000000004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55000000000000004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55000000000000004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55000000000000004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55000000000000004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55000000000000004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55000000000000004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55000000000000004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55000000000000004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55000000000000004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55000000000000004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55000000000000004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55000000000000004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55000000000000004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55000000000000004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55000000000000004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55000000000000004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55000000000000004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55000000000000004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55000000000000004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55000000000000004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55000000000000004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55000000000000004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55000000000000004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55000000000000004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55000000000000004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55000000000000004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55000000000000004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55000000000000004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55000000000000004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55000000000000004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55000000000000004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55000000000000004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55000000000000004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55000000000000004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55000000000000004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55000000000000004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55000000000000004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55000000000000004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55000000000000004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55000000000000004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55000000000000004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55000000000000004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55000000000000004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55000000000000004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55000000000000004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55000000000000004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55000000000000004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55000000000000004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55000000000000004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55000000000000004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55000000000000004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55000000000000004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55000000000000004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55000000000000004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55000000000000004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55000000000000004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55000000000000004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55000000000000004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55000000000000004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55000000000000004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55000000000000004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55000000000000004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55000000000000004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55000000000000004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55000000000000004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55000000000000004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55000000000000004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55000000000000004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55000000000000004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55000000000000004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55000000000000004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55000000000000004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55000000000000004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55000000000000004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55000000000000004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55000000000000004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55000000000000004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55000000000000004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55000000000000004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55000000000000004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55000000000000004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55000000000000004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55000000000000004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55000000000000004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55000000000000004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55000000000000004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55000000000000004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55000000000000004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55000000000000004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55000000000000004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55000000000000004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55000000000000004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55000000000000004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55000000000000004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55000000000000004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55000000000000004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55000000000000004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55000000000000004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55000000000000004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55000000000000004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55000000000000004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55000000000000004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55000000000000004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55000000000000004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55000000000000004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55000000000000004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55000000000000004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55000000000000004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55000000000000004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55000000000000004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55000000000000004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55000000000000004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55000000000000004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55000000000000004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55000000000000004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55000000000000004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55000000000000004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55000000000000004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55000000000000004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55000000000000004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55000000000000004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55000000000000004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55000000000000004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55000000000000004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55000000000000004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55000000000000004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55000000000000004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55000000000000004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55000000000000004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55000000000000004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55000000000000004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55000000000000004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55000000000000004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55000000000000004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55000000000000004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55000000000000004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55000000000000004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55000000000000004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55000000000000004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55000000000000004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55000000000000004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55000000000000004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55000000000000004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55000000000000004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55000000000000004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55000000000000004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55000000000000004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55000000000000004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55000000000000004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55000000000000004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55000000000000004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55000000000000004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55000000000000004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55000000000000004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55000000000000004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55000000000000004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55000000000000004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55000000000000004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55000000000000004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55000000000000004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55000000000000004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55000000000000004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55000000000000004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55000000000000004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55000000000000004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55000000000000004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55000000000000004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55000000000000004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55000000000000004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55000000000000004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55000000000000004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55000000000000004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55000000000000004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55000000000000004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55000000000000004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55000000000000004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55000000000000004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55000000000000004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55000000000000004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55000000000000004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55000000000000004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55000000000000004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55000000000000004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55000000000000004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55000000000000004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55000000000000004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55000000000000004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55000000000000004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55000000000000004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55000000000000004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55000000000000004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55000000000000004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55000000000000004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55000000000000004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55000000000000004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55000000000000004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55000000000000004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55000000000000004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55000000000000004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55000000000000004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55000000000000004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55000000000000004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55000000000000004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55000000000000004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55000000000000004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55000000000000004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55000000000000004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55000000000000004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55000000000000004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55000000000000004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55000000000000004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55000000000000004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55000000000000004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55000000000000004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55000000000000004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55000000000000004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55000000000000004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55000000000000004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55000000000000004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55000000000000004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55000000000000004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55000000000000004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55000000000000004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55000000000000004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55000000000000004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55000000000000004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55000000000000004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55000000000000004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55000000000000004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55000000000000004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55000000000000004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55000000000000004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55000000000000004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55000000000000004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55000000000000004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55000000000000004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55000000000000004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55000000000000004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55000000000000004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55000000000000004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55000000000000004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55000000000000004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55000000000000004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55000000000000004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55000000000000004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55000000000000004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55000000000000004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55000000000000004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55000000000000004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55000000000000004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55000000000000004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55000000000000004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55000000000000004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55000000000000004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55000000000000004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55000000000000004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55000000000000004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55000000000000004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55000000000000004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55000000000000004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55000000000000004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55000000000000004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55000000000000004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55000000000000004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55000000000000004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55000000000000004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55000000000000004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55000000000000004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55000000000000004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55000000000000004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55000000000000004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55000000000000004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55000000000000004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55000000000000004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55000000000000004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55000000000000004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55000000000000004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55000000000000004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55000000000000004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55000000000000004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55000000000000004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55000000000000004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55000000000000004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55000000000000004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55000000000000004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55000000000000004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55000000000000004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55000000000000004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55000000000000004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55000000000000004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55000000000000004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55000000000000004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55000000000000004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55000000000000004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55000000000000004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55000000000000004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55000000000000004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55000000000000004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55000000000000004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55000000000000004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55000000000000004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55000000000000004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55000000000000004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55000000000000004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55000000000000004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55000000000000004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55000000000000004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55000000000000004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55000000000000004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55000000000000004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55000000000000004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55000000000000004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55000000000000004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55000000000000004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55000000000000004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55000000000000004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55000000000000004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55000000000000004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55000000000000004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55000000000000004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55000000000000004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55000000000000004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55000000000000004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55000000000000004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55000000000000004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55000000000000004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55000000000000004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55000000000000004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55000000000000004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55000000000000004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55000000000000004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55000000000000004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55000000000000004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55000000000000004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55000000000000004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55000000000000004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55000000000000004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55000000000000004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55000000000000004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55000000000000004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55000000000000004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55000000000000004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55000000000000004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55000000000000004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55000000000000004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55000000000000004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55000000000000004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55000000000000004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55000000000000004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55000000000000004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55000000000000004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55000000000000004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55000000000000004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55000000000000004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55000000000000004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55000000000000004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55000000000000004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55000000000000004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55000000000000004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55000000000000004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55000000000000004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55000000000000004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55000000000000004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55000000000000004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55000000000000004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55000000000000004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55000000000000004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55000000000000004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55000000000000004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55000000000000004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55000000000000004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55000000000000004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55000000000000004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55000000000000004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55000000000000004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55000000000000004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55000000000000004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55000000000000004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55000000000000004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55000000000000004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55000000000000004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55000000000000004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55000000000000004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55000000000000004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55000000000000004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55000000000000004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55000000000000004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55000000000000004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55000000000000004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55000000000000004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55000000000000004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55000000000000004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55000000000000004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55000000000000004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55000000000000004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55000000000000004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55000000000000004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55000000000000004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55000000000000004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55000000000000004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55000000000000004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55000000000000004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55000000000000004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55000000000000004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55000000000000004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55000000000000004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55000000000000004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55000000000000004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55000000000000004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55000000000000004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55000000000000004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55000000000000004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55000000000000004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55000000000000004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55000000000000004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55000000000000004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55000000000000004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55000000000000004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55000000000000004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55000000000000004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55000000000000004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55000000000000004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55000000000000004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55000000000000004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55000000000000004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55000000000000004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55000000000000004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55000000000000004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55000000000000004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55000000000000004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55000000000000004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55000000000000004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55000000000000004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55000000000000004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55000000000000004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55000000000000004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55000000000000004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55000000000000004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55000000000000004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55000000000000004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55000000000000004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55000000000000004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55000000000000004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55000000000000004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55000000000000004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55000000000000004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55000000000000004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55000000000000004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55000000000000004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55000000000000004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55000000000000004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55000000000000004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55000000000000004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55000000000000004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55000000000000004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55000000000000004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55000000000000004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55000000000000004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55000000000000004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55000000000000004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55000000000000004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55000000000000004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55000000000000004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55000000000000004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55000000000000004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55000000000000004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55000000000000004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55000000000000004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55000000000000004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55000000000000004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55000000000000004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55000000000000004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55000000000000004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55000000000000004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55000000000000004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55000000000000004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55000000000000004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55000000000000004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55000000000000004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55000000000000004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55000000000000004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55000000000000004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55000000000000004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55000000000000004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55000000000000004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55000000000000004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55000000000000004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55000000000000004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55000000000000004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55000000000000004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55000000000000004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55000000000000004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55000000000000004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55000000000000004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55000000000000004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55000000000000004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55000000000000004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55000000000000004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55000000000000004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55000000000000004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55000000000000004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55000000000000004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55000000000000004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55000000000000004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55000000000000004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55000000000000004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55000000000000004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55000000000000004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55000000000000004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55000000000000004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55000000000000004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55000000000000004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55000000000000004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55000000000000004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55000000000000004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55000000000000004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55000000000000004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55000000000000004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55000000000000004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55000000000000004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55000000000000004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55000000000000004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55000000000000004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55000000000000004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55000000000000004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55000000000000004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55000000000000004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55000000000000004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55000000000000004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55000000000000004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55000000000000004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55000000000000004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55000000000000004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55000000000000004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55000000000000004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55000000000000004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55000000000000004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55000000000000004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55000000000000004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55000000000000004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55000000000000004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55000000000000004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55000000000000004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55000000000000004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55000000000000004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55000000000000004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55000000000000004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55000000000000004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55000000000000004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55000000000000004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55000000000000004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55000000000000004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55000000000000004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55000000000000004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55000000000000004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55000000000000004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55000000000000004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55000000000000004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55000000000000004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55000000000000004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55000000000000004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55000000000000004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55000000000000004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55000000000000004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55000000000000004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55000000000000004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55000000000000004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55000000000000004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55000000000000004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55000000000000004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55000000000000004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55000000000000004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55000000000000004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55000000000000004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55000000000000004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55000000000000004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55000000000000004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55000000000000004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55000000000000004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55000000000000004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55000000000000004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55000000000000004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55000000000000004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55000000000000004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55000000000000004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55000000000000004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55000000000000004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55000000000000004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55000000000000004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55000000000000004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55000000000000004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55000000000000004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55000000000000004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55000000000000004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55000000000000004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55000000000000004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55000000000000004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55000000000000004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55000000000000004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55000000000000004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55000000000000004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55000000000000004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55000000000000004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55000000000000004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55000000000000004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55000000000000004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55000000000000004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55000000000000004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55000000000000004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55000000000000004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55000000000000004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55000000000000004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55000000000000004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55000000000000004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55000000000000004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55000000000000004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55000000000000004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55000000000000004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55000000000000004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55000000000000004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55000000000000004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55000000000000004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55000000000000004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55000000000000004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55000000000000004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55000000000000004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55000000000000004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55000000000000004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55000000000000004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55000000000000004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55000000000000004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55000000000000004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55000000000000004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55000000000000004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55000000000000004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55000000000000004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55000000000000004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55000000000000004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55000000000000004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55000000000000004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55000000000000004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55000000000000004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55000000000000004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55000000000000004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55000000000000004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55000000000000004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55000000000000004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55000000000000004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55000000000000004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55000000000000004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55000000000000004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55000000000000004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55000000000000004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55000000000000004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55000000000000004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55000000000000004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55000000000000004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55000000000000004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55000000000000004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55000000000000004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55000000000000004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55000000000000004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55000000000000004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55000000000000004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55000000000000004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55000000000000004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55000000000000004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55000000000000004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55000000000000004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55000000000000004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55000000000000004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55000000000000004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55000000000000004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55000000000000004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55000000000000004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55000000000000004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55000000000000004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55000000000000004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55000000000000004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55000000000000004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55000000000000004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55000000000000004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55000000000000004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55000000000000004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55000000000000004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55000000000000004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55000000000000004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55000000000000004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55000000000000004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55000000000000004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55000000000000004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55000000000000004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55000000000000004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55000000000000004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55000000000000004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55000000000000004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55000000000000004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55000000000000004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55000000000000004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55000000000000004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55000000000000004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55000000000000004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55000000000000004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55000000000000004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55000000000000004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55000000000000004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55000000000000004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55000000000000004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55000000000000004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55000000000000004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55000000000000004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55000000000000004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55000000000000004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55000000000000004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55000000000000004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55000000000000004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55000000000000004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55000000000000004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55000000000000004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55000000000000004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55000000000000004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55000000000000004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55000000000000004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55000000000000004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55000000000000004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55000000000000004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55000000000000004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55000000000000004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55000000000000004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55000000000000004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55000000000000004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55000000000000004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55000000000000004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55000000000000004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55000000000000004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55000000000000004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55000000000000004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55000000000000004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55000000000000004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55000000000000004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55000000000000004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55000000000000004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55000000000000004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55000000000000004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55000000000000004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55000000000000004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55000000000000004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55000000000000004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55000000000000004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55000000000000004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55000000000000004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55000000000000004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55000000000000004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55000000000000004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55000000000000004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55000000000000004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55000000000000004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55000000000000004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55000000000000004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55000000000000004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55000000000000004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55000000000000004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55000000000000004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55000000000000004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55000000000000004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55000000000000004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55000000000000004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55000000000000004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55000000000000004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55000000000000004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55000000000000004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55000000000000004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55000000000000004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55000000000000004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55000000000000004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55000000000000004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55000000000000004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55000000000000004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55000000000000004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55000000000000004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55000000000000004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55000000000000004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55000000000000004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55000000000000004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55000000000000004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55000000000000004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55000000000000004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55000000000000004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55000000000000004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55000000000000004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55000000000000004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55000000000000004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55000000000000004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55000000000000004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55000000000000004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55000000000000004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55000000000000004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55000000000000004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55000000000000004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55000000000000004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55000000000000004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55000000000000004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55000000000000004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55000000000000004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55000000000000004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55000000000000004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55000000000000004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55000000000000004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55000000000000004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55000000000000004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55000000000000004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55000000000000004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55000000000000004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55000000000000004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55000000000000004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55000000000000004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55000000000000004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55000000000000004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55000000000000004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55000000000000004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55000000000000004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55000000000000004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55000000000000004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55000000000000004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55000000000000004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55000000000000004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55000000000000004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55000000000000004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55000000000000004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55000000000000004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55000000000000004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55000000000000004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55000000000000004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55000000000000004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55000000000000004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55000000000000004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55000000000000004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55000000000000004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55000000000000004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55000000000000004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55000000000000004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55000000000000004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55000000000000004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55000000000000004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55000000000000004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55000000000000004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55000000000000004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55000000000000004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55000000000000004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55000000000000004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55000000000000004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55000000000000004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55000000000000004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55000000000000004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55000000000000004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55000000000000004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55000000000000004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55000000000000004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55000000000000004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55000000000000004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55000000000000004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55000000000000004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55000000000000004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55000000000000004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55000000000000004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55000000000000004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55000000000000004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55000000000000004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55000000000000004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55000000000000004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55000000000000004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55000000000000004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55000000000000004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55000000000000004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55000000000000004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55000000000000004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55000000000000004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55000000000000004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55000000000000004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55000000000000004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55000000000000004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55000000000000004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55000000000000004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55000000000000004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55000000000000004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55000000000000004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55000000000000004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55000000000000004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55000000000000004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55000000000000004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55000000000000004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55000000000000004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55000000000000004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55000000000000004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55000000000000004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55000000000000004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55000000000000004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55000000000000004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55000000000000004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55000000000000004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55000000000000004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55000000000000004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55000000000000004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55000000000000004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55000000000000004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55000000000000004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55000000000000004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55000000000000004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55000000000000004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55000000000000004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55000000000000004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55000000000000004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55000000000000004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55000000000000004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55000000000000004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55000000000000004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55000000000000004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55000000000000004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55000000000000004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55000000000000004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55000000000000004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55000000000000004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55000000000000004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55000000000000004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55000000000000004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55000000000000004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55000000000000004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55000000000000004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55000000000000004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55000000000000004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55000000000000004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55000000000000004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55000000000000004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55000000000000004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55000000000000004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55000000000000004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55000000000000004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55000000000000004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55000000000000004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55000000000000004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55000000000000004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55000000000000004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55000000000000004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55000000000000004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55000000000000004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55000000000000004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55000000000000004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55000000000000004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55000000000000004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55000000000000004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55000000000000004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55000000000000004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55000000000000004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55000000000000004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55000000000000004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55000000000000004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55000000000000004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55000000000000004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55000000000000004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55000000000000004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55000000000000004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55000000000000004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55000000000000004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55000000000000004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55000000000000004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55000000000000004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55000000000000004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55000000000000004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55000000000000004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55000000000000004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55000000000000004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55000000000000004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55000000000000004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55000000000000004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55000000000000004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55000000000000004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55000000000000004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55000000000000004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55000000000000004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55000000000000004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55000000000000004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55000000000000004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55000000000000004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55000000000000004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55000000000000004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55000000000000004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55000000000000004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55000000000000004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55000000000000004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55000000000000004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55000000000000004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55000000000000004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55000000000000004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55000000000000004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55000000000000004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55000000000000004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55000000000000004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55000000000000004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55000000000000004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55000000000000004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55000000000000004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55000000000000004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55000000000000004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55000000000000004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55000000000000004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55000000000000004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55000000000000004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55000000000000004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55000000000000004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55000000000000004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55000000000000004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55000000000000004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55000000000000004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55000000000000004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55000000000000004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55000000000000004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55000000000000004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55000000000000004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55000000000000004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55000000000000004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55000000000000004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55000000000000004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55000000000000004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55000000000000004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55000000000000004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55000000000000004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55000000000000004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55000000000000004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55000000000000004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55000000000000004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55000000000000004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55000000000000004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55000000000000004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55000000000000004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55000000000000004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55000000000000004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55000000000000004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55000000000000004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55000000000000004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55000000000000004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55000000000000004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55000000000000004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55000000000000004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55000000000000004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55000000000000004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55000000000000004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55000000000000004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55000000000000004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55000000000000004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55000000000000004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55000000000000004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55000000000000004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55000000000000004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55000000000000004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55000000000000004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55000000000000004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55000000000000004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55000000000000004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55000000000000004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55000000000000004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55000000000000004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55000000000000004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55000000000000004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55000000000000004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55000000000000004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55000000000000004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55000000000000004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55000000000000004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55000000000000004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55000000000000004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55000000000000004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55000000000000004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55000000000000004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55000000000000004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55000000000000004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55000000000000004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55000000000000004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55000000000000004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55000000000000004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55000000000000004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55000000000000004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55000000000000004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55000000000000004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55000000000000004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55000000000000004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55000000000000004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55000000000000004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55000000000000004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55000000000000004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55000000000000004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55000000000000004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55000000000000004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55000000000000004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55000000000000004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55000000000000004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55000000000000004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55000000000000004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55000000000000004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55000000000000004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55000000000000004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55000000000000004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55000000000000004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55000000000000004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55000000000000004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55000000000000004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55000000000000004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55000000000000004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55000000000000004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55000000000000004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55000000000000004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55000000000000004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55000000000000004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55000000000000004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55000000000000004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55000000000000004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55000000000000004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55000000000000004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55000000000000004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55000000000000004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55000000000000004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55000000000000004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55000000000000004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55000000000000004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55000000000000004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55000000000000004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55000000000000004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55000000000000004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55000000000000004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55000000000000004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55000000000000004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55000000000000004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55000000000000004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55000000000000004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55000000000000004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55000000000000004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55000000000000004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55000000000000004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55000000000000004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55000000000000004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55000000000000004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55000000000000004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55000000000000004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55000000000000004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55000000000000004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55000000000000004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55000000000000004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55000000000000004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55000000000000004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55000000000000004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55000000000000004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55000000000000004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55000000000000004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55000000000000004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55000000000000004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55000000000000004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55000000000000004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55000000000000004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55000000000000004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55000000000000004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55000000000000004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55000000000000004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55000000000000004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55000000000000004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55000000000000004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55000000000000004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55000000000000004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55000000000000004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55000000000000004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55000000000000004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55000000000000004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55000000000000004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55000000000000004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55000000000000004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55000000000000004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55000000000000004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55000000000000004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55000000000000004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55000000000000004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55000000000000004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55000000000000004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55000000000000004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55000000000000004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55000000000000004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55000000000000004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55000000000000004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55000000000000004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55000000000000004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55000000000000004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55000000000000004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55000000000000004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55000000000000004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55000000000000004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55000000000000004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55000000000000004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55000000000000004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55000000000000004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55000000000000004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55000000000000004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55000000000000004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55000000000000004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55000000000000004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55000000000000004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55000000000000004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55000000000000004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55000000000000004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55000000000000004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55000000000000004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55000000000000004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55000000000000004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55000000000000004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55000000000000004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55000000000000004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55000000000000004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55000000000000004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55000000000000004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55000000000000004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55000000000000004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55000000000000004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55000000000000004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55000000000000004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55000000000000004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55000000000000004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55000000000000004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55000000000000004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55000000000000004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55000000000000004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55000000000000004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55000000000000004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55000000000000004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55000000000000004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55000000000000004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55000000000000004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55000000000000004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55000000000000004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55000000000000004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55000000000000004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55000000000000004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55000000000000004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55000000000000004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55000000000000004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55000000000000004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55000000000000004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55000000000000004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55000000000000004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55000000000000004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55000000000000004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55000000000000004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55000000000000004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55000000000000004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55000000000000004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55000000000000004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55000000000000004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55000000000000004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55000000000000004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55000000000000004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55000000000000004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55000000000000004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55000000000000004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55000000000000004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55000000000000004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55000000000000004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55000000000000004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55000000000000004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55000000000000004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55000000000000004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55000000000000004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55000000000000004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55000000000000004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55000000000000004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55000000000000004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55000000000000004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55000000000000004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55000000000000004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55000000000000004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55000000000000004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55000000000000004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55000000000000004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55000000000000004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55000000000000004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55000000000000004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55000000000000004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55000000000000004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55000000000000004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55000000000000004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55000000000000004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55000000000000004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55000000000000004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55000000000000004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55000000000000004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55000000000000004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55000000000000004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55000000000000004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55000000000000004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55000000000000004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55000000000000004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55000000000000004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55000000000000004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55000000000000004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55000000000000004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55000000000000004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55000000000000004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55000000000000004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55000000000000004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55000000000000004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55000000000000004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55000000000000004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55000000000000004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55000000000000004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55000000000000004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55000000000000004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55000000000000004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55000000000000004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55000000000000004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55000000000000004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55000000000000004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55000000000000004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55000000000000004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55000000000000004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55000000000000004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55000000000000004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55000000000000004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55000000000000004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55000000000000004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55000000000000004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55000000000000004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55000000000000004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55000000000000004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55000000000000004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55000000000000004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55000000000000004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55000000000000004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55000000000000004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55000000000000004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55000000000000004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55000000000000004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55000000000000004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55000000000000004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55000000000000004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55000000000000004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55000000000000004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55000000000000004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55000000000000004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55000000000000004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55000000000000004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55000000000000004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55000000000000004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55000000000000004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55000000000000004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55000000000000004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55000000000000004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55000000000000004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55000000000000004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55000000000000004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55000000000000004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55000000000000004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55000000000000004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55000000000000004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55000000000000004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55000000000000004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55000000000000004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55000000000000004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55000000000000004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55000000000000004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55000000000000004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55000000000000004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55000000000000004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55000000000000004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55000000000000004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55000000000000004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55000000000000004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55000000000000004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55000000000000004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55000000000000004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55000000000000004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55000000000000004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55000000000000004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55000000000000004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55000000000000004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55000000000000004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55000000000000004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55000000000000004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55000000000000004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55000000000000004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55000000000000004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55000000000000004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55000000000000004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55000000000000004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55000000000000004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55000000000000004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55000000000000004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55000000000000004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55000000000000004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55000000000000004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55000000000000004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55000000000000004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55000000000000004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55000000000000004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55000000000000004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55000000000000004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55000000000000004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55000000000000004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55000000000000004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55000000000000004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55000000000000004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55000000000000004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55000000000000004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55000000000000004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55000000000000004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55000000000000004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55000000000000004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55000000000000004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55000000000000004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55000000000000004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55000000000000004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55000000000000004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55000000000000004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55000000000000004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55000000000000004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55000000000000004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55000000000000004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55000000000000004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55000000000000004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55000000000000004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55000000000000004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55000000000000004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55000000000000004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55000000000000004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55000000000000004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55000000000000004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55000000000000004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55000000000000004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55000000000000004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55000000000000004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55000000000000004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55000000000000004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55000000000000004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55000000000000004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55000000000000004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55000000000000004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55000000000000004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55000000000000004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55000000000000004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55000000000000004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55000000000000004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55000000000000004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55000000000000004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55000000000000004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55000000000000004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55000000000000004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55000000000000004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55000000000000004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55000000000000004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55000000000000004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55000000000000004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55000000000000004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55000000000000004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55000000000000004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55000000000000004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55000000000000004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55000000000000004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55000000000000004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55000000000000004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55000000000000004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55000000000000004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55000000000000004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55000000000000004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55000000000000004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55000000000000004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55000000000000004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55000000000000004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55000000000000004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55000000000000004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55000000000000004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55000000000000004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55000000000000004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55000000000000004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55000000000000004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55000000000000004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55000000000000004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55000000000000004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55000000000000004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55000000000000004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55000000000000004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55000000000000004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55000000000000004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55000000000000004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55000000000000004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55000000000000004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55000000000000004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55000000000000004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55000000000000004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55000000000000004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55000000000000004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55000000000000004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55000000000000004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55000000000000004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55000000000000004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55000000000000004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55000000000000004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55000000000000004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55000000000000004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55000000000000004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55000000000000004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55000000000000004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55000000000000004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55000000000000004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55000000000000004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55000000000000004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55000000000000004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55000000000000004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55000000000000004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55000000000000004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55000000000000004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55000000000000004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55000000000000004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55000000000000004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55000000000000004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55000000000000004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55000000000000004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55000000000000004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55000000000000004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55000000000000004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55000000000000004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55000000000000004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55000000000000004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55000000000000004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55000000000000004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55000000000000004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55000000000000004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55000000000000004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55000000000000004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55000000000000004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55000000000000004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55000000000000004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55000000000000004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55000000000000004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55000000000000004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55000000000000004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55000000000000004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55000000000000004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55000000000000004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55000000000000004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55000000000000004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55000000000000004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55000000000000004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55000000000000004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55000000000000004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55000000000000004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55000000000000004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55000000000000004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55000000000000004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55000000000000004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55000000000000004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55000000000000004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55000000000000004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55000000000000004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55000000000000004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55000000000000004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55000000000000004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55000000000000004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55000000000000004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55000000000000004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55000000000000004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55000000000000004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55000000000000004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55000000000000004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55000000000000004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55000000000000004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55000000000000004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55000000000000004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55000000000000004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55000000000000004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55000000000000004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55000000000000004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55000000000000004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55000000000000004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55000000000000004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55000000000000004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55000000000000004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55000000000000004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55000000000000004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55000000000000004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55000000000000004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55000000000000004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55000000000000004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55000000000000004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55000000000000004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55000000000000004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55000000000000004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55000000000000004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55000000000000004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55000000000000004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55000000000000004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55000000000000004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55000000000000004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55000000000000004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55000000000000004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55000000000000004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55000000000000004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55000000000000004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55000000000000004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55000000000000004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55000000000000004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55000000000000004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55000000000000004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55000000000000004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55000000000000004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55000000000000004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55000000000000004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55000000000000004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55000000000000004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55000000000000004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55000000000000004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55000000000000004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55000000000000004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55000000000000004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55000000000000004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55000000000000004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55000000000000004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55000000000000004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55000000000000004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55000000000000004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55000000000000004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55000000000000004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55000000000000004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55000000000000004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55000000000000004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55000000000000004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55000000000000004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55000000000000004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55000000000000004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55000000000000004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55000000000000004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55000000000000004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55000000000000004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55000000000000004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55000000000000004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55000000000000004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55000000000000004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55000000000000004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55000000000000004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55000000000000004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55000000000000004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55000000000000004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55000000000000004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55000000000000004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55000000000000004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55000000000000004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55000000000000004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55000000000000004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55000000000000004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55000000000000004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55000000000000004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55000000000000004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55000000000000004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55000000000000004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55000000000000004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55000000000000004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55000000000000004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55000000000000004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55000000000000004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55000000000000004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55000000000000004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55000000000000004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55000000000000004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55000000000000004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55000000000000004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55000000000000004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55000000000000004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55000000000000004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55000000000000004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55000000000000004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55000000000000004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55000000000000004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55000000000000004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55000000000000004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55000000000000004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55000000000000004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55000000000000004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55000000000000004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55000000000000004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55000000000000004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55000000000000004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55000000000000004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55000000000000004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55000000000000004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55000000000000004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55000000000000004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55000000000000004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55000000000000004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55000000000000004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55000000000000004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55000000000000004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55000000000000004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55000000000000004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55000000000000004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55000000000000004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55000000000000004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55000000000000004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55000000000000004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55000000000000004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55000000000000004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55000000000000004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55000000000000004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55000000000000004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55000000000000004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55000000000000004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55000000000000004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55000000000000004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55000000000000004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55000000000000004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55000000000000004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55000000000000004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55000000000000004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55000000000000004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55000000000000004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55000000000000004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55000000000000004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55000000000000004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55000000000000004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55000000000000004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55000000000000004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55000000000000004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55000000000000004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55000000000000004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55000000000000004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55000000000000004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55000000000000004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55000000000000004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55000000000000004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55000000000000004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55000000000000004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55000000000000004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55000000000000004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55000000000000004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55000000000000004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55000000000000004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55000000000000004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55000000000000004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55000000000000004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55000000000000004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55000000000000004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55000000000000004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55000000000000004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55000000000000004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55000000000000004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55000000000000004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55000000000000004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55000000000000004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55000000000000004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55000000000000004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55000000000000004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55000000000000004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55000000000000004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55000000000000004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55000000000000004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55000000000000004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55000000000000004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55000000000000004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55000000000000004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55000000000000004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55000000000000004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55000000000000004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55000000000000004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55000000000000004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55000000000000004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55000000000000004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55000000000000004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55000000000000004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55000000000000004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55000000000000004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55000000000000004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55000000000000004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55000000000000004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55000000000000004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55000000000000004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55000000000000004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55000000000000004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55000000000000004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55000000000000004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55000000000000004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55000000000000004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55000000000000004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55000000000000004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55000000000000004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55000000000000004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55000000000000004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55000000000000004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55000000000000004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55000000000000004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55000000000000004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55000000000000004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55000000000000004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55000000000000004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55000000000000004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55000000000000004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55000000000000004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55000000000000004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55000000000000004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55000000000000004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55000000000000004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55000000000000004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55000000000000004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55000000000000004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55000000000000004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55000000000000004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55000000000000004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55000000000000004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55000000000000004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55000000000000004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55000000000000004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55000000000000004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55000000000000004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55000000000000004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55000000000000004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55000000000000004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55000000000000004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55000000000000004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55000000000000004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55000000000000004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55000000000000004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55000000000000004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55000000000000004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55000000000000004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55000000000000004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55000000000000004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55000000000000004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55000000000000004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55000000000000004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55000000000000004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55000000000000004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55000000000000004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55000000000000004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55000000000000004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55000000000000004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55000000000000004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55000000000000004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55000000000000004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55000000000000004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55000000000000004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55000000000000004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55000000000000004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55000000000000004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55000000000000004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55000000000000004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55000000000000004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55000000000000004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55000000000000004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55000000000000004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55000000000000004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55000000000000004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55000000000000004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55000000000000004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55000000000000004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55000000000000004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55000000000000004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55000000000000004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55000000000000004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55000000000000004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55000000000000004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55000000000000004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55000000000000004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55000000000000004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55000000000000004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55000000000000004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55000000000000004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55000000000000004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55000000000000004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55000000000000004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55000000000000004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55000000000000004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55000000000000004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55000000000000004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55000000000000004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55000000000000004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55000000000000004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55000000000000004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55000000000000004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55000000000000004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55000000000000004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55000000000000004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55000000000000004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55000000000000004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55000000000000004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55000000000000004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55000000000000004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55000000000000004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55000000000000004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55000000000000004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55000000000000004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55000000000000004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55000000000000004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55000000000000004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55000000000000004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55000000000000004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55000000000000004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55000000000000004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55000000000000004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55000000000000004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55000000000000004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55000000000000004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55000000000000004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55000000000000004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55000000000000004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55000000000000004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55000000000000004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55000000000000004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55000000000000004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55000000000000004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55000000000000004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55000000000000004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55000000000000004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55000000000000004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55000000000000004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55000000000000004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55000000000000004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55000000000000004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55000000000000004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55000000000000004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55000000000000004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55000000000000004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55000000000000004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55000000000000004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55000000000000004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55000000000000004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55000000000000004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55000000000000004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55000000000000004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55000000000000004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55000000000000004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55000000000000004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55000000000000004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55000000000000004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55000000000000004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55000000000000004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55000000000000004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55000000000000004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55000000000000004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55000000000000004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55000000000000004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55000000000000004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55000000000000004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55000000000000004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55000000000000004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55000000000000004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55000000000000004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55000000000000004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55000000000000004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55000000000000004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55000000000000004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55000000000000004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55000000000000004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55000000000000004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55000000000000004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55000000000000004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55000000000000004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55000000000000004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55000000000000004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55000000000000004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55000000000000004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55000000000000004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55000000000000004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55000000000000004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55000000000000004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55000000000000004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55000000000000004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55000000000000004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55000000000000004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55000000000000004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55000000000000004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55000000000000004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55000000000000004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55000000000000004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55000000000000004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55000000000000004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55000000000000004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55000000000000004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55000000000000004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55000000000000004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55000000000000004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55000000000000004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55000000000000004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55000000000000004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55000000000000004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55000000000000004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55000000000000004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55000000000000004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55000000000000004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55000000000000004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55000000000000004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55000000000000004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55000000000000004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55000000000000004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55000000000000004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55000000000000004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55000000000000004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55000000000000004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55000000000000004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55000000000000004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55000000000000004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55000000000000004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55000000000000004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55000000000000004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55000000000000004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55000000000000004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55000000000000004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55000000000000004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55000000000000004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55000000000000004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55000000000000004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55000000000000004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55000000000000004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55000000000000004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55000000000000004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55000000000000004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55000000000000004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55000000000000004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55000000000000004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55000000000000004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55000000000000004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55000000000000004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55000000000000004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55000000000000004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55000000000000004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55000000000000004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55000000000000004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55000000000000004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55000000000000004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55000000000000004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55000000000000004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55000000000000004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55000000000000004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55000000000000004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55000000000000004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55000000000000004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55000000000000004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55000000000000004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55000000000000004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55000000000000004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55000000000000004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55000000000000004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55000000000000004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55000000000000004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55000000000000004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55000000000000004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55000000000000004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55000000000000004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55000000000000004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55000000000000004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55000000000000004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55000000000000004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55000000000000004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55000000000000004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55000000000000004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55000000000000004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55000000000000004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55000000000000004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55000000000000004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55000000000000004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55000000000000004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55000000000000004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55000000000000004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55000000000000004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55000000000000004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55000000000000004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55000000000000004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55000000000000004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55000000000000004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55000000000000004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55000000000000004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55000000000000004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55000000000000004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55000000000000004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55000000000000004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55000000000000004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55000000000000004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55000000000000004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55000000000000004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55000000000000004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55000000000000004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55000000000000004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55000000000000004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55000000000000004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55000000000000004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55000000000000004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55000000000000004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55000000000000004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55000000000000004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55000000000000004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55000000000000004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55000000000000004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55000000000000004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55000000000000004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55000000000000004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55000000000000004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55000000000000004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55000000000000004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55000000000000004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55000000000000004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55000000000000004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55000000000000004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55000000000000004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55000000000000004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55000000000000004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55000000000000004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55000000000000004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55000000000000004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55000000000000004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55000000000000004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55000000000000004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55000000000000004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55000000000000004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55000000000000004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55000000000000004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55000000000000004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55000000000000004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55000000000000004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55000000000000004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55000000000000004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55000000000000004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55000000000000004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55000000000000004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55000000000000004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55000000000000004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55000000000000004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55000000000000004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55000000000000004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55000000000000004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55000000000000004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55000000000000004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55000000000000004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55000000000000004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55000000000000004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55000000000000004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55000000000000004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55000000000000004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55000000000000004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55000000000000004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55000000000000004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55000000000000004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55000000000000004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55000000000000004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55000000000000004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55000000000000004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55000000000000004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55000000000000004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55000000000000004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55000000000000004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55000000000000004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55000000000000004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55000000000000004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55000000000000004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55000000000000004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55000000000000004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55000000000000004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55000000000000004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55000000000000004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55000000000000004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55000000000000004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55000000000000004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55000000000000004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55000000000000004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55000000000000004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55000000000000004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55000000000000004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55000000000000004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55000000000000004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55000000000000004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55000000000000004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55000000000000004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55000000000000004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55000000000000004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55000000000000004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55000000000000004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55000000000000004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55000000000000004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55000000000000004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55000000000000004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55000000000000004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55000000000000004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55000000000000004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55000000000000004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55000000000000004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55000000000000004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55000000000000004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55000000000000004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55000000000000004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55000000000000004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55000000000000004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55000000000000004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55000000000000004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55000000000000004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55000000000000004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55000000000000004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55000000000000004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55000000000000004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55000000000000004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55000000000000004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55000000000000004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55000000000000004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55000000000000004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55000000000000004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55000000000000004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55000000000000004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55000000000000004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55000000000000004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55000000000000004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55000000000000004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55000000000000004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55000000000000004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55000000000000004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55000000000000004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55000000000000004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55000000000000004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55000000000000004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55000000000000004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55000000000000004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55000000000000004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55000000000000004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55000000000000004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55000000000000004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55000000000000004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55000000000000004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55000000000000004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55000000000000004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55000000000000004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55000000000000004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55000000000000004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55000000000000004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55000000000000004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55000000000000004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55000000000000004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55000000000000004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55000000000000004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55000000000000004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55000000000000004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55000000000000004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55000000000000004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55000000000000004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55000000000000004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55000000000000004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55000000000000004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55000000000000004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55000000000000004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55000000000000004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55000000000000004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55000000000000004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55000000000000004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55000000000000004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55000000000000004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55000000000000004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55000000000000004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55000000000000004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55000000000000004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55000000000000004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55000000000000004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55000000000000004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55000000000000004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55000000000000004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55000000000000004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55000000000000004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55000000000000004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55000000000000004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55000000000000004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55000000000000004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55000000000000004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55000000000000004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55000000000000004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55000000000000004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55000000000000004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55000000000000004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55000000000000004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55000000000000004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55000000000000004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55000000000000004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55000000000000004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55000000000000004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55000000000000004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55000000000000004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55000000000000004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55000000000000004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55000000000000004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55000000000000004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55000000000000004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55000000000000004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55000000000000004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55000000000000004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55000000000000004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55000000000000004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55000000000000004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55000000000000004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55000000000000004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55000000000000004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55000000000000004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55000000000000004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55000000000000004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55000000000000004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55000000000000004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55000000000000004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55000000000000004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55000000000000004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55000000000000004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55000000000000004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55000000000000004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55000000000000004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55000000000000004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55000000000000004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55000000000000004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55000000000000004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55000000000000004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55000000000000004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55000000000000004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55000000000000004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55000000000000004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55000000000000004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55000000000000004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55000000000000004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55000000000000004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55000000000000004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55000000000000004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55000000000000004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55000000000000004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55000000000000004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55000000000000004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55000000000000004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55000000000000004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55000000000000004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55000000000000004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55000000000000004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55000000000000004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55000000000000004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55000000000000004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55000000000000004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55000000000000004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55000000000000004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55000000000000004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55000000000000004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55000000000000004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55000000000000004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55000000000000004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55000000000000004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55000000000000004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55000000000000004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55000000000000004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55000000000000004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55000000000000004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55000000000000004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55000000000000004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55000000000000004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55000000000000004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55000000000000004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55000000000000004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55000000000000004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55000000000000004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55000000000000004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55000000000000004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55000000000000004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55000000000000004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55000000000000004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55000000000000004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55000000000000004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55000000000000004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55000000000000004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55000000000000004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55000000000000004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55000000000000004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55000000000000004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55000000000000004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55000000000000004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55000000000000004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55000000000000004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55000000000000004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55000000000000004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55000000000000004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55000000000000004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55000000000000004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55000000000000004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55000000000000004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55000000000000004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55000000000000004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55000000000000004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55000000000000004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55000000000000004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55000000000000004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55000000000000004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55000000000000004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55000000000000004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55000000000000004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55000000000000004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55000000000000004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55000000000000004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55000000000000004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55000000000000004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55000000000000004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55000000000000004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55000000000000004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55000000000000004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55000000000000004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55000000000000004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55000000000000004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55000000000000004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55000000000000004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55000000000000004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55000000000000004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55000000000000004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55000000000000004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55000000000000004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55000000000000004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55000000000000004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55000000000000004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55000000000000004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55000000000000004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55000000000000004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55000000000000004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55000000000000004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55000000000000004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55000000000000004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55000000000000004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55000000000000004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55000000000000004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55000000000000004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55000000000000004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55000000000000004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55000000000000004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55000000000000004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55000000000000004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55000000000000004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55000000000000004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55000000000000004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55000000000000004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55000000000000004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55000000000000004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55000000000000004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55000000000000004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55000000000000004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55000000000000004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55000000000000004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55000000000000004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55000000000000004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55000000000000004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55000000000000004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55000000000000004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55000000000000004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55000000000000004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55000000000000004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55000000000000004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55000000000000004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55000000000000004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55000000000000004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55000000000000004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55000000000000004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55000000000000004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55000000000000004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55000000000000004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55000000000000004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55000000000000004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55000000000000004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55000000000000004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55000000000000004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55000000000000004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55000000000000004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55000000000000004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55000000000000004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55000000000000004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55000000000000004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55000000000000004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55000000000000004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55000000000000004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55000000000000004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55000000000000004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55000000000000004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55000000000000004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55000000000000004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55000000000000004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55000000000000004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55000000000000004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55000000000000004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55000000000000004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55000000000000004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55000000000000004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55000000000000004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55000000000000004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55000000000000004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55000000000000004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55000000000000004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55000000000000004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55000000000000004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55000000000000004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55000000000000004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55000000000000004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55000000000000004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55000000000000004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55000000000000004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55000000000000004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55000000000000004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55000000000000004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55000000000000004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55000000000000004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55000000000000004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55000000000000004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55000000000000004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55000000000000004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55000000000000004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55000000000000004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55000000000000004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55000000000000004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55000000000000004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55000000000000004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55000000000000004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55000000000000004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55000000000000004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55000000000000004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55000000000000004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55000000000000004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55000000000000004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55000000000000004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55000000000000004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55000000000000004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55000000000000004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55000000000000004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55000000000000004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55000000000000004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55000000000000004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55000000000000004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55000000000000004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55000000000000004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55000000000000004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55000000000000004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55000000000000004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55000000000000004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55000000000000004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55000000000000004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55000000000000004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55000000000000004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55000000000000004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55000000000000004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55000000000000004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55000000000000004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55000000000000004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55000000000000004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55000000000000004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55000000000000004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55000000000000004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55000000000000004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55000000000000004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55000000000000004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55000000000000004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55000000000000004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55000000000000004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55000000000000004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55000000000000004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55000000000000004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55000000000000004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55000000000000004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55000000000000004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55000000000000004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55000000000000004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55000000000000004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55000000000000004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55000000000000004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55000000000000004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55000000000000004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55000000000000004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55000000000000004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55000000000000004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55000000000000004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55000000000000004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55000000000000004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55000000000000004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55000000000000004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55000000000000004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55000000000000004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55000000000000004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55000000000000004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55000000000000004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55000000000000004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55000000000000004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55000000000000004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55000000000000004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55000000000000004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55000000000000004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55000000000000004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55000000000000004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55000000000000004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55000000000000004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55000000000000004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55000000000000004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55000000000000004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55000000000000004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55000000000000004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55000000000000004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55000000000000004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55000000000000004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55000000000000004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55000000000000004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55000000000000004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55000000000000004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55000000000000004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55000000000000004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55000000000000004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55000000000000004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55000000000000004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55000000000000004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55000000000000004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55000000000000004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55000000000000004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55000000000000004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55000000000000004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55000000000000004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55000000000000004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55000000000000004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55000000000000004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55000000000000004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55000000000000004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55000000000000004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55000000000000004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55000000000000004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55000000000000004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55000000000000004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55000000000000004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55000000000000004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55000000000000004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55000000000000004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55000000000000004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55000000000000004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55000000000000004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55000000000000004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55000000000000004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55000000000000004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55000000000000004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55000000000000004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55000000000000004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55000000000000004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55000000000000004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55000000000000004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55000000000000004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55000000000000004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55000000000000004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55000000000000004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55000000000000004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55000000000000004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55000000000000004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55000000000000004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55000000000000004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55000000000000004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55000000000000004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55000000000000004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55000000000000004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55000000000000004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55000000000000004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55000000000000004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55000000000000004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55000000000000004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55000000000000004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55000000000000004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55000000000000004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55000000000000004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55000000000000004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55000000000000004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55000000000000004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55000000000000004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55000000000000004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55000000000000004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55000000000000004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55000000000000004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55000000000000004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55000000000000004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55000000000000004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55000000000000004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55000000000000004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55000000000000004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55000000000000004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55000000000000004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55000000000000004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55000000000000004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55000000000000004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55000000000000004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55000000000000004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55000000000000004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55000000000000004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55000000000000004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55000000000000004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55000000000000004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55000000000000004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55000000000000004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55000000000000004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55000000000000004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55000000000000004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55000000000000004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55000000000000004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55000000000000004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55000000000000004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55000000000000004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55000000000000004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55000000000000004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55000000000000004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55000000000000004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55000000000000004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55000000000000004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55000000000000004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55000000000000004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55000000000000004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55000000000000004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55000000000000004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55000000000000004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55000000000000004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55000000000000004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55000000000000004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55000000000000004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55000000000000004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55000000000000004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55000000000000004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55000000000000004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55000000000000004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55000000000000004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55000000000000004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55000000000000004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55000000000000004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55000000000000004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55000000000000004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55000000000000004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55000000000000004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55000000000000004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55000000000000004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55000000000000004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55000000000000004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55000000000000004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55000000000000004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55000000000000004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55000000000000004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55000000000000004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55000000000000004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55000000000000004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55000000000000004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55000000000000004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55000000000000004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55000000000000004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55000000000000004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55000000000000004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55000000000000004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55000000000000004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55000000000000004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55000000000000004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55000000000000004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55000000000000004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55000000000000004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55000000000000004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55000000000000004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55000000000000004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55000000000000004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55000000000000004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55000000000000004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55000000000000004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55000000000000004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55000000000000004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55000000000000004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55000000000000004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55000000000000004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55000000000000004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55000000000000004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55000000000000004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55000000000000004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55000000000000004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55000000000000004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55000000000000004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55000000000000004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55000000000000004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55000000000000004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55000000000000004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55000000000000004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55000000000000004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55000000000000004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55000000000000004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55000000000000004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55000000000000004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55000000000000004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55000000000000004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55000000000000004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55000000000000004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55000000000000004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55000000000000004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55000000000000004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55000000000000004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55000000000000004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55000000000000004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55000000000000004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55000000000000004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55000000000000004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55000000000000004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55000000000000004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55000000000000004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55000000000000004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55000000000000004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55000000000000004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55000000000000004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55000000000000004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55000000000000004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55000000000000004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55000000000000004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55000000000000004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55000000000000004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55000000000000004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55000000000000004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55000000000000004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55000000000000004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55000000000000004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55000000000000004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55000000000000004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55000000000000004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55000000000000004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55000000000000004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55000000000000004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55000000000000004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55000000000000004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55000000000000004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55000000000000004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55000000000000004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55000000000000004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55000000000000004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55000000000000004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55000000000000004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55000000000000004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55000000000000004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55000000000000004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55000000000000004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55000000000000004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55000000000000004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55000000000000004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55000000000000004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55000000000000004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55000000000000004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55000000000000004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55000000000000004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55000000000000004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55000000000000004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55000000000000004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55000000000000004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55000000000000004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55000000000000004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55000000000000004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55000000000000004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55000000000000004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55000000000000004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55000000000000004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55000000000000004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55000000000000004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55000000000000004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55000000000000004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55000000000000004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55000000000000004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55000000000000004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55000000000000004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55000000000000004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55000000000000004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55000000000000004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55000000000000004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55000000000000004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55000000000000004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55000000000000004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55000000000000004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55000000000000004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55000000000000004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55000000000000004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55000000000000004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55000000000000004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55000000000000004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55000000000000004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55000000000000004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55000000000000004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55000000000000004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55000000000000004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55000000000000004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55000000000000004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55000000000000004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55000000000000004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55000000000000004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55000000000000004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55000000000000004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55000000000000004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55000000000000004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55000000000000004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55000000000000004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55000000000000004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55000000000000004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55000000000000004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55000000000000004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55000000000000004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55000000000000004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55000000000000004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55000000000000004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55000000000000004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55000000000000004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55000000000000004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55000000000000004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55000000000000004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55000000000000004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55000000000000004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55000000000000004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55000000000000004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55000000000000004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55000000000000004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55000000000000004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55000000000000004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55000000000000004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55000000000000004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55000000000000004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55000000000000004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55000000000000004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55000000000000004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55000000000000004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55000000000000004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55000000000000004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55000000000000004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55000000000000004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55000000000000004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55000000000000004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55000000000000004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55000000000000004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55000000000000004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55000000000000004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55000000000000004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55000000000000004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55000000000000004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55000000000000004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55000000000000004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55000000000000004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55000000000000004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55000000000000004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55000000000000004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55000000000000004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55000000000000004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55000000000000004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55000000000000004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55000000000000004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55000000000000004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55000000000000004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55000000000000004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55000000000000004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55000000000000004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55000000000000004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55000000000000004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55000000000000004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55000000000000004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55000000000000004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55000000000000004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55000000000000004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55000000000000004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55000000000000004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55000000000000004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55000000000000004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55000000000000004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55000000000000004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55000000000000004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55000000000000004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55000000000000004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55000000000000004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55000000000000004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55000000000000004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55000000000000004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55000000000000004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55000000000000004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55000000000000004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55000000000000004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55000000000000004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55000000000000004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55000000000000004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55000000000000004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55000000000000004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55000000000000004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55000000000000004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55000000000000004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55000000000000004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55000000000000004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55000000000000004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55000000000000004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55000000000000004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55000000000000004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55000000000000004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55000000000000004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55000000000000004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55000000000000004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55000000000000004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55000000000000004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55000000000000004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55000000000000004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55000000000000004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55000000000000004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55000000000000004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55000000000000004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55000000000000004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55000000000000004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55000000000000004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55000000000000004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55000000000000004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55000000000000004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55000000000000004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55000000000000004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55000000000000004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55000000000000004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55000000000000004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55000000000000004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55000000000000004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55000000000000004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55000000000000004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55000000000000004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55000000000000004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55000000000000004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55000000000000004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55000000000000004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55000000000000004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55000000000000004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55000000000000004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55000000000000004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55000000000000004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55000000000000004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55000000000000004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55000000000000004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55000000000000004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55000000000000004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55000000000000004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55000000000000004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55000000000000004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55000000000000004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55000000000000004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55000000000000004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55000000000000004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55000000000000004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55000000000000004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55000000000000004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55000000000000004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55000000000000004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55000000000000004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55000000000000004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55000000000000004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55000000000000004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55000000000000004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55000000000000004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55000000000000004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55000000000000004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55000000000000004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55000000000000004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55000000000000004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55000000000000004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55000000000000004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55000000000000004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55000000000000004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55000000000000004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55000000000000004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55000000000000004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55000000000000004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55000000000000004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55000000000000004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55000000000000004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55000000000000004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55000000000000004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55000000000000004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55000000000000004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55000000000000004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55000000000000004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55000000000000004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55000000000000004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55000000000000004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55000000000000004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55000000000000004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55000000000000004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55000000000000004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55000000000000004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55000000000000004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55000000000000004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55000000000000004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55000000000000004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55000000000000004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55000000000000004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55000000000000004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55000000000000004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55000000000000004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55000000000000004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55000000000000004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55000000000000004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55000000000000004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55000000000000004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55000000000000004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55000000000000004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55000000000000004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55000000000000004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55000000000000004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55000000000000004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55000000000000004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55000000000000004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55000000000000004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55000000000000004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55000000000000004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55000000000000004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55000000000000004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55000000000000004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55000000000000004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55000000000000004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55000000000000004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55000000000000004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55000000000000004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55000000000000004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55000000000000004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55000000000000004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55000000000000004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55000000000000004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55000000000000004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55000000000000004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55000000000000004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55000000000000004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55000000000000004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55000000000000004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55000000000000004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55000000000000004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55000000000000004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55000000000000004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55000000000000004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55000000000000004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55000000000000004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55000000000000004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55000000000000004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55000000000000004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55000000000000004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55000000000000004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55000000000000004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55000000000000004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55000000000000004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55000000000000004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55000000000000004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55000000000000004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55000000000000004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55000000000000004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55000000000000004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55000000000000004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55000000000000004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55000000000000004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55000000000000004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55000000000000004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55000000000000004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55000000000000004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55000000000000004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55000000000000004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55000000000000004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55000000000000004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55000000000000004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55000000000000004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55000000000000004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55000000000000004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55000000000000004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55000000000000004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55000000000000004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55000000000000004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55000000000000004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55000000000000004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55000000000000004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55000000000000004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55000000000000004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55000000000000004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55000000000000004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55000000000000004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55000000000000004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55000000000000004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55000000000000004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55000000000000004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55000000000000004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55000000000000004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55000000000000004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55000000000000004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55000000000000004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55000000000000004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55000000000000004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55000000000000004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55000000000000004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55000000000000004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55000000000000004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55000000000000004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55000000000000004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55000000000000004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55000000000000004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55000000000000004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55000000000000004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55000000000000004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55000000000000004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55000000000000004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55000000000000004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55000000000000004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55000000000000004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55000000000000004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55000000000000004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55000000000000004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55000000000000004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55000000000000004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55000000000000004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55000000000000004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55000000000000004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55000000000000004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55000000000000004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55000000000000004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55000000000000004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55000000000000004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55000000000000004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55000000000000004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55000000000000004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55000000000000004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55000000000000004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55000000000000004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55000000000000004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55000000000000004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55000000000000004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55000000000000004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55000000000000004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55000000000000004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55000000000000004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55000000000000004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55000000000000004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55000000000000004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55000000000000004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55000000000000004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55000000000000004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55000000000000004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55000000000000004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55000000000000004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55000000000000004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55000000000000004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55000000000000004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55000000000000004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55000000000000004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55000000000000004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55000000000000004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55000000000000004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55000000000000004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55000000000000004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55000000000000004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55000000000000004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55000000000000004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55000000000000004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55000000000000004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55000000000000004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55000000000000004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55000000000000004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55000000000000004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55000000000000004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55000000000000004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55000000000000004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55000000000000004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55000000000000004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55000000000000004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55000000000000004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55000000000000004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55000000000000004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55000000000000004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55000000000000004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55000000000000004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55000000000000004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55000000000000004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55000000000000004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55000000000000004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55000000000000004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55000000000000004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55000000000000004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55000000000000004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55000000000000004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55000000000000004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55000000000000004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55000000000000004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55000000000000004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55000000000000004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55000000000000004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55000000000000004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55000000000000004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55000000000000004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55000000000000004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55000000000000004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55000000000000004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55000000000000004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55000000000000004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55000000000000004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55000000000000004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55000000000000004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55000000000000004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55000000000000004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55000000000000004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55000000000000004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55000000000000004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55000000000000004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55000000000000004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55000000000000004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55000000000000004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55000000000000004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55000000000000004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55000000000000004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55000000000000004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55000000000000004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55000000000000004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55000000000000004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55000000000000004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55000000000000004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55000000000000004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55000000000000004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55000000000000004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55000000000000004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55000000000000004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55000000000000004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55000000000000004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55000000000000004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55000000000000004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55000000000000004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55000000000000004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55000000000000004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55000000000000004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55000000000000004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55000000000000004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55000000000000004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55000000000000004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55000000000000004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55000000000000004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55000000000000004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55000000000000004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55000000000000004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55000000000000004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55000000000000004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55000000000000004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55000000000000004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55000000000000004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55000000000000004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55000000000000004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55000000000000004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55000000000000004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55000000000000004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55000000000000004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55000000000000004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55000000000000004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55000000000000004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55000000000000004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55000000000000004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55000000000000004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55000000000000004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55000000000000004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55000000000000004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55000000000000004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55000000000000004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55000000000000004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55000000000000004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55000000000000004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55000000000000004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55000000000000004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55000000000000004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55000000000000004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55000000000000004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55000000000000004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55000000000000004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55000000000000004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55000000000000004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55000000000000004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55000000000000004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55000000000000004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55000000000000004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55000000000000004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55000000000000004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55000000000000004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55000000000000004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55000000000000004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55000000000000004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55000000000000004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55000000000000004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55000000000000004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55000000000000004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55000000000000004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55000000000000004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55000000000000004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55000000000000004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55000000000000004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55000000000000004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55000000000000004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55000000000000004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55000000000000004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55000000000000004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55000000000000004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55000000000000004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55000000000000004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55000000000000004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55000000000000004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55000000000000004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55000000000000004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55000000000000004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55000000000000004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55000000000000004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55000000000000004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55000000000000004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55000000000000004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55000000000000004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55000000000000004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55000000000000004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55000000000000004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55000000000000004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55000000000000004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55000000000000004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55000000000000004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55000000000000004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55000000000000004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55000000000000004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55000000000000004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55000000000000004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55000000000000004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55000000000000004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55000000000000004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55000000000000004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55000000000000004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55000000000000004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55000000000000004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55000000000000004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55000000000000004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55000000000000004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55000000000000004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55000000000000004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55000000000000004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55000000000000004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55000000000000004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55000000000000004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55000000000000004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55000000000000004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55000000000000004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55000000000000004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55000000000000004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55000000000000004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55000000000000004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55000000000000004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55000000000000004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55000000000000004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55000000000000004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55000000000000004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55000000000000004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55000000000000004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55000000000000004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55000000000000004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55000000000000004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55000000000000004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55000000000000004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55000000000000004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55000000000000004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55000000000000004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55000000000000004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55000000000000004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55000000000000004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55000000000000004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55000000000000004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55000000000000004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55000000000000004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55000000000000004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55000000000000004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55000000000000004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55000000000000004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55000000000000004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55000000000000004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55000000000000004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55000000000000004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55000000000000004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55000000000000004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55000000000000004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55000000000000004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55000000000000004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55000000000000004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55000000000000004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55000000000000004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55000000000000004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55000000000000004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55000000000000004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55000000000000004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55000000000000004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55000000000000004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55000000000000004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55000000000000004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55000000000000004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55000000000000004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55000000000000004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55000000000000004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55000000000000004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55000000000000004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55000000000000004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55000000000000004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55000000000000004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55000000000000004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55000000000000004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55000000000000004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55000000000000004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55000000000000004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55000000000000004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55000000000000004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55000000000000004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55000000000000004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55000000000000004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55000000000000004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55000000000000004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55000000000000004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55000000000000004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55000000000000004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55000000000000004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55000000000000004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55000000000000004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55000000000000004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55000000000000004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55000000000000004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55000000000000004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55000000000000004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55000000000000004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55000000000000004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55000000000000004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55000000000000004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55000000000000004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55000000000000004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55000000000000004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55000000000000004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55000000000000004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55000000000000004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55000000000000004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55000000000000004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55000000000000004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55000000000000004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55000000000000004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55000000000000004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55000000000000004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55000000000000004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55000000000000004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55000000000000004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55000000000000004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55000000000000004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55000000000000004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55000000000000004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55000000000000004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55000000000000004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55000000000000004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55000000000000004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55000000000000004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55000000000000004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55000000000000004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55000000000000004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55000000000000004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55000000000000004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55000000000000004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55000000000000004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55000000000000004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55000000000000004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55000000000000004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55000000000000004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55000000000000004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55000000000000004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55000000000000004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55000000000000004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55000000000000004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55000000000000004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55000000000000004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55000000000000004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55000000000000004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55000000000000004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55000000000000004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55000000000000004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55000000000000004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55000000000000004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55000000000000004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55000000000000004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55000000000000004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55000000000000004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55000000000000004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55000000000000004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55000000000000004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55000000000000004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55000000000000004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55000000000000004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55000000000000004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55000000000000004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55000000000000004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55000000000000004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55000000000000004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55000000000000004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55000000000000004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55000000000000004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55000000000000004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55000000000000004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55000000000000004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55000000000000004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55000000000000004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55000000000000004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55000000000000004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55000000000000004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55000000000000004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55000000000000004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55000000000000004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55000000000000004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55000000000000004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55000000000000004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55000000000000004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55000000000000004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55000000000000004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55000000000000004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55000000000000004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55000000000000004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55000000000000004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55000000000000004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55000000000000004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55000000000000004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55000000000000004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55000000000000004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55000000000000004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55000000000000004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55000000000000004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55000000000000004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55000000000000004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55000000000000004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55000000000000004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55000000000000004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55000000000000004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55000000000000004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55000000000000004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55000000000000004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55000000000000004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55000000000000004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55000000000000004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55000000000000004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55000000000000004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55000000000000004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55000000000000004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55000000000000004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55000000000000004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55000000000000004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55000000000000004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55000000000000004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55000000000000004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55000000000000004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55000000000000004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55000000000000004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55000000000000004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55000000000000004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55000000000000004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55000000000000004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55000000000000004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55000000000000004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55000000000000004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55000000000000004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55000000000000004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55000000000000004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55000000000000004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55000000000000004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55000000000000004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55000000000000004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55000000000000004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55000000000000004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55000000000000004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55000000000000004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55000000000000004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55000000000000004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55000000000000004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55000000000000004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55000000000000004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55000000000000004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55000000000000004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55000000000000004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55000000000000004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55000000000000004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55000000000000004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55000000000000004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55000000000000004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55000000000000004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55000000000000004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55000000000000004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55000000000000004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55000000000000004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55000000000000004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55000000000000004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55000000000000004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55000000000000004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55000000000000004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55000000000000004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55000000000000004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55000000000000004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55000000000000004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55000000000000004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55000000000000004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55000000000000004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55000000000000004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55000000000000004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55000000000000004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55000000000000004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55000000000000004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55000000000000004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55000000000000004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55000000000000004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55000000000000004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55000000000000004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55000000000000004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55000000000000004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55000000000000004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55000000000000004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55000000000000004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55000000000000004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55000000000000004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55000000000000004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55000000000000004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55000000000000004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55000000000000004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55000000000000004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55000000000000004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55000000000000004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55000000000000004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55000000000000004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55000000000000004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55000000000000004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55000000000000004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55000000000000004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55000000000000004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55000000000000004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55000000000000004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55000000000000004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55000000000000004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55000000000000004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55000000000000004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55000000000000004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55000000000000004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55000000000000004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55000000000000004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55000000000000004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55000000000000004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55000000000000004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55000000000000004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55000000000000004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55000000000000004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55000000000000004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55000000000000004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55000000000000004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55000000000000004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55000000000000004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55000000000000004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55000000000000004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55000000000000004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55000000000000004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55000000000000004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55000000000000004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55000000000000004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55000000000000004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55000000000000004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55000000000000004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55000000000000004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55000000000000004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55000000000000004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55000000000000004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55000000000000004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55000000000000004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55000000000000004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55000000000000004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55000000000000004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55000000000000004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55000000000000004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55000000000000004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55000000000000004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55000000000000004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55000000000000004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55000000000000004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55000000000000004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55000000000000004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55000000000000004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55000000000000004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55000000000000004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55000000000000004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55000000000000004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55000000000000004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55000000000000004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55000000000000004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55000000000000004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55000000000000004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55000000000000004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55000000000000004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55000000000000004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55000000000000004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55000000000000004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55000000000000004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55000000000000004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55000000000000004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55000000000000004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55000000000000004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55000000000000004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55000000000000004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55000000000000004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55000000000000004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55000000000000004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55000000000000004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55000000000000004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55000000000000004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55000000000000004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55000000000000004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55000000000000004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55000000000000004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55000000000000004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55000000000000004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55000000000000004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55000000000000004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55000000000000004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55000000000000004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55000000000000004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55000000000000004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55000000000000004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55000000000000004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55000000000000004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55000000000000004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55000000000000004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55000000000000004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55000000000000004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55000000000000004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55000000000000004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55000000000000004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55000000000000004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55000000000000004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55000000000000004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55000000000000004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55000000000000004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55000000000000004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55000000000000004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55000000000000004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55000000000000004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55000000000000004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55000000000000004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55000000000000004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55000000000000004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55000000000000004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55000000000000004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55000000000000004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55000000000000004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55000000000000004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55000000000000004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55000000000000004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55000000000000004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55000000000000004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55000000000000004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55000000000000004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55000000000000004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55000000000000004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55000000000000004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55000000000000004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55000000000000004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55000000000000004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55000000000000004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55000000000000004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55000000000000004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55000000000000004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55000000000000004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55000000000000004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55000000000000004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55000000000000004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55000000000000004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55000000000000004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55000000000000004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55000000000000004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55000000000000004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55000000000000004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55000000000000004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55000000000000004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55000000000000004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55000000000000004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55000000000000004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55000000000000004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55000000000000004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55000000000000004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55000000000000004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55000000000000004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55000000000000004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55000000000000004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55000000000000004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55000000000000004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55000000000000004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55000000000000004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55000000000000004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55000000000000004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55000000000000004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55000000000000004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55000000000000004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55000000000000004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55000000000000004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55000000000000004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55000000000000004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55000000000000004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55000000000000004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55000000000000004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55000000000000004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55000000000000004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55000000000000004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55000000000000004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55000000000000004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55000000000000004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55000000000000004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55000000000000004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55000000000000004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55000000000000004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55000000000000004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55000000000000004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55000000000000004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55000000000000004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55000000000000004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55000000000000004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55000000000000004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55000000000000004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55000000000000004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55000000000000004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55000000000000004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55000000000000004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55000000000000004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55000000000000004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55000000000000004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55000000000000004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55000000000000004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55000000000000004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55000000000000004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55000000000000004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55000000000000004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55000000000000004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55000000000000004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55000000000000004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55000000000000004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55000000000000004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55000000000000004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55000000000000004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55000000000000004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55000000000000004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55000000000000004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55000000000000004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55000000000000004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55000000000000004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55000000000000004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55000000000000004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55000000000000004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55000000000000004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55000000000000004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55000000000000004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55000000000000004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55000000000000004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55000000000000004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55000000000000004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55000000000000004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55000000000000004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55000000000000004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55000000000000004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55000000000000004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55000000000000004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55000000000000004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55000000000000004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55000000000000004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55000000000000004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55000000000000004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55000000000000004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55000000000000004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55000000000000004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55000000000000004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55000000000000004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55000000000000004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55000000000000004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55000000000000004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55000000000000004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55000000000000004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55000000000000004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55000000000000004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55000000000000004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55000000000000004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55000000000000004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55000000000000004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55000000000000004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55000000000000004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55000000000000004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55000000000000004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55000000000000004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55000000000000004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55000000000000004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55000000000000004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55000000000000004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55000000000000004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55000000000000004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55000000000000004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55000000000000004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55000000000000004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55000000000000004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55000000000000004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55000000000000004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55000000000000004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55000000000000004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55000000000000004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55000000000000004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55000000000000004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55000000000000004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55000000000000004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55000000000000004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55000000000000004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55000000000000004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55000000000000004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55000000000000004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55000000000000004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55000000000000004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55000000000000004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55000000000000004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55000000000000004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55000000000000004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55000000000000004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55000000000000004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55000000000000004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55000000000000004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55000000000000004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55000000000000004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55000000000000004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55000000000000004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55000000000000004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55000000000000004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55000000000000004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55000000000000004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55000000000000004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55000000000000004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55000000000000004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55000000000000004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55000000000000004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55000000000000004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55000000000000004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55000000000000004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55000000000000004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55000000000000004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55000000000000004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55000000000000004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55000000000000004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55000000000000004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55000000000000004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55000000000000004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55000000000000004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55000000000000004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55000000000000004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55000000000000004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55000000000000004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55000000000000004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55000000000000004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55000000000000004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55000000000000004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55000000000000004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55000000000000004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55000000000000004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55000000000000004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55000000000000004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55000000000000004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55000000000000004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55000000000000004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55000000000000004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55000000000000004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55000000000000004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55000000000000004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55000000000000004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55000000000000004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55000000000000004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55000000000000004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55000000000000004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55000000000000004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55000000000000004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55000000000000004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55000000000000004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55000000000000004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55000000000000004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55000000000000004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55000000000000004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55000000000000004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55000000000000004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55000000000000004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55000000000000004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55000000000000004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55000000000000004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55000000000000004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55000000000000004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55000000000000004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55000000000000004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55000000000000004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55000000000000004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55000000000000004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55000000000000004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55000000000000004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55000000000000004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55000000000000004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55000000000000004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55000000000000004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55000000000000004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55000000000000004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55000000000000004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55000000000000004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55000000000000004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55000000000000004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55000000000000004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55000000000000004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55000000000000004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55000000000000004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55000000000000004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55000000000000004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55000000000000004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55000000000000004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55000000000000004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55000000000000004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55000000000000004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55000000000000004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55000000000000004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55000000000000004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55000000000000004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55000000000000004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55000000000000004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55000000000000004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55000000000000004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55000000000000004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55000000000000004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55000000000000004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55000000000000004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55000000000000004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55000000000000004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55000000000000004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55000000000000004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55000000000000004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55000000000000004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55000000000000004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55000000000000004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55000000000000004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55000000000000004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55000000000000004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55000000000000004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55000000000000004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55000000000000004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55000000000000004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55000000000000004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55000000000000004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55000000000000004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55000000000000004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55000000000000004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55000000000000004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55000000000000004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55000000000000004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55000000000000004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55000000000000004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55000000000000004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55000000000000004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55000000000000004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55000000000000004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55000000000000004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55000000000000004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55000000000000004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55000000000000004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55000000000000004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55000000000000004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55000000000000004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55000000000000004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55000000000000004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55000000000000004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55000000000000004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55000000000000004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55000000000000004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55000000000000004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55000000000000004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55000000000000004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55000000000000004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55000000000000004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55000000000000004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55000000000000004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55000000000000004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55000000000000004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55000000000000004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55000000000000004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55000000000000004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55000000000000004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55000000000000004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55000000000000004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55000000000000004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55000000000000004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55000000000000004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55000000000000004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55000000000000004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55000000000000004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55000000000000004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55000000000000004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55000000000000004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55000000000000004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55000000000000004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55000000000000004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55000000000000004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55000000000000004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55000000000000004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55000000000000004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55000000000000004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55000000000000004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55000000000000004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55000000000000004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55000000000000004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55000000000000004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55000000000000004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55000000000000004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55000000000000004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55000000000000004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55000000000000004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55000000000000004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55000000000000004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55000000000000004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55000000000000004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55000000000000004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55000000000000004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55000000000000004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55000000000000004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55000000000000004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55000000000000004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55000000000000004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55000000000000004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55000000000000004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55000000000000004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55000000000000004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55000000000000004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55000000000000004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55000000000000004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55000000000000004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55000000000000004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55000000000000004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55000000000000004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55000000000000004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55000000000000004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55000000000000004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55000000000000004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55000000000000004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55000000000000004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55000000000000004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55000000000000004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55000000000000004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55000000000000004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55000000000000004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55000000000000004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55000000000000004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55000000000000004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55000000000000004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55000000000000004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55000000000000004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55000000000000004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55000000000000004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55000000000000004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55000000000000004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55000000000000004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55000000000000004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55000000000000004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55000000000000004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55000000000000004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55000000000000004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55000000000000004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55000000000000004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55000000000000004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55000000000000004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55000000000000004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55000000000000004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55000000000000004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55000000000000004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55000000000000004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55000000000000004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55000000000000004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55000000000000004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55000000000000004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55000000000000004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55000000000000004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55000000000000004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55000000000000004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55000000000000004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55000000000000004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55000000000000004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55000000000000004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55000000000000004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55000000000000004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55000000000000004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55000000000000004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55000000000000004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55000000000000004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55000000000000004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55000000000000004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55000000000000004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55000000000000004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55000000000000004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55000000000000004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55000000000000004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55000000000000004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55000000000000004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55000000000000004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55000000000000004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55000000000000004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55000000000000004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55000000000000004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55000000000000004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55000000000000004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55000000000000004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55000000000000004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55000000000000004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55000000000000004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55000000000000004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55000000000000004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55000000000000004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55000000000000004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55000000000000004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55000000000000004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55000000000000004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55000000000000004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55000000000000004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55000000000000004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55000000000000004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55000000000000004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55000000000000004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55000000000000004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55000000000000004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55000000000000004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55000000000000004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55000000000000004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55000000000000004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55000000000000004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55000000000000004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55000000000000004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55000000000000004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55000000000000004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55000000000000004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55000000000000004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55000000000000004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55000000000000004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55000000000000004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55000000000000004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55000000000000004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55000000000000004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55000000000000004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55000000000000004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55000000000000004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55000000000000004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55000000000000004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55000000000000004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55000000000000004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55000000000000004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55000000000000004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55000000000000004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55000000000000004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55000000000000004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55000000000000004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55000000000000004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55000000000000004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55000000000000004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55000000000000004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55000000000000004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55000000000000004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55000000000000004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55000000000000004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55000000000000004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55000000000000004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55000000000000004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55000000000000004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55000000000000004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55000000000000004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55000000000000004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55000000000000004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55000000000000004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55000000000000004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55000000000000004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55000000000000004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55000000000000004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55000000000000004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55000000000000004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55000000000000004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55000000000000004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55000000000000004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55000000000000004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55000000000000004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55000000000000004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55000000000000004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55000000000000004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55000000000000004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55000000000000004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55000000000000004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55000000000000004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55000000000000004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55000000000000004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55000000000000004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55000000000000004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55000000000000004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55000000000000004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55000000000000004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55000000000000004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55000000000000004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55000000000000004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55000000000000004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55000000000000004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55000000000000004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55000000000000004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55000000000000004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55000000000000004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55000000000000004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55000000000000004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55000000000000004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55000000000000004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55000000000000004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55000000000000004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55000000000000004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55000000000000004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55000000000000004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55000000000000004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55000000000000004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55000000000000004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55000000000000004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55000000000000004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55000000000000004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55000000000000004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55000000000000004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55000000000000004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55000000000000004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55000000000000004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55000000000000004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55000000000000004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55000000000000004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55000000000000004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55000000000000004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55000000000000004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55000000000000004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55000000000000004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55000000000000004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55000000000000004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55000000000000004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55000000000000004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55000000000000004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55000000000000004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55000000000000004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55000000000000004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55000000000000004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55000000000000004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55000000000000004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55000000000000004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55000000000000004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55000000000000004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55000000000000004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55000000000000004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55000000000000004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55000000000000004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55000000000000004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55000000000000004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55000000000000004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55000000000000004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55000000000000004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55000000000000004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55000000000000004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55000000000000004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55000000000000004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55000000000000004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55000000000000004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55000000000000004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55000000000000004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55000000000000004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55000000000000004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55000000000000004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55000000000000004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55000000000000004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55000000000000004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55000000000000004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55000000000000004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55000000000000004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55000000000000004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55000000000000004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55000000000000004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55000000000000004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55000000000000004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55000000000000004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55000000000000004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55000000000000004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55000000000000004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55000000000000004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55000000000000004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55000000000000004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55000000000000004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55000000000000004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55000000000000004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55000000000000004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55000000000000004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55000000000000004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55000000000000004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55000000000000004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55000000000000004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55000000000000004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55000000000000004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55000000000000004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55000000000000004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55000000000000004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55000000000000004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55000000000000004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55000000000000004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55000000000000004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55000000000000004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55000000000000004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55000000000000004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55000000000000004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55000000000000004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55000000000000004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55000000000000004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55000000000000004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55000000000000004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55000000000000004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55000000000000004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55000000000000004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55000000000000004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55000000000000004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55000000000000004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55000000000000004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55000000000000004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55000000000000004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55000000000000004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55000000000000004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55000000000000004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55000000000000004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55000000000000004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55000000000000004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55000000000000004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55000000000000004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55000000000000004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55000000000000004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55000000000000004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55000000000000004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55000000000000004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55000000000000004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55000000000000004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55000000000000004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55000000000000004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55000000000000004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55000000000000004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55000000000000004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55000000000000004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55000000000000004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55000000000000004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55000000000000004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55000000000000004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55000000000000004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55000000000000004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55000000000000004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55000000000000004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55000000000000004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55000000000000004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55000000000000004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55000000000000004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55000000000000004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55000000000000004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55000000000000004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55000000000000004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55000000000000004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55000000000000004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55000000000000004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55000000000000004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55000000000000004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55000000000000004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55000000000000004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55000000000000004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55000000000000004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55000000000000004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55000000000000004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55000000000000004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55000000000000004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55000000000000004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55000000000000004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55000000000000004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55000000000000004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55000000000000004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55000000000000004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55000000000000004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55000000000000004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55000000000000004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55000000000000004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55000000000000004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55000000000000004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55000000000000004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55000000000000004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55000000000000004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55000000000000004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55000000000000004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55000000000000004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55000000000000004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55000000000000004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55000000000000004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55000000000000004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55000000000000004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55000000000000004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55000000000000004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55000000000000004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55000000000000004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55000000000000004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55000000000000004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55000000000000004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55000000000000004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55000000000000004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55000000000000004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55000000000000004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55000000000000004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55000000000000004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55000000000000004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55000000000000004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55000000000000004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55000000000000004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55000000000000004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55000000000000004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55000000000000004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55000000000000004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55000000000000004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55000000000000004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55000000000000004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55000000000000004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55000000000000004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55000000000000004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55000000000000004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55000000000000004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55000000000000004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55000000000000004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55000000000000004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55000000000000004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55000000000000004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55000000000000004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55000000000000004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55000000000000004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55000000000000004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55000000000000004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55000000000000004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55000000000000004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55000000000000004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55000000000000004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55000000000000004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55000000000000004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55000000000000004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55000000000000004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55000000000000004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55000000000000004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55000000000000004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55000000000000004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55000000000000004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55000000000000004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55000000000000004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55000000000000004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55000000000000004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55000000000000004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55000000000000004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55000000000000004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55000000000000004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55000000000000004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55000000000000004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55000000000000004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55000000000000004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55000000000000004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55000000000000004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55000000000000004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55000000000000004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55000000000000004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55000000000000004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55000000000000004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55000000000000004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55000000000000004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55000000000000004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55000000000000004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55000000000000004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55000000000000004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55000000000000004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55000000000000004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55000000000000004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55000000000000004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55000000000000004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55000000000000004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55000000000000004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55000000000000004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55000000000000004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55000000000000004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55000000000000004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55000000000000004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55000000000000004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55000000000000004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55000000000000004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55000000000000004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55000000000000004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55000000000000004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55000000000000004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55000000000000004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55000000000000004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55000000000000004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55000000000000004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55000000000000004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55000000000000004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55000000000000004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55000000000000004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55000000000000004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55000000000000004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55000000000000004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55000000000000004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55000000000000004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55000000000000004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55000000000000004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55000000000000004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55000000000000004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55000000000000004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55000000000000004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55000000000000004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55000000000000004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55000000000000004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55000000000000004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55000000000000004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55000000000000004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55000000000000004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55000000000000004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55000000000000004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55000000000000004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55000000000000004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55000000000000004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55000000000000004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55000000000000004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55000000000000004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55000000000000004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55000000000000004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55000000000000004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55000000000000004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55000000000000004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55000000000000004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55000000000000004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55000000000000004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55000000000000004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55000000000000004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55000000000000004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55000000000000004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55000000000000004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55000000000000004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55000000000000004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55000000000000004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55000000000000004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55000000000000004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55000000000000004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55000000000000004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55000000000000004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55000000000000004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55000000000000004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55000000000000004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55000000000000004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55000000000000004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55000000000000004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55000000000000004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55000000000000004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55000000000000004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55000000000000004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55000000000000004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55000000000000004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55000000000000004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55000000000000004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55000000000000004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55000000000000004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55000000000000004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55000000000000004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55000000000000004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55000000000000004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55000000000000004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55000000000000004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55000000000000004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55000000000000004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55000000000000004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55000000000000004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55000000000000004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55000000000000004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55000000000000004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55000000000000004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55000000000000004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55000000000000004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55000000000000004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55000000000000004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55000000000000004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55000000000000004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55000000000000004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55000000000000004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55000000000000004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55000000000000004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55000000000000004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55000000000000004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55000000000000004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55000000000000004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55000000000000004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55000000000000004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55000000000000004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55000000000000004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55000000000000004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55000000000000004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55000000000000004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55000000000000004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55000000000000004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55000000000000004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55000000000000004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55000000000000004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55000000000000004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55000000000000004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55000000000000004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55000000000000004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55000000000000004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55000000000000004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55000000000000004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55000000000000004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55000000000000004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55000000000000004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55000000000000004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55000000000000004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55000000000000004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55000000000000004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55000000000000004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55000000000000004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55000000000000004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55000000000000004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55000000000000004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55000000000000004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55000000000000004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55000000000000004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55000000000000004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55000000000000004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55000000000000004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55000000000000004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55000000000000004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55000000000000004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55000000000000004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55000000000000004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55000000000000004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55000000000000004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55000000000000004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55000000000000004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55000000000000004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55000000000000004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55000000000000004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55000000000000004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55000000000000004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55000000000000004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55000000000000004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55000000000000004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55000000000000004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55000000000000004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55000000000000004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55000000000000004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55000000000000004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55000000000000004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55000000000000004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55000000000000004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55000000000000004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55000000000000004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55000000000000004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55000000000000004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55000000000000004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55000000000000004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55000000000000004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55000000000000004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55000000000000004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55000000000000004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55000000000000004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55000000000000004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55000000000000004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55000000000000004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55000000000000004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55000000000000004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55000000000000004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55000000000000004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55000000000000004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55000000000000004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55000000000000004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55000000000000004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55000000000000004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55000000000000004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55000000000000004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55000000000000004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55000000000000004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55000000000000004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55000000000000004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55000000000000004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55000000000000004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55000000000000004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55000000000000004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55000000000000004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55000000000000004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55000000000000004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55000000000000004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55000000000000004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55000000000000004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55000000000000004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55000000000000004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55000000000000004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55000000000000004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55000000000000004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55000000000000004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55000000000000004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55000000000000004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55000000000000004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55000000000000004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55000000000000004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55000000000000004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55000000000000004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55000000000000004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55000000000000004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55000000000000004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55000000000000004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55000000000000004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55000000000000004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55000000000000004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55000000000000004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55000000000000004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55000000000000004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55000000000000004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55000000000000004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55000000000000004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55000000000000004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55000000000000004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55000000000000004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55000000000000004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55000000000000004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55000000000000004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55000000000000004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55000000000000004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55000000000000004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55000000000000004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55000000000000004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55000000000000004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55000000000000004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55000000000000004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55000000000000004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55000000000000004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55000000000000004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55000000000000004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55000000000000004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55000000000000004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55000000000000004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55000000000000004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55000000000000004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55000000000000004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55000000000000004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55000000000000004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55000000000000004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55000000000000004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55000000000000004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55000000000000004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55000000000000004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55000000000000004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55000000000000004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55000000000000004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55000000000000004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55000000000000004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55000000000000004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55000000000000004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55000000000000004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55000000000000004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55000000000000004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55000000000000004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55000000000000004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55000000000000004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55000000000000004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55000000000000004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55000000000000004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55000000000000004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55000000000000004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55000000000000004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55000000000000004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55000000000000004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55000000000000004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55000000000000004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55000000000000004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55000000000000004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55000000000000004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55000000000000004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55000000000000004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55000000000000004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55000000000000004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55000000000000004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55000000000000004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55000000000000004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55000000000000004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55000000000000004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55000000000000004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55000000000000004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55000000000000004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55000000000000004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55000000000000004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55000000000000004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55000000000000004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55000000000000004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55000000000000004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55000000000000004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55000000000000004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55000000000000004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55000000000000004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55000000000000004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55000000000000004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55000000000000004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55000000000000004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55000000000000004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55000000000000004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55000000000000004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55000000000000004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55000000000000004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55000000000000004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55000000000000004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55000000000000004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55000000000000004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55000000000000004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55000000000000004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55000000000000004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55000000000000004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55000000000000004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55000000000000004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55000000000000004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55000000000000004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55000000000000004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55000000000000004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55000000000000004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55000000000000004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55000000000000004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55000000000000004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55000000000000004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55000000000000004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55000000000000004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55000000000000004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55000000000000004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55000000000000004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55000000000000004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55000000000000004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55000000000000004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55000000000000004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55000000000000004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55000000000000004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55000000000000004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55000000000000004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55000000000000004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55000000000000004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55000000000000004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55000000000000004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55000000000000004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55000000000000004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55000000000000004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55000000000000004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55000000000000004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55000000000000004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55000000000000004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55000000000000004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55000000000000004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55000000000000004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55000000000000004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55000000000000004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55000000000000004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55000000000000004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55000000000000004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55000000000000004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55000000000000004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55000000000000004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55000000000000004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55000000000000004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55000000000000004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55000000000000004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55000000000000004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55000000000000004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55000000000000004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55000000000000004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55000000000000004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55000000000000004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55000000000000004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55000000000000004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55000000000000004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55000000000000004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55000000000000004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55000000000000004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55000000000000004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55000000000000004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55000000000000004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55000000000000004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55000000000000004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55000000000000004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55000000000000004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55000000000000004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55000000000000004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55000000000000004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55000000000000004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55000000000000004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55000000000000004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55000000000000004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55000000000000004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55000000000000004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55000000000000004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55000000000000004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55000000000000004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55000000000000004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55000000000000004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55000000000000004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55000000000000004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55000000000000004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55000000000000004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55000000000000004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55000000000000004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55000000000000004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55000000000000004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55000000000000004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55000000000000004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55000000000000004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55000000000000004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55000000000000004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55000000000000004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55000000000000004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55000000000000004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55000000000000004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55000000000000004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55000000000000004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55000000000000004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55000000000000004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55000000000000004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55000000000000004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55000000000000004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55000000000000004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55000000000000004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55000000000000004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55000000000000004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55000000000000004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55000000000000004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55000000000000004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55000000000000004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55000000000000004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55000000000000004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55000000000000004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55000000000000004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55000000000000004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55000000000000004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55000000000000004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55000000000000004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55000000000000004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55000000000000004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55000000000000004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55000000000000004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55000000000000004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55000000000000004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55000000000000004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55000000000000004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55000000000000004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55000000000000004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55000000000000004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55000000000000004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55000000000000004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55000000000000004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55000000000000004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55000000000000004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55000000000000004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55000000000000004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55000000000000004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55000000000000004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55000000000000004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55000000000000004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55000000000000004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55000000000000004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55000000000000004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55000000000000004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55000000000000004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55000000000000004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55000000000000004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55000000000000004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55000000000000004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55000000000000004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55000000000000004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55000000000000004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55000000000000004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55000000000000004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55000000000000004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55000000000000004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55000000000000004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55000000000000004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55000000000000004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55000000000000004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55000000000000004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55000000000000004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55000000000000004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55000000000000004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55000000000000004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55000000000000004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55000000000000004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55000000000000004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55000000000000004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55000000000000004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55000000000000004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55000000000000004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55000000000000004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55000000000000004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55000000000000004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55000000000000004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55000000000000004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55000000000000004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55000000000000004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55000000000000004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55000000000000004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55000000000000004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55000000000000004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55000000000000004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55000000000000004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55000000000000004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55000000000000004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55000000000000004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55000000000000004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55000000000000004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55000000000000004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55000000000000004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55000000000000004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55000000000000004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55000000000000004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55000000000000004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55000000000000004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55000000000000004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55000000000000004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55000000000000004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55000000000000004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55000000000000004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55000000000000004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55000000000000004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55000000000000004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55000000000000004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55000000000000004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55000000000000004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55000000000000004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55000000000000004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55000000000000004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55000000000000004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55000000000000004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55000000000000004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55000000000000004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55000000000000004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55000000000000004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55000000000000004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55000000000000004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55000000000000004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55000000000000004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55000000000000004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55000000000000004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55000000000000004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55000000000000004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55000000000000004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55000000000000004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55000000000000004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55000000000000004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55000000000000004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55000000000000004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55000000000000004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55000000000000004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55000000000000004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55000000000000004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55000000000000004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55000000000000004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55000000000000004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55000000000000004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55000000000000004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55000000000000004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55000000000000004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55000000000000004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55000000000000004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55000000000000004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55000000000000004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55000000000000004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55000000000000004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55000000000000004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55000000000000004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55000000000000004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55000000000000004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55000000000000004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55000000000000004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55000000000000004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55000000000000004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55000000000000004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55000000000000004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55000000000000004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55000000000000004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55000000000000004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55000000000000004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55000000000000004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55000000000000004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55000000000000004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55000000000000004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55000000000000004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55000000000000004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55000000000000004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55000000000000004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55000000000000004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55000000000000004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55000000000000004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55000000000000004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55000000000000004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55000000000000004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55000000000000004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55000000000000004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55000000000000004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55000000000000004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55000000000000004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55000000000000004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55000000000000004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55000000000000004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55000000000000004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55000000000000004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55000000000000004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55000000000000004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55000000000000004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55000000000000004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55000000000000004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55000000000000004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55000000000000004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55000000000000004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55000000000000004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55000000000000004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55000000000000004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55000000000000004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55000000000000004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55000000000000004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55000000000000004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55000000000000004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55000000000000004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55000000000000004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55000000000000004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55000000000000004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55000000000000004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55000000000000004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55000000000000004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55000000000000004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55000000000000004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55000000000000004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55000000000000004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55000000000000004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55000000000000004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55000000000000004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55000000000000004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55000000000000004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55000000000000004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55000000000000004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55000000000000004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55000000000000004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55000000000000004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55000000000000004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55000000000000004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55000000000000004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55000000000000004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55000000000000004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55000000000000004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55000000000000004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55000000000000004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55000000000000004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55000000000000004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55000000000000004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55000000000000004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55000000000000004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55000000000000004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55000000000000004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55000000000000004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55000000000000004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55000000000000004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55000000000000004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55000000000000004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55000000000000004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55000000000000004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55000000000000004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55000000000000004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55000000000000004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55000000000000004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55000000000000004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55000000000000004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55000000000000004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55000000000000004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55000000000000004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55000000000000004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55000000000000004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55000000000000004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55000000000000004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55000000000000004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55000000000000004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55000000000000004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55000000000000004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55000000000000004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55000000000000004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55000000000000004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55000000000000004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55000000000000004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55000000000000004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55000000000000004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55000000000000004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55000000000000004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55000000000000004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55000000000000004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55000000000000004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55000000000000004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55000000000000004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55000000000000004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55000000000000004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55000000000000004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55000000000000004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55000000000000004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55000000000000004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55000000000000004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55000000000000004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55000000000000004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55000000000000004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55000000000000004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55000000000000004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55000000000000004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55000000000000004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55000000000000004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55000000000000004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55000000000000004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55000000000000004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55000000000000004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55000000000000004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55000000000000004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55000000000000004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55000000000000004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55000000000000004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55000000000000004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55000000000000004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55000000000000004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55000000000000004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55000000000000004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55000000000000004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55000000000000004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55000000000000004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55000000000000004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55000000000000004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55000000000000004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55000000000000004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55000000000000004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55000000000000004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55000000000000004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55000000000000004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55000000000000004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55000000000000004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55000000000000004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55000000000000004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55000000000000004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55000000000000004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55000000000000004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55000000000000004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55000000000000004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55000000000000004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55000000000000004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55000000000000004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55000000000000004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55000000000000004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55000000000000004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55000000000000004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55000000000000004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55000000000000004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55000000000000004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55000000000000004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55000000000000004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55000000000000004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55000000000000004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55000000000000004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55000000000000004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55000000000000004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55000000000000004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55000000000000004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55000000000000004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55000000000000004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55000000000000004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55000000000000004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55000000000000004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55000000000000004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55000000000000004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55000000000000004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55000000000000004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55000000000000004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55000000000000004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55000000000000004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55000000000000004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55000000000000004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55000000000000004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55000000000000004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55000000000000004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55000000000000004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55000000000000004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55000000000000004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55000000000000004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55000000000000004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55000000000000004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55000000000000004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55000000000000004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55000000000000004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55000000000000004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55000000000000004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55000000000000004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55000000000000004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55000000000000004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55000000000000004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55000000000000004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55000000000000004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55000000000000004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55000000000000004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55000000000000004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55000000000000004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55000000000000004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55000000000000004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55000000000000004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55000000000000004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55000000000000004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55000000000000004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55000000000000004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55000000000000004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55000000000000004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55000000000000004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55000000000000004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55000000000000004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55000000000000004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55000000000000004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55000000000000004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55000000000000004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55000000000000004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55000000000000004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55000000000000004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55000000000000004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55000000000000004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55000000000000004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55000000000000004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55000000000000004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55000000000000004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55000000000000004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55000000000000004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55000000000000004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55000000000000004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55000000000000004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55000000000000004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55000000000000004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55000000000000004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55000000000000004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55000000000000004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55000000000000004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55000000000000004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55000000000000004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55000000000000004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55000000000000004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55000000000000004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55000000000000004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55000000000000004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55000000000000004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55000000000000004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55000000000000004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55000000000000004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55000000000000004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55000000000000004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55000000000000004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55000000000000004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55000000000000004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55000000000000004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55000000000000004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55000000000000004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55000000000000004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55000000000000004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55000000000000004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55000000000000004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55000000000000004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55000000000000004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55000000000000004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55000000000000004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55000000000000004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55000000000000004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55000000000000004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55000000000000004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55000000000000004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55000000000000004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55000000000000004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55000000000000004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55000000000000004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55000000000000004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55000000000000004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55000000000000004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55000000000000004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55000000000000004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55000000000000004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55000000000000004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55000000000000004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55000000000000004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55000000000000004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55000000000000004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55000000000000004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55000000000000004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55000000000000004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55000000000000004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55000000000000004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55000000000000004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55000000000000004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55000000000000004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55000000000000004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55000000000000004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55000000000000004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55000000000000004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55000000000000004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55000000000000004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55000000000000004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55000000000000004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55000000000000004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55000000000000004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55000000000000004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55000000000000004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55000000000000004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55000000000000004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55000000000000004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55000000000000004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55000000000000004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55000000000000004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55000000000000004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55000000000000004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55000000000000004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55000000000000004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55000000000000004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55000000000000004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55000000000000004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55000000000000004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55000000000000004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55000000000000004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55000000000000004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55000000000000004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55000000000000004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55000000000000004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55000000000000004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55000000000000004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55000000000000004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55000000000000004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55000000000000004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55000000000000004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55000000000000004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55000000000000004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55000000000000004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55000000000000004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55000000000000004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55000000000000004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55000000000000004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55000000000000004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55000000000000004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55000000000000004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55000000000000004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55000000000000004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55000000000000004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55000000000000004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55000000000000004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55000000000000004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55000000000000004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55000000000000004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55000000000000004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55000000000000004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55000000000000004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55000000000000004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55000000000000004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55000000000000004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55000000000000004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55000000000000004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55000000000000004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55000000000000004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55000000000000004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55000000000000004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55000000000000004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55000000000000004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55000000000000004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55000000000000004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55000000000000004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55000000000000004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55000000000000004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55000000000000004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55000000000000004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55000000000000004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55000000000000004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55000000000000004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55000000000000004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55000000000000004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55000000000000004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55000000000000004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55000000000000004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55000000000000004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55000000000000004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55000000000000004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55000000000000004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55000000000000004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55000000000000004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55000000000000004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55000000000000004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55000000000000004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55000000000000004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55000000000000004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55000000000000004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55000000000000004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55000000000000004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55000000000000004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55000000000000004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55000000000000004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55000000000000004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55000000000000004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55000000000000004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55000000000000004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55000000000000004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55000000000000004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55000000000000004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55000000000000004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55000000000000004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55000000000000004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55000000000000004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55000000000000004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55000000000000004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55000000000000004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55000000000000004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55000000000000004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55000000000000004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55000000000000004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55000000000000004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55000000000000004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55000000000000004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55000000000000004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55000000000000004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55000000000000004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55000000000000004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55000000000000004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55000000000000004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55000000000000004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55000000000000004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55000000000000004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55000000000000004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55000000000000004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55000000000000004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55000000000000004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55000000000000004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55000000000000004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55000000000000004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55000000000000004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55000000000000004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55000000000000004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55000000000000004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55000000000000004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55000000000000004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55000000000000004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55000000000000004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55000000000000004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55000000000000004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55000000000000004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55000000000000004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55000000000000004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55000000000000004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55000000000000004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55000000000000004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55000000000000004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55000000000000004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55000000000000004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55000000000000004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55000000000000004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55000000000000004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55000000000000004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55000000000000004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55000000000000004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55000000000000004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55000000000000004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55000000000000004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55000000000000004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55000000000000004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55000000000000004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55000000000000004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55000000000000004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55000000000000004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55000000000000004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55000000000000004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55000000000000004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55000000000000004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55000000000000004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55000000000000004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55000000000000004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55000000000000004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55000000000000004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55000000000000004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55000000000000004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55000000000000004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55000000000000004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55000000000000004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55000000000000004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55000000000000004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55000000000000004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55000000000000004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55000000000000004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55000000000000004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55000000000000004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55000000000000004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55000000000000004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55000000000000004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55000000000000004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55000000000000004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55000000000000004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55000000000000004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55000000000000004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55000000000000004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55000000000000004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55000000000000004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55000000000000004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55000000000000004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55000000000000004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55000000000000004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55000000000000004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55000000000000004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55000000000000004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55000000000000004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55000000000000004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55000000000000004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55000000000000004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55000000000000004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55000000000000004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55000000000000004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55000000000000004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55000000000000004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55000000000000004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55000000000000004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55000000000000004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55000000000000004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55000000000000004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55000000000000004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55000000000000004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55000000000000004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55000000000000004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55000000000000004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55000000000000004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55000000000000004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55000000000000004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55000000000000004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55000000000000004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55000000000000004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55000000000000004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55000000000000004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55000000000000004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55000000000000004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55000000000000004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55000000000000004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55000000000000004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55000000000000004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55000000000000004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55000000000000004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55000000000000004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55000000000000004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55000000000000004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55000000000000004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55000000000000004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55000000000000004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55000000000000004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55000000000000004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55000000000000004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55000000000000004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55000000000000004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55000000000000004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55000000000000004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55000000000000004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55000000000000004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55000000000000004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55000000000000004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55000000000000004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55000000000000004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55000000000000004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55000000000000004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55000000000000004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55000000000000004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55000000000000004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55000000000000004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55000000000000004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55000000000000004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55000000000000004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55000000000000004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55000000000000004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55000000000000004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55000000000000004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55000000000000004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55000000000000004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55000000000000004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55000000000000004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55000000000000004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55000000000000004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55000000000000004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55000000000000004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55000000000000004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55000000000000004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55000000000000004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55000000000000004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55000000000000004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55000000000000004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55000000000000004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55000000000000004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55000000000000004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55000000000000004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55000000000000004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55000000000000004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55000000000000004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55000000000000004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55000000000000004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55000000000000004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55000000000000004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55000000000000004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55000000000000004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55000000000000004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55000000000000004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55000000000000004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55000000000000004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55000000000000004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55000000000000004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55000000000000004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55000000000000004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55000000000000004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55000000000000004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55000000000000004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55000000000000004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55000000000000004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55000000000000004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55000000000000004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55000000000000004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55000000000000004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55000000000000004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55000000000000004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55000000000000004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55000000000000004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55000000000000004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55000000000000004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55000000000000004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55000000000000004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55000000000000004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55000000000000004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55000000000000004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55000000000000004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55000000000000004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55000000000000004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55000000000000004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55000000000000004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55000000000000004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55000000000000004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55000000000000004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55000000000000004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55000000000000004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55000000000000004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55000000000000004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55000000000000004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55000000000000004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55000000000000004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55000000000000004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55000000000000004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55000000000000004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55000000000000004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55000000000000004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55000000000000004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55000000000000004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55000000000000004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55000000000000004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55000000000000004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55000000000000004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55000000000000004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55000000000000004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55000000000000004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55000000000000004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55000000000000004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55000000000000004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55000000000000004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55000000000000004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55000000000000004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55000000000000004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55000000000000004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55000000000000004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55000000000000004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55000000000000004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55000000000000004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55000000000000004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55000000000000004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55000000000000004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55000000000000004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55000000000000004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55000000000000004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55000000000000004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55000000000000004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55000000000000004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55000000000000004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55000000000000004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55000000000000004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55000000000000004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55000000000000004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55000000000000004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55000000000000004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55000000000000004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55000000000000004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55000000000000004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55000000000000004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55000000000000004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55000000000000004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55000000000000004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55000000000000004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55000000000000004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55000000000000004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55000000000000004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55000000000000004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55000000000000004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55000000000000004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55000000000000004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55000000000000004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55000000000000004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55000000000000004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55000000000000004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55000000000000004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55000000000000004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55000000000000004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55000000000000004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55000000000000004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55000000000000004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55000000000000004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55000000000000004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55000000000000004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55000000000000004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55000000000000004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55000000000000004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55000000000000004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55000000000000004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55000000000000004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55000000000000004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55000000000000004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55000000000000004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55000000000000004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55000000000000004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55000000000000004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55000000000000004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55000000000000004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55000000000000004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55000000000000004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55000000000000004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55000000000000004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55000000000000004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55000000000000004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55000000000000004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55000000000000004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55000000000000004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55000000000000004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55000000000000004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55000000000000004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55000000000000004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55000000000000004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55000000000000004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55000000000000004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55000000000000004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55000000000000004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55000000000000004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55000000000000004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55000000000000004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55000000000000004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55000000000000004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55000000000000004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55000000000000004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55000000000000004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55000000000000004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55000000000000004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55000000000000004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55000000000000004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55000000000000004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55000000000000004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55000000000000004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55000000000000004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55000000000000004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55000000000000004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55000000000000004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55000000000000004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55000000000000004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55000000000000004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55000000000000004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55000000000000004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55000000000000004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55000000000000004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55000000000000004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55000000000000004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55000000000000004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55000000000000004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55000000000000004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55000000000000004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55000000000000004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55000000000000004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55000000000000004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55000000000000004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55000000000000004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55000000000000004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55000000000000004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55000000000000004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55000000000000004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55000000000000004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55000000000000004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55000000000000004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55000000000000004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55000000000000004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55000000000000004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55000000000000004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55000000000000004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55000000000000004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55000000000000004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55000000000000004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55000000000000004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55000000000000004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55000000000000004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55000000000000004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55000000000000004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55000000000000004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55000000000000004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55000000000000004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55000000000000004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55000000000000004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55000000000000004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55000000000000004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55000000000000004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55000000000000004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55000000000000004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55000000000000004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55000000000000004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55000000000000004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55000000000000004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55000000000000004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55000000000000004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55000000000000004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55000000000000004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55000000000000004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55000000000000004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55000000000000004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55000000000000004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55000000000000004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55000000000000004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55000000000000004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55000000000000004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55000000000000004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55000000000000004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55000000000000004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55000000000000004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55000000000000004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55000000000000004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55000000000000004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55000000000000004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55000000000000004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55000000000000004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55000000000000004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55000000000000004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55000000000000004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55000000000000004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55000000000000004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55000000000000004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55000000000000004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55000000000000004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55000000000000004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55000000000000004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55000000000000004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55000000000000004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55000000000000004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55000000000000004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55000000000000004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55000000000000004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55000000000000004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55000000000000004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55000000000000004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55000000000000004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55000000000000004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55000000000000004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55000000000000004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55000000000000004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55000000000000004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55000000000000004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55000000000000004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55000000000000004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55000000000000004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55000000000000004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55000000000000004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55000000000000004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55000000000000004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55000000000000004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55000000000000004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55000000000000004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55000000000000004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55000000000000004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55000000000000004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55000000000000004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55000000000000004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55000000000000004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55000000000000004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55000000000000004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55000000000000004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55000000000000004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55000000000000004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55000000000000004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55000000000000004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55000000000000004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55000000000000004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55000000000000004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55000000000000004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55000000000000004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55000000000000004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55000000000000004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55000000000000004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55000000000000004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55000000000000004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55000000000000004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55000000000000004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55000000000000004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55000000000000004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55000000000000004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55000000000000004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55000000000000004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55000000000000004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55000000000000004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55000000000000004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55000000000000004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55000000000000004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55000000000000004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55000000000000004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55000000000000004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55000000000000004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55000000000000004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55000000000000004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55000000000000004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55000000000000004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55000000000000004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55000000000000004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55000000000000004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55000000000000004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55000000000000004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55000000000000004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55000000000000004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55000000000000004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55000000000000004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55000000000000004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55000000000000004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55000000000000004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55000000000000004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55000000000000004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55000000000000004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55000000000000004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55000000000000004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55000000000000004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55000000000000004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55000000000000004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55000000000000004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55000000000000004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55000000000000004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55000000000000004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55000000000000004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55000000000000004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55000000000000004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55000000000000004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55000000000000004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55000000000000004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55000000000000004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55000000000000004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55000000000000004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55000000000000004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55000000000000004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55000000000000004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55000000000000004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55000000000000004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55000000000000004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55000000000000004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55000000000000004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55000000000000004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55000000000000004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55000000000000004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55000000000000004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55000000000000004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55000000000000004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55000000000000004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55000000000000004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55000000000000004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55000000000000004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55000000000000004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55000000000000004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55000000000000004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55000000000000004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55000000000000004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55000000000000004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55000000000000004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55000000000000004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55000000000000004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55000000000000004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55000000000000004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55000000000000004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55000000000000004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55000000000000004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55000000000000004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55000000000000004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55000000000000004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55000000000000004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55000000000000004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55000000000000004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55000000000000004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55000000000000004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55000000000000004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55000000000000004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55000000000000004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55000000000000004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55000000000000004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55000000000000004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55000000000000004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55000000000000004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55000000000000004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55000000000000004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55000000000000004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55000000000000004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55000000000000004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55000000000000004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55000000000000004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55000000000000004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55000000000000004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55000000000000004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55000000000000004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55000000000000004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55000000000000004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55000000000000004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55000000000000004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55000000000000004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55000000000000004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55000000000000004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55000000000000004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55000000000000004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55000000000000004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55000000000000004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55000000000000004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55000000000000004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55000000000000004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55000000000000004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55000000000000004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55000000000000004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55000000000000004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55000000000000004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55000000000000004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55000000000000004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55000000000000004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55000000000000004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55000000000000004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55000000000000004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55000000000000004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55000000000000004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55000000000000004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55000000000000004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55000000000000004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55000000000000004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55000000000000004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55000000000000004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55000000000000004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55000000000000004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55000000000000004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55000000000000004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55000000000000004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55000000000000004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55000000000000004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55000000000000004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55000000000000004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55000000000000004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55000000000000004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55000000000000004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55000000000000004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55000000000000004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55000000000000004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55000000000000004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55000000000000004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55000000000000004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55000000000000004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55000000000000004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55000000000000004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55000000000000004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55000000000000004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55000000000000004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55000000000000004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55000000000000004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55000000000000004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55000000000000004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55000000000000004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55000000000000004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55000000000000004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55000000000000004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55000000000000004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55000000000000004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55000000000000004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55000000000000004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55000000000000004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55000000000000004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55000000000000004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55000000000000004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55000000000000004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55000000000000004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55000000000000004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55000000000000004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55000000000000004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55000000000000004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55000000000000004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55000000000000004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55000000000000004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55000000000000004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55000000000000004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55000000000000004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55000000000000004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55000000000000004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55000000000000004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55000000000000004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55000000000000004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55000000000000004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55000000000000004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55000000000000004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55000000000000004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55000000000000004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55000000000000004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55000000000000004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55000000000000004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55000000000000004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55000000000000004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55000000000000004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55000000000000004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55000000000000004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55000000000000004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55000000000000004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55000000000000004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55000000000000004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55000000000000004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55000000000000004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55000000000000004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55000000000000004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55000000000000004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55000000000000004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55000000000000004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55000000000000004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55000000000000004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55000000000000004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55000000000000004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55000000000000004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55000000000000004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55000000000000004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55000000000000004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55000000000000004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55000000000000004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55000000000000004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55000000000000004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55000000000000004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55000000000000004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55000000000000004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55000000000000004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55000000000000004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55000000000000004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55000000000000004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55000000000000004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55000000000000004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55000000000000004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55000000000000004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55000000000000004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55000000000000004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55000000000000004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55000000000000004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55000000000000004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55000000000000004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55000000000000004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55000000000000004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55000000000000004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55000000000000004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55000000000000004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55000000000000004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55000000000000004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55000000000000004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55000000000000004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55000000000000004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55000000000000004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55000000000000004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55000000000000004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55000000000000004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55000000000000004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55000000000000004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55000000000000004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55000000000000004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55000000000000004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55000000000000004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55000000000000004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55000000000000004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55000000000000004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55000000000000004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55000000000000004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55000000000000004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55000000000000004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55000000000000004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55000000000000004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55000000000000004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55000000000000004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55000000000000004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55000000000000004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55000000000000004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55000000000000004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55000000000000004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55000000000000004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55000000000000004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55000000000000004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55000000000000004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55000000000000004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55000000000000004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55000000000000004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55000000000000004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55000000000000004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55000000000000004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55000000000000004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55000000000000004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55000000000000004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55000000000000004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55000000000000004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55000000000000004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55000000000000004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55000000000000004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55000000000000004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55000000000000004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55000000000000004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55000000000000004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55000000000000004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55000000000000004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55000000000000004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55000000000000004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55000000000000004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55000000000000004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55000000000000004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55000000000000004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55000000000000004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55000000000000004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55000000000000004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55000000000000004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55000000000000004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55000000000000004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55000000000000004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55000000000000004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55000000000000004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55000000000000004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55000000000000004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55000000000000004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55000000000000004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55000000000000004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55000000000000004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55000000000000004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55000000000000004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55000000000000004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55000000000000004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55000000000000004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55000000000000004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55000000000000004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55000000000000004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55000000000000004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55000000000000004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55000000000000004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55000000000000004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55000000000000004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55000000000000004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55000000000000004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55000000000000004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55000000000000004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55000000000000004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55000000000000004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55000000000000004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55000000000000004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55000000000000004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55000000000000004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55000000000000004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55000000000000004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55000000000000004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55000000000000004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55000000000000004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55000000000000004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55000000000000004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55000000000000004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55000000000000004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55000000000000004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55000000000000004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55000000000000004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55000000000000004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55000000000000004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55000000000000004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55000000000000004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55000000000000004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55000000000000004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55000000000000004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55000000000000004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55000000000000004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55000000000000004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55000000000000004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55000000000000004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55000000000000004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55000000000000004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55000000000000004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55000000000000004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55000000000000004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55000000000000004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55000000000000004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55000000000000004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55000000000000004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55000000000000004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55000000000000004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55000000000000004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55000000000000004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55000000000000004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55000000000000004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55000000000000004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55000000000000004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55000000000000004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55000000000000004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55000000000000004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55000000000000004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55000000000000004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55000000000000004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55000000000000004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55000000000000004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55000000000000004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55000000000000004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55000000000000004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55000000000000004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55000000000000004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55000000000000004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55000000000000004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55000000000000004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55000000000000004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55000000000000004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55000000000000004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55000000000000004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55000000000000004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55000000000000004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55000000000000004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55000000000000004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55000000000000004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55000000000000004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55000000000000004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55000000000000004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55000000000000004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55000000000000004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55000000000000004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55000000000000004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55000000000000004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55000000000000004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55000000000000004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55000000000000004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55000000000000004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55000000000000004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55000000000000004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55000000000000004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55000000000000004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55000000000000004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55000000000000004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55000000000000004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55000000000000004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55000000000000004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55000000000000004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55000000000000004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55000000000000004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55000000000000004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55000000000000004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55000000000000004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55000000000000004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55000000000000004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55000000000000004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55000000000000004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55000000000000004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55000000000000004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55000000000000004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55000000000000004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55000000000000004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55000000000000004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55000000000000004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55000000000000004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55000000000000004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55000000000000004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55000000000000004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55000000000000004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55000000000000004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55000000000000004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55000000000000004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55000000000000004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55000000000000004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55000000000000004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55000000000000004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55000000000000004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55000000000000004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55000000000000004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55000000000000004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55000000000000004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55000000000000004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55000000000000004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55000000000000004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55000000000000004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55000000000000004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55000000000000004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55000000000000004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55000000000000004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55000000000000004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55000000000000004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55000000000000004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55000000000000004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55000000000000004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55000000000000004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55000000000000004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55000000000000004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55000000000000004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55000000000000004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55000000000000004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55000000000000004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55000000000000004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55000000000000004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55000000000000004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55000000000000004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55000000000000004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55000000000000004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55000000000000004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55000000000000004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55000000000000004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55000000000000004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55000000000000004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55000000000000004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55000000000000004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55000000000000004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55000000000000004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55000000000000004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55000000000000004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55000000000000004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55000000000000004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55000000000000004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55000000000000004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55000000000000004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55000000000000004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55000000000000004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55000000000000004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55000000000000004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55000000000000004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55000000000000004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55000000000000004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55000000000000004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55000000000000004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55000000000000004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55000000000000004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55000000000000004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55000000000000004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55000000000000004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55000000000000004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55000000000000004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55000000000000004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55000000000000004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55000000000000004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55000000000000004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55000000000000004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55000000000000004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55000000000000004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55000000000000004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55000000000000004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55000000000000004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55000000000000004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55000000000000004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55000000000000004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55000000000000004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55000000000000004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55000000000000004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55000000000000004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55000000000000004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55000000000000004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55000000000000004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55000000000000004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55000000000000004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55000000000000004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55000000000000004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55000000000000004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55000000000000004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55000000000000004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55000000000000004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55000000000000004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55000000000000004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55000000000000004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55000000000000004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55000000000000004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55000000000000004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55000000000000004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55000000000000004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55000000000000004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55000000000000004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55000000000000004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55000000000000004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55000000000000004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55000000000000004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55000000000000004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55000000000000004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55000000000000004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55000000000000004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55000000000000004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55000000000000004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55000000000000004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55000000000000004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55000000000000004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55000000000000004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55000000000000004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55000000000000004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55000000000000004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55000000000000004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55000000000000004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55000000000000004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55000000000000004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55000000000000004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55000000000000004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55000000000000004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55000000000000004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55000000000000004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55000000000000004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55000000000000004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55000000000000004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55000000000000004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55000000000000004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55000000000000004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55000000000000004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55000000000000004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55000000000000004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55000000000000004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55000000000000004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55000000000000004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55000000000000004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55000000000000004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55000000000000004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55000000000000004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55000000000000004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55000000000000004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55000000000000004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55000000000000004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55000000000000004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55000000000000004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55000000000000004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55000000000000004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55000000000000004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55000000000000004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55000000000000004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55000000000000004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55000000000000004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55000000000000004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55000000000000004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55000000000000004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55000000000000004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55000000000000004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55000000000000004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55000000000000004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55000000000000004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55000000000000004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55000000000000004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55000000000000004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55000000000000004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55000000000000004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55000000000000004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55000000000000004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55000000000000004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55000000000000004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55000000000000004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55000000000000004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55000000000000004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55000000000000004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55000000000000004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55000000000000004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55000000000000004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55000000000000004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55000000000000004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55000000000000004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55000000000000004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55000000000000004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55000000000000004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55000000000000004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55000000000000004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55000000000000004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55000000000000004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55000000000000004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55000000000000004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55000000000000004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55000000000000004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55000000000000004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55000000000000004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55000000000000004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55000000000000004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55000000000000004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55000000000000004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55000000000000004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55000000000000004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55000000000000004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55000000000000004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55000000000000004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55000000000000004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55000000000000004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55000000000000004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55000000000000004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55000000000000004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55000000000000004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55000000000000004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55000000000000004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55000000000000004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55000000000000004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55000000000000004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55000000000000004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55000000000000004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55000000000000004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55000000000000004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55000000000000004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55000000000000004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55000000000000004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55000000000000004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55000000000000004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55000000000000004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55000000000000004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55000000000000004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55000000000000004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55000000000000004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55000000000000004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55000000000000004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55000000000000004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55000000000000004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55000000000000004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55000000000000004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55000000000000004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55000000000000004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55000000000000004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55000000000000004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55000000000000004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55000000000000004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55000000000000004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55000000000000004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55000000000000004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55000000000000004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55000000000000004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55000000000000004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55000000000000004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55000000000000004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55000000000000004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55000000000000004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55000000000000004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55000000000000004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55000000000000004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55000000000000004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55000000000000004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55000000000000004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55000000000000004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55000000000000004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55000000000000004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55000000000000004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55000000000000004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55000000000000004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55000000000000004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55000000000000004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55000000000000004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55000000000000004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55000000000000004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55000000000000004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55000000000000004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55000000000000004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55000000000000004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55000000000000004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55000000000000004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55000000000000004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55000000000000004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55000000000000004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55000000000000004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55000000000000004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55000000000000004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55000000000000004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55000000000000004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55000000000000004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55000000000000004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55000000000000004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55000000000000004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55000000000000004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55000000000000004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55000000000000004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55000000000000004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55000000000000004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55000000000000004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55000000000000004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55000000000000004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55000000000000004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55000000000000004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55000000000000004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55000000000000004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55000000000000004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55000000000000004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55000000000000004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55000000000000004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55000000000000004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55000000000000004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55000000000000004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55000000000000004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55000000000000004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55000000000000004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55000000000000004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55000000000000004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55000000000000004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55000000000000004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55000000000000004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55000000000000004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55000000000000004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55000000000000004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55000000000000004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55000000000000004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55000000000000004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55000000000000004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55000000000000004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55000000000000004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55000000000000004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55000000000000004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55000000000000004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55000000000000004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55000000000000004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55000000000000004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55000000000000004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55000000000000004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55000000000000004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55000000000000004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55000000000000004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55000000000000004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55000000000000004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55000000000000004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55000000000000004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55000000000000004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55000000000000004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55000000000000004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55000000000000004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55000000000000004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55000000000000004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55000000000000004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55000000000000004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55000000000000004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55000000000000004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55000000000000004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55000000000000004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55000000000000004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55000000000000004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55000000000000004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55000000000000004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55000000000000004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55000000000000004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55000000000000004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55000000000000004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55000000000000004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55000000000000004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55000000000000004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55000000000000004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55000000000000004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55000000000000004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55000000000000004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55000000000000004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55000000000000004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55000000000000004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55000000000000004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55000000000000004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55000000000000004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55000000000000004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55000000000000004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55000000000000004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55000000000000004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55000000000000004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55000000000000004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55000000000000004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55000000000000004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55000000000000004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55000000000000004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55000000000000004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55000000000000004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55000000000000004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55000000000000004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55000000000000004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55000000000000004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55000000000000004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55000000000000004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55000000000000004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55000000000000004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55000000000000004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55000000000000004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55000000000000004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55000000000000004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55000000000000004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55000000000000004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55000000000000004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55000000000000004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55000000000000004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55000000000000004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55000000000000004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55000000000000004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55000000000000004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55000000000000004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55000000000000004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55000000000000004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55000000000000004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55000000000000004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55000000000000004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55000000000000004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55000000000000004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55000000000000004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55000000000000004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55000000000000004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55000000000000004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55000000000000004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55000000000000004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55000000000000004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55000000000000004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55000000000000004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55000000000000004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55000000000000004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55000000000000004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55000000000000004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55000000000000004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55000000000000004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55000000000000004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55000000000000004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55000000000000004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55000000000000004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55000000000000004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55000000000000004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55000000000000004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55000000000000004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55000000000000004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55000000000000004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55000000000000004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55000000000000004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55000000000000004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55000000000000004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55000000000000004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55000000000000004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55000000000000004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55000000000000004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55000000000000004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55000000000000004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55000000000000004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55000000000000004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55000000000000004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55000000000000004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55000000000000004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55000000000000004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55000000000000004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55000000000000004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55000000000000004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55000000000000004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55000000000000004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55000000000000004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55000000000000004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55000000000000004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55000000000000004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55000000000000004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55000000000000004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55000000000000004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55000000000000004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55000000000000004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55000000000000004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55000000000000004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55000000000000004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55000000000000004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55000000000000004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55000000000000004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55000000000000004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55000000000000004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55000000000000004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55000000000000004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55000000000000004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55000000000000004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55000000000000004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55000000000000004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55000000000000004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55000000000000004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55000000000000004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55000000000000004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55000000000000004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55000000000000004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55000000000000004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55000000000000004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55000000000000004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55000000000000004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55000000000000004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55000000000000004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55000000000000004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55000000000000004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55000000000000004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55000000000000004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55000000000000004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55000000000000004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55000000000000004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55000000000000004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55000000000000004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55000000000000004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55000000000000004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55000000000000004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55000000000000004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55000000000000004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55000000000000004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55000000000000004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55000000000000004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55000000000000004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55000000000000004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55000000000000004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55000000000000004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55000000000000004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55000000000000004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55000000000000004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55000000000000004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55000000000000004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55000000000000004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55000000000000004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55000000000000004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55000000000000004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55000000000000004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55000000000000004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55000000000000004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55000000000000004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55000000000000004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55000000000000004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55000000000000004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55000000000000004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55000000000000004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55000000000000004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55000000000000004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55000000000000004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55000000000000004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55000000000000004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55000000000000004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55000000000000004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55000000000000004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55000000000000004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55000000000000004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55000000000000004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55000000000000004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55000000000000004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55000000000000004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55000000000000004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55000000000000004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55000000000000004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55000000000000004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55000000000000004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55000000000000004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55000000000000004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55000000000000004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55000000000000004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55000000000000004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55000000000000004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55000000000000004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55000000000000004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55000000000000004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55000000000000004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55000000000000004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55000000000000004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55000000000000004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55000000000000004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55000000000000004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55000000000000004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55000000000000004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55000000000000004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55000000000000004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55000000000000004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55000000000000004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55000000000000004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55000000000000004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55000000000000004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55000000000000004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55000000000000004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55000000000000004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55000000000000004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55000000000000004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55000000000000004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55000000000000004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55000000000000004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55000000000000004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55000000000000004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55000000000000004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55000000000000004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55000000000000004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55000000000000004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55000000000000004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55000000000000004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55000000000000004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55000000000000004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55000000000000004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55000000000000004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55000000000000004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55000000000000004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55000000000000004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55000000000000004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55000000000000004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55000000000000004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55000000000000004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55000000000000004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55000000000000004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55000000000000004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55000000000000004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55000000000000004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55000000000000004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55000000000000004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55000000000000004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55000000000000004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55000000000000004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55000000000000004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55000000000000004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55000000000000004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55000000000000004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55000000000000004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55000000000000004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55000000000000004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55000000000000004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55000000000000004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55000000000000004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55000000000000004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55000000000000004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55000000000000004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55000000000000004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55000000000000004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55000000000000004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55000000000000004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55000000000000004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55000000000000004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55000000000000004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55000000000000004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55000000000000004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55000000000000004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55000000000000004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55000000000000004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55000000000000004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55000000000000004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55000000000000004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55000000000000004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55000000000000004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55000000000000004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55000000000000004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55000000000000004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55000000000000004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55000000000000004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55000000000000004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55000000000000004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55000000000000004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55000000000000004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55000000000000004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55000000000000004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55000000000000004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55000000000000004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55000000000000004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55000000000000004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55000000000000004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55000000000000004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55000000000000004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55000000000000004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55000000000000004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55000000000000004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55000000000000004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55000000000000004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55000000000000004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55000000000000004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55000000000000004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55000000000000004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55000000000000004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55000000000000004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55000000000000004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55000000000000004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55000000000000004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55000000000000004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55000000000000004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55000000000000004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55000000000000004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55000000000000004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55000000000000004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55000000000000004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55000000000000004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55000000000000004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55000000000000004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55000000000000004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55000000000000004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55000000000000004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55000000000000004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55000000000000004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55000000000000004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55000000000000004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55000000000000004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55000000000000004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55000000000000004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55000000000000004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55000000000000004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55000000000000004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55000000000000004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55000000000000004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55000000000000004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55000000000000004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55000000000000004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55000000000000004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55000000000000004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55000000000000004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55000000000000004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55000000000000004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55000000000000004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55000000000000004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55000000000000004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55000000000000004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55000000000000004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55000000000000004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55000000000000004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55000000000000004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55000000000000004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55000000000000004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55000000000000004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55000000000000004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55000000000000004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55000000000000004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55000000000000004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55000000000000004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55000000000000004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55000000000000004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55000000000000004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55000000000000004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55000000000000004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55000000000000004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55000000000000004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55000000000000004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55000000000000004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55000000000000004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55000000000000004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55000000000000004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55000000000000004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55000000000000004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55000000000000004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55000000000000004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55000000000000004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55000000000000004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55000000000000004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55000000000000004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55000000000000004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55000000000000004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55000000000000004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55000000000000004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55000000000000004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55000000000000004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55000000000000004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55000000000000004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55000000000000004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55000000000000004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55000000000000004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55000000000000004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55000000000000004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55000000000000004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55000000000000004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55000000000000004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55000000000000004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55000000000000004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55000000000000004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55000000000000004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55000000000000004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55000000000000004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55000000000000004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55000000000000004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55000000000000004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55000000000000004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55000000000000004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55000000000000004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55000000000000004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55000000000000004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55000000000000004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55000000000000004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55000000000000004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55000000000000004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55000000000000004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55000000000000004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55000000000000004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55000000000000004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55000000000000004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55000000000000004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55000000000000004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55000000000000004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55000000000000004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55000000000000004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55000000000000004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55000000000000004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55000000000000004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55000000000000004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55000000000000004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55000000000000004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55000000000000004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55000000000000004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55000000000000004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55000000000000004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55000000000000004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55000000000000004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55000000000000004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55000000000000004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55000000000000004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55000000000000004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55000000000000004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55000000000000004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55000000000000004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55000000000000004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55000000000000004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55000000000000004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55000000000000004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55000000000000004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55000000000000004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55000000000000004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55000000000000004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55000000000000004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55000000000000004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55000000000000004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55000000000000004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55000000000000004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55000000000000004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55000000000000004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55000000000000004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55000000000000004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55000000000000004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55000000000000004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55000000000000004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55000000000000004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55000000000000004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55000000000000004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55000000000000004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55000000000000004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55000000000000004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55000000000000004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55000000000000004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55000000000000004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55000000000000004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55000000000000004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55000000000000004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55000000000000004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55000000000000004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55000000000000004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55000000000000004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55000000000000004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55000000000000004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55000000000000004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55000000000000004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55000000000000004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55000000000000004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55000000000000004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55000000000000004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55000000000000004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55000000000000004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55000000000000004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55000000000000004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55000000000000004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55000000000000004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55000000000000004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55000000000000004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55000000000000004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55000000000000004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55000000000000004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55000000000000004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55000000000000004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55000000000000004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55000000000000004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55000000000000004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55000000000000004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55000000000000004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55000000000000004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55000000000000004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55000000000000004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55000000000000004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55000000000000004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55000000000000004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55000000000000004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55000000000000004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55000000000000004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55000000000000004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55000000000000004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55000000000000004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55000000000000004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55000000000000004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55000000000000004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55000000000000004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55000000000000004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55000000000000004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55000000000000004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55000000000000004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55000000000000004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55000000000000004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55000000000000004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55000000000000004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55000000000000004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55000000000000004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55000000000000004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55000000000000004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55000000000000004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55000000000000004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55000000000000004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55000000000000004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55000000000000004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55000000000000004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55000000000000004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55000000000000004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55000000000000004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55000000000000004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55000000000000004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55000000000000004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55000000000000004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55000000000000004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55000000000000004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55000000000000004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55000000000000004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55000000000000004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55000000000000004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55000000000000004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55000000000000004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55000000000000004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55000000000000004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55000000000000004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55000000000000004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55000000000000004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55000000000000004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55000000000000004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55000000000000004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55000000000000004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55000000000000004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55000000000000004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55000000000000004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55000000000000004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55000000000000004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55000000000000004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55000000000000004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55000000000000004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55000000000000004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55000000000000004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55000000000000004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55000000000000004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55000000000000004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55000000000000004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55000000000000004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55000000000000004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55000000000000004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55000000000000004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55000000000000004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55000000000000004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55000000000000004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55000000000000004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55000000000000004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55000000000000004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55000000000000004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55000000000000004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55000000000000004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55000000000000004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55000000000000004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55000000000000004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55000000000000004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55000000000000004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55000000000000004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55000000000000004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55000000000000004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55000000000000004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55000000000000004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55000000000000004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55000000000000004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55000000000000004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55000000000000004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55000000000000004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55000000000000004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55000000000000004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55000000000000004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55000000000000004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55000000000000004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55000000000000004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55000000000000004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55000000000000004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55000000000000004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55000000000000004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55000000000000004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55000000000000004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55000000000000004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55000000000000004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55000000000000004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55000000000000004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55000000000000004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55000000000000004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55000000000000004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55000000000000004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55000000000000004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55000000000000004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55000000000000004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55000000000000004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55000000000000004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55000000000000004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55000000000000004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55000000000000004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55000000000000004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55000000000000004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55000000000000004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55000000000000004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55000000000000004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55000000000000004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55000000000000004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55000000000000004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55000000000000004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55000000000000004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55000000000000004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55000000000000004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55000000000000004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55000000000000004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55000000000000004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55000000000000004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55000000000000004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55000000000000004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55000000000000004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55000000000000004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55000000000000004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55000000000000004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55000000000000004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55000000000000004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55000000000000004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55000000000000004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55000000000000004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55000000000000004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55000000000000004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55000000000000004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55000000000000004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55000000000000004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55000000000000004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55000000000000004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55000000000000004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55000000000000004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55000000000000004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55000000000000004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55000000000000004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55000000000000004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55000000000000004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55000000000000004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55000000000000004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55000000000000004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55000000000000004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55000000000000004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55000000000000004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55000000000000004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55000000000000004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55000000000000004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55000000000000004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55000000000000004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55000000000000004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55000000000000004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55000000000000004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55000000000000004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55000000000000004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55000000000000004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55000000000000004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55000000000000004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55000000000000004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55000000000000004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55000000000000004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55000000000000004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55000000000000004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55000000000000004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55000000000000004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55000000000000004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55000000000000004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55000000000000004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55000000000000004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55000000000000004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55000000000000004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55000000000000004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55000000000000004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55000000000000004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55000000000000004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55000000000000004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55000000000000004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55000000000000004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55000000000000004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55000000000000004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55000000000000004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55000000000000004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55000000000000004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55000000000000004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55000000000000004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55000000000000004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55000000000000004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55000000000000004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55000000000000004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55000000000000004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55000000000000004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55000000000000004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55000000000000004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55000000000000004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55000000000000004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55000000000000004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55000000000000004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55000000000000004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55000000000000004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55000000000000004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55000000000000004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55000000000000004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55000000000000004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55000000000000004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55000000000000004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55000000000000004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55000000000000004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55000000000000004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55000000000000004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55000000000000004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55000000000000004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55000000000000004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55000000000000004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55000000000000004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55000000000000004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55000000000000004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55000000000000004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55000000000000004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55000000000000004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55000000000000004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55000000000000004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55000000000000004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55000000000000004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55000000000000004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55000000000000004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55000000000000004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55000000000000004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55000000000000004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55000000000000004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55000000000000004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55000000000000004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55000000000000004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55000000000000004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55000000000000004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55000000000000004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55000000000000004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55000000000000004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55000000000000004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55000000000000004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55000000000000004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55000000000000004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55000000000000004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55000000000000004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55000000000000004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55000000000000004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55000000000000004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55000000000000004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55000000000000004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55000000000000004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55000000000000004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55000000000000004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55000000000000004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55000000000000004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55000000000000004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55000000000000004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55000000000000004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55000000000000004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55000000000000004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55000000000000004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55000000000000004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55000000000000004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55000000000000004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55000000000000004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55000000000000004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55000000000000004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55000000000000004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55000000000000004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55000000000000004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55000000000000004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55000000000000004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55000000000000004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55000000000000004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55000000000000004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55000000000000004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55000000000000004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55000000000000004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55000000000000004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55000000000000004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55000000000000004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55000000000000004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55000000000000004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55000000000000004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55000000000000004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55000000000000004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55000000000000004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55000000000000004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55000000000000004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55000000000000004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55000000000000004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55000000000000004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55000000000000004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55000000000000004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55000000000000004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55000000000000004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55000000000000004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55000000000000004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55000000000000004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55000000000000004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55000000000000004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55000000000000004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55000000000000004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55000000000000004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55000000000000004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55000000000000004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55000000000000004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55000000000000004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55000000000000004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55000000000000004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55000000000000004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55000000000000004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55000000000000004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55000000000000004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55000000000000004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55000000000000004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55000000000000004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55000000000000004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55000000000000004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55000000000000004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55000000000000004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55000000000000004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55000000000000004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55000000000000004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55000000000000004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55000000000000004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55000000000000004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55000000000000004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55000000000000004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55000000000000004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55000000000000004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55000000000000004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55000000000000004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55000000000000004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55000000000000004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55000000000000004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55000000000000004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55000000000000004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55000000000000004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55000000000000004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55000000000000004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55000000000000004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55000000000000004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55000000000000004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55000000000000004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55000000000000004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55000000000000004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55000000000000004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55000000000000004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55000000000000004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55000000000000004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55000000000000004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55000000000000004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55000000000000004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55000000000000004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55000000000000004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55000000000000004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55000000000000004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55000000000000004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55000000000000004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55000000000000004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55000000000000004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55000000000000004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55000000000000004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55000000000000004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55000000000000004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55000000000000004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55000000000000004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55000000000000004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55000000000000004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55000000000000004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55000000000000004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55000000000000004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55000000000000004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55000000000000004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55000000000000004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55000000000000004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55000000000000004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55000000000000004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55000000000000004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55000000000000004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55000000000000004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55000000000000004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55000000000000004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55000000000000004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55000000000000004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55000000000000004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55000000000000004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55000000000000004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55000000000000004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55000000000000004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55000000000000004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55000000000000004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55000000000000004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55000000000000004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55000000000000004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55000000000000004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55000000000000004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55000000000000004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55000000000000004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55000000000000004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55000000000000004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55000000000000004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55000000000000004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55000000000000004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55000000000000004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55000000000000004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55000000000000004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55000000000000004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55000000000000004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55000000000000004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55000000000000004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55000000000000004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55000000000000004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55000000000000004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55000000000000004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55000000000000004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55000000000000004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55000000000000004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55000000000000004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55000000000000004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55000000000000004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55000000000000004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55000000000000004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55000000000000004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55000000000000004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55000000000000004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55000000000000004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55000000000000004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55000000000000004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55000000000000004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55000000000000004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55000000000000004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55000000000000004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55000000000000004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55000000000000004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55000000000000004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55000000000000004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55000000000000004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55000000000000004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55000000000000004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55000000000000004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55000000000000004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55000000000000004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55000000000000004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55000000000000004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55000000000000004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55000000000000004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55000000000000004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55000000000000004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55000000000000004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55000000000000004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55000000000000004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55000000000000004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55000000000000004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55000000000000004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55000000000000004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55000000000000004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55000000000000004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55000000000000004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55000000000000004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55000000000000004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55000000000000004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55000000000000004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55000000000000004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55000000000000004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55000000000000004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55000000000000004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55000000000000004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55000000000000004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55000000000000004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55000000000000004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55000000000000004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55000000000000004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55000000000000004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55000000000000004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55000000000000004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55000000000000004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55000000000000004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55000000000000004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55000000000000004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55000000000000004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55000000000000004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55000000000000004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55000000000000004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55000000000000004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55000000000000004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55000000000000004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55000000000000004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55000000000000004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55000000000000004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55000000000000004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55000000000000004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55000000000000004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55000000000000004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55000000000000004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55000000000000004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55000000000000004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55000000000000004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55000000000000004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55000000000000004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55000000000000004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55000000000000004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55000000000000004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55000000000000004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55000000000000004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55000000000000004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55000000000000004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55000000000000004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55000000000000004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55000000000000004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55000000000000004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55000000000000004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55000000000000004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55000000000000004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55000000000000004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55000000000000004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55000000000000004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55000000000000004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55000000000000004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55000000000000004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55000000000000004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55000000000000004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55000000000000004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55000000000000004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55000000000000004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55000000000000004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55000000000000004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55000000000000004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55000000000000004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55000000000000004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55000000000000004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55000000000000004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55000000000000004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55000000000000004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55000000000000004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55000000000000004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55000000000000004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55000000000000004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55000000000000004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55000000000000004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55000000000000004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55000000000000004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55000000000000004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55000000000000004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55000000000000004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55000000000000004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55000000000000004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55000000000000004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55000000000000004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55000000000000004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55000000000000004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55000000000000004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55000000000000004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55000000000000004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55000000000000004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55000000000000004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55000000000000004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55000000000000004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55000000000000004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55000000000000004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55000000000000004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55000000000000004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55000000000000004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55000000000000004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55000000000000004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55000000000000004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55000000000000004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55000000000000004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55000000000000004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55000000000000004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55000000000000004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55000000000000004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55000000000000004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55000000000000004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55000000000000004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55000000000000004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55000000000000004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55000000000000004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55000000000000004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55000000000000004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55000000000000004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55000000000000004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55000000000000004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55000000000000004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55000000000000004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55000000000000004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55000000000000004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55000000000000004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55000000000000004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55000000000000004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55000000000000004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55000000000000004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55000000000000004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55000000000000004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55000000000000004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55000000000000004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55000000000000004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55000000000000004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55000000000000004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55000000000000004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55000000000000004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55000000000000004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55000000000000004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55000000000000004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55000000000000004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55000000000000004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55000000000000004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55000000000000004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55000000000000004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55000000000000004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55000000000000004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55000000000000004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55000000000000004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55000000000000004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55000000000000004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55000000000000004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55000000000000004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55000000000000004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55000000000000004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55000000000000004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55000000000000004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55000000000000004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55000000000000004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55000000000000004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55000000000000004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55000000000000004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55000000000000004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55000000000000004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55000000000000004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55000000000000004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55000000000000004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55000000000000004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55000000000000004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55000000000000004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55000000000000004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55000000000000004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55000000000000004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55000000000000004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55000000000000004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55000000000000004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55000000000000004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55000000000000004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55000000000000004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55000000000000004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55000000000000004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55000000000000004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55000000000000004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55000000000000004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55000000000000004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55000000000000004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55000000000000004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55000000000000004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55000000000000004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55000000000000004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55000000000000004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55000000000000004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55000000000000004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55000000000000004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55000000000000004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55000000000000004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55000000000000004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55000000000000004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55000000000000004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55000000000000004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55000000000000004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55000000000000004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55000000000000004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55000000000000004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55000000000000004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55000000000000004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55000000000000004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55000000000000004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55000000000000004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55000000000000004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55000000000000004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55000000000000004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55000000000000004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55000000000000004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55000000000000004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55000000000000004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55000000000000004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55000000000000004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55000000000000004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55000000000000004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55000000000000004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55000000000000004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55000000000000004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55000000000000004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55000000000000004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55000000000000004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55000000000000004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55000000000000004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55000000000000004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55000000000000004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55000000000000004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55000000000000004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55000000000000004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55000000000000004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55000000000000004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55000000000000004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55000000000000004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55000000000000004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55000000000000004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55000000000000004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55000000000000004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55000000000000004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55000000000000004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55000000000000004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55000000000000004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55000000000000004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55000000000000004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55000000000000004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55000000000000004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55000000000000004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55000000000000004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55000000000000004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55000000000000004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55000000000000004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55000000000000004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55000000000000004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55000000000000004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55000000000000004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55000000000000004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55000000000000004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55000000000000004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55000000000000004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55000000000000004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55000000000000004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55000000000000004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55000000000000004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55000000000000004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55000000000000004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55000000000000004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55000000000000004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55000000000000004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55000000000000004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55000000000000004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55000000000000004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55000000000000004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55000000000000004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55000000000000004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55000000000000004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55000000000000004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55000000000000004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55000000000000004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55000000000000004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55000000000000004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55000000000000004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55000000000000004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55000000000000004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55000000000000004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55000000000000004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55000000000000004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55000000000000004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55000000000000004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55000000000000004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55000000000000004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55000000000000004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55000000000000004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55000000000000004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55000000000000004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55000000000000004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55000000000000004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55000000000000004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55000000000000004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55000000000000004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55000000000000004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55000000000000004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55000000000000004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55000000000000004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55000000000000004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55000000000000004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55000000000000004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55000000000000004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55000000000000004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55000000000000004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55000000000000004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55000000000000004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55000000000000004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55000000000000004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55000000000000004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55000000000000004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55000000000000004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55000000000000004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55000000000000004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55000000000000004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55000000000000004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55000000000000004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55000000000000004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55000000000000004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55000000000000004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55000000000000004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55000000000000004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55000000000000004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55000000000000004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55000000000000004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55000000000000004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55000000000000004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55000000000000004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55000000000000004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55000000000000004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55000000000000004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55000000000000004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55000000000000004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55000000000000004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55000000000000004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55000000000000004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55000000000000004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55000000000000004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55000000000000004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55000000000000004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55000000000000004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55000000000000004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55000000000000004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55000000000000004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55000000000000004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55000000000000004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55000000000000004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55000000000000004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55000000000000004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55000000000000004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55000000000000004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55000000000000004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55000000000000004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55000000000000004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55000000000000004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55000000000000004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55000000000000004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55000000000000004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55000000000000004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55000000000000004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55000000000000004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55000000000000004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55000000000000004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55000000000000004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55000000000000004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55000000000000004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55000000000000004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55000000000000004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55000000000000004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55000000000000004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55000000000000004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55000000000000004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55000000000000004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55000000000000004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55000000000000004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55000000000000004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55000000000000004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55000000000000004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55000000000000004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55000000000000004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55000000000000004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55000000000000004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55000000000000004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55000000000000004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55000000000000004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55000000000000004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55000000000000004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55000000000000004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55000000000000004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55000000000000004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55000000000000004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55000000000000004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55000000000000004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55000000000000004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55000000000000004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55000000000000004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55000000000000004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55000000000000004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55000000000000004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55000000000000004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55000000000000004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55000000000000004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55000000000000004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55000000000000004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55000000000000004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55000000000000004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55000000000000004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55000000000000004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55000000000000004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55000000000000004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55000000000000004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55000000000000004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55000000000000004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55000000000000004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55000000000000004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55000000000000004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55000000000000004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55000000000000004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55000000000000004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55000000000000004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55000000000000004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55000000000000004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55000000000000004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55000000000000004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55000000000000004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55000000000000004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55000000000000004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55000000000000004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55000000000000004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55000000000000004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55000000000000004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55000000000000004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55000000000000004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55000000000000004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55000000000000004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55000000000000004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55000000000000004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55000000000000004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55000000000000004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55000000000000004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55000000000000004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55000000000000004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55000000000000004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55000000000000004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55000000000000004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55000000000000004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55000000000000004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55000000000000004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55000000000000004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55000000000000004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55000000000000004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55000000000000004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55000000000000004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55000000000000004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55000000000000004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55000000000000004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55000000000000004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55000000000000004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55000000000000004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55000000000000004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55000000000000004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55000000000000004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55000000000000004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55000000000000004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55000000000000004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55000000000000004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55000000000000004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55000000000000004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55000000000000004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55000000000000004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55000000000000004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55000000000000004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55000000000000004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55000000000000004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55000000000000004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55000000000000004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55000000000000004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55000000000000004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55000000000000004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55000000000000004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55000000000000004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55000000000000004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55000000000000004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55000000000000004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55000000000000004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55000000000000004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55000000000000004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55000000000000004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55000000000000004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55000000000000004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55000000000000004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55000000000000004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55000000000000004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55000000000000004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55000000000000004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55000000000000004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55000000000000004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55000000000000004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55000000000000004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55000000000000004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55000000000000004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55000000000000004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55000000000000004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55000000000000004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55000000000000004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55000000000000004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55000000000000004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55000000000000004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55000000000000004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55000000000000004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55000000000000004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55000000000000004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55000000000000004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55000000000000004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55000000000000004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55000000000000004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55000000000000004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55000000000000004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55000000000000004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55000000000000004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55000000000000004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55000000000000004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55000000000000004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55000000000000004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55000000000000004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55000000000000004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55000000000000004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55000000000000004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55000000000000004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55000000000000004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55000000000000004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55000000000000004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55000000000000004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55000000000000004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55000000000000004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55000000000000004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55000000000000004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55000000000000004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55000000000000004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55000000000000004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55000000000000004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55000000000000004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55000000000000004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55000000000000004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55000000000000004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55000000000000004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55000000000000004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55000000000000004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55000000000000004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55000000000000004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55000000000000004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55000000000000004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55000000000000004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55000000000000004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55000000000000004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55000000000000004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55000000000000004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55000000000000004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55000000000000004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55000000000000004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55000000000000004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55000000000000004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55000000000000004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55000000000000004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55000000000000004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55000000000000004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55000000000000004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55000000000000004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55000000000000004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55000000000000004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55000000000000004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55000000000000004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55000000000000004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55000000000000004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55000000000000004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55000000000000004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55000000000000004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55000000000000004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55000000000000004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55000000000000004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55000000000000004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55000000000000004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55000000000000004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55000000000000004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55000000000000004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55000000000000004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55000000000000004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55000000000000004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55000000000000004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55000000000000004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55000000000000004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55000000000000004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55000000000000004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55000000000000004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55000000000000004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55000000000000004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55000000000000004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55000000000000004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55000000000000004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55000000000000004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55000000000000004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55000000000000004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55000000000000004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55000000000000004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55000000000000004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55000000000000004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55000000000000004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55000000000000004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55000000000000004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55000000000000004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55000000000000004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55000000000000004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55000000000000004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55000000000000004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55000000000000004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55000000000000004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55000000000000004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55000000000000004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55000000000000004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55000000000000004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55000000000000004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55000000000000004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55000000000000004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55000000000000004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55000000000000004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55000000000000004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55000000000000004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55000000000000004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55000000000000004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55000000000000004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55000000000000004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55000000000000004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55000000000000004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55000000000000004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55000000000000004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55000000000000004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55000000000000004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55000000000000004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55000000000000004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55000000000000004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55000000000000004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55000000000000004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55000000000000004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55000000000000004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55000000000000004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55000000000000004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55000000000000004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55000000000000004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55000000000000004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55000000000000004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55000000000000004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55000000000000004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55000000000000004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55000000000000004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55000000000000004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55000000000000004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55000000000000004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55000000000000004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55000000000000004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55000000000000004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55000000000000004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55000000000000004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55000000000000004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55000000000000004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55000000000000004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55000000000000004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55000000000000004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55000000000000004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55000000000000004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55000000000000004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55000000000000004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55000000000000004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55000000000000004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55000000000000004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55000000000000004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55000000000000004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55000000000000004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55000000000000004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55000000000000004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55000000000000004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55000000000000004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55000000000000004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55000000000000004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55000000000000004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55000000000000004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55000000000000004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55000000000000004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55000000000000004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55000000000000004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55000000000000004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55000000000000004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55000000000000004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55000000000000004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55000000000000004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55000000000000004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55000000000000004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55000000000000004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55000000000000004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55000000000000004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55000000000000004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55000000000000004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55000000000000004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55000000000000004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55000000000000004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55000000000000004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55000000000000004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55000000000000004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55000000000000004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55000000000000004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55000000000000004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55000000000000004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55000000000000004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55000000000000004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55000000000000004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55000000000000004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55000000000000004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55000000000000004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55000000000000004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55000000000000004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55000000000000004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55000000000000004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55000000000000004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55000000000000004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55000000000000004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55000000000000004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55000000000000004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55000000000000004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55000000000000004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55000000000000004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55000000000000004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55000000000000004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55000000000000004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55000000000000004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55000000000000004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55000000000000004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55000000000000004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55000000000000004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55000000000000004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55000000000000004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55000000000000004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55000000000000004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55000000000000004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55000000000000004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55000000000000004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55000000000000004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55000000000000004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55000000000000004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55000000000000004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55000000000000004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55000000000000004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55000000000000004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55000000000000004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55000000000000004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55000000000000004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55000000000000004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55000000000000004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55000000000000004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55000000000000004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55000000000000004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55000000000000004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55000000000000004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55000000000000004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55000000000000004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55000000000000004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55000000000000004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55000000000000004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55000000000000004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55000000000000004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55000000000000004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55000000000000004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55000000000000004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55000000000000004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55000000000000004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55000000000000004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55000000000000004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55000000000000004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55000000000000004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55000000000000004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55000000000000004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55000000000000004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55000000000000004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55000000000000004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55000000000000004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55000000000000004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55000000000000004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55000000000000004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55000000000000004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55000000000000004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55000000000000004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55000000000000004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55000000000000004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55000000000000004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55000000000000004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55000000000000004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55000000000000004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55000000000000004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55000000000000004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55000000000000004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55000000000000004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55000000000000004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55000000000000004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55000000000000004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55000000000000004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55000000000000004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55000000000000004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55000000000000004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55000000000000004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55000000000000004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55000000000000004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55000000000000004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55000000000000004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55000000000000004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55000000000000004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55000000000000004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55000000000000004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55000000000000004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55000000000000004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55000000000000004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55000000000000004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55000000000000004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55000000000000004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55000000000000004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55000000000000004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55000000000000004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55000000000000004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55000000000000004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55000000000000004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55000000000000004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55000000000000004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55000000000000004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55000000000000004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55000000000000004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55000000000000004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55000000000000004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55000000000000004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55000000000000004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55000000000000004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55000000000000004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55000000000000004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55000000000000004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55000000000000004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55000000000000004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55000000000000004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55000000000000004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55000000000000004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55000000000000004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55000000000000004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55000000000000004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55000000000000004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55000000000000004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55000000000000004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55000000000000004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55000000000000004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55000000000000004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55000000000000004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55000000000000004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55000000000000004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55000000000000004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55000000000000004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55000000000000004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55000000000000004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55000000000000004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55000000000000004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55000000000000004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55000000000000004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55000000000000004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55000000000000004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55000000000000004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55000000000000004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55000000000000004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55000000000000004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55000000000000004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55000000000000004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55000000000000004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55000000000000004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55000000000000004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55000000000000004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55000000000000004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55000000000000004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55000000000000004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55000000000000004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55000000000000004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55000000000000004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55000000000000004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55000000000000004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55000000000000004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55000000000000004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55000000000000004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55000000000000004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55000000000000004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55000000000000004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55000000000000004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55000000000000004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55000000000000004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55000000000000004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55000000000000004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55000000000000004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55000000000000004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55000000000000004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55000000000000004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55000000000000004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55000000000000004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55000000000000004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55000000000000004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55000000000000004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55000000000000004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55000000000000004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55000000000000004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55000000000000004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55000000000000004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55000000000000004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55000000000000004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55000000000000004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55000000000000004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55000000000000004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55000000000000004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55000000000000004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55000000000000004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55000000000000004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55000000000000004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55000000000000004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55000000000000004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55000000000000004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55000000000000004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55000000000000004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55000000000000004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55000000000000004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55000000000000004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55000000000000004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55000000000000004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55000000000000004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55000000000000004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55000000000000004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55000000000000004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55000000000000004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55000000000000004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55000000000000004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55000000000000004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55000000000000004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55000000000000004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55000000000000004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55000000000000004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55000000000000004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55000000000000004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55000000000000004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55000000000000004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55000000000000004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55000000000000004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55000000000000004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55000000000000004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55000000000000004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55000000000000004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55000000000000004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55000000000000004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55000000000000004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55000000000000004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55000000000000004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55000000000000004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55000000000000004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55000000000000004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55000000000000004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55000000000000004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55000000000000004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55000000000000004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55000000000000004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55000000000000004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55000000000000004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55000000000000004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55000000000000004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55000000000000004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55000000000000004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55000000000000004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55000000000000004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55000000000000004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55000000000000004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55000000000000004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55000000000000004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55000000000000004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55000000000000004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55000000000000004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55000000000000004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55000000000000004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55000000000000004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55000000000000004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55000000000000004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55000000000000004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55000000000000004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55000000000000004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55000000000000004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55000000000000004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55000000000000004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55000000000000004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55000000000000004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55000000000000004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55000000000000004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55000000000000004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55000000000000004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55000000000000004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55000000000000004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55000000000000004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55000000000000004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55000000000000004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55000000000000004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55000000000000004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55000000000000004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55000000000000004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55000000000000004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55000000000000004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55000000000000004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55000000000000004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55000000000000004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55000000000000004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55000000000000004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55000000000000004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55000000000000004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55000000000000004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55000000000000004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55000000000000004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55000000000000004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55000000000000004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55000000000000004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55000000000000004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55000000000000004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55000000000000004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55000000000000004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55000000000000004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55000000000000004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55000000000000004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55000000000000004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55000000000000004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55000000000000004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55000000000000004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55000000000000004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55000000000000004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55000000000000004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55000000000000004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55000000000000004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55000000000000004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55000000000000004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55000000000000004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55000000000000004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55000000000000004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55000000000000004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55000000000000004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55000000000000004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55000000000000004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55000000000000004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55000000000000004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55000000000000004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55000000000000004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55000000000000004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55000000000000004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55000000000000004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55000000000000004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55000000000000004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55000000000000004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55000000000000004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55000000000000004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55000000000000004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55000000000000004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55000000000000004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55000000000000004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55000000000000004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55000000000000004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55000000000000004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55000000000000004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55000000000000004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55000000000000004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55000000000000004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55000000000000004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55000000000000004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55000000000000004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55000000000000004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55000000000000004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55000000000000004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55000000000000004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55000000000000004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55000000000000004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55000000000000004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55000000000000004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55000000000000004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55000000000000004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55000000000000004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55000000000000004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55000000000000004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55000000000000004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55000000000000004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55000000000000004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55000000000000004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55000000000000004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55000000000000004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55000000000000004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55000000000000004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55000000000000004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55000000000000004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55000000000000004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55000000000000004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55000000000000004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55000000000000004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55000000000000004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55000000000000004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55000000000000004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55000000000000004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55000000000000004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55000000000000004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55000000000000004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55000000000000004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55000000000000004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55000000000000004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55000000000000004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55000000000000004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55000000000000004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55000000000000004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55000000000000004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55000000000000004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55000000000000004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55000000000000004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55000000000000004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55000000000000004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55000000000000004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55000000000000004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55000000000000004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55000000000000004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55000000000000004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55000000000000004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55000000000000004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55000000000000004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55000000000000004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55000000000000004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55000000000000004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55000000000000004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55000000000000004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55000000000000004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55000000000000004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55000000000000004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55000000000000004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55000000000000004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55000000000000004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55000000000000004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55000000000000004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55000000000000004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55000000000000004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55000000000000004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55000000000000004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55000000000000004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55000000000000004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55000000000000004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55000000000000004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55000000000000004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55000000000000004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55000000000000004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55000000000000004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55000000000000004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55000000000000004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55000000000000004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55000000000000004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55000000000000004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55000000000000004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55000000000000004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55000000000000004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55000000000000004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55000000000000004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55000000000000004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55000000000000004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55000000000000004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55000000000000004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55000000000000004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55000000000000004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55000000000000004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55000000000000004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55000000000000004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55000000000000004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55000000000000004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55000000000000004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55000000000000004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55000000000000004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55000000000000004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55000000000000004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55000000000000004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55000000000000004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55000000000000004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55000000000000004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55000000000000004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55000000000000004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55000000000000004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55000000000000004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55000000000000004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55000000000000004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55000000000000004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55000000000000004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55000000000000004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55000000000000004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55000000000000004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55000000000000004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55000000000000004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55000000000000004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55000000000000004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55000000000000004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55000000000000004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55000000000000004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55000000000000004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55000000000000004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55000000000000004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55000000000000004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55000000000000004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55000000000000004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55000000000000004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55000000000000004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55000000000000004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55000000000000004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55000000000000004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55000000000000004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55000000000000004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55000000000000004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55000000000000004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55000000000000004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55000000000000004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55000000000000004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55000000000000004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55000000000000004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55000000000000004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55000000000000004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55000000000000004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55000000000000004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55000000000000004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55000000000000004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55000000000000004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55000000000000004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55000000000000004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55000000000000004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55000000000000004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55000000000000004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55000000000000004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55000000000000004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55000000000000004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55000000000000004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55000000000000004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55000000000000004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55000000000000004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55000000000000004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55000000000000004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55000000000000004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55000000000000004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55000000000000004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55000000000000004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55000000000000004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55000000000000004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55000000000000004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55000000000000004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55000000000000004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55000000000000004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55000000000000004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55000000000000004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55000000000000004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55000000000000004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55000000000000004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55000000000000004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55000000000000004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55000000000000004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55000000000000004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55000000000000004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55000000000000004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55000000000000004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55000000000000004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55000000000000004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55000000000000004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55000000000000004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55000000000000004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55000000000000004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55000000000000004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55000000000000004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55000000000000004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55000000000000004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55000000000000004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55000000000000004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55000000000000004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55000000000000004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55000000000000004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55000000000000004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55000000000000004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55000000000000004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55000000000000004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55000000000000004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55000000000000004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55000000000000004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55000000000000004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55000000000000004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55000000000000004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55000000000000004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55000000000000004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55000000000000004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55000000000000004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55000000000000004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55000000000000004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55000000000000004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55000000000000004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55000000000000004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55000000000000004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55000000000000004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55000000000000004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55000000000000004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55000000000000004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55000000000000004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55000000000000004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55000000000000004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55000000000000004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55000000000000004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55000000000000004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55000000000000004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55000000000000004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55000000000000004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55000000000000004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55000000000000004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55000000000000004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55000000000000004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55000000000000004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55000000000000004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55000000000000004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55000000000000004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55000000000000004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55000000000000004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55000000000000004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55000000000000004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55000000000000004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55000000000000004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55000000000000004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55000000000000004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55000000000000004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55000000000000004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55000000000000004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55000000000000004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55000000000000004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55000000000000004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55000000000000004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55000000000000004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55000000000000004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55000000000000004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55000000000000004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55000000000000004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55000000000000004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55000000000000004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55000000000000004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55000000000000004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55000000000000004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55000000000000004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55000000000000004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55000000000000004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55000000000000004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55000000000000004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55000000000000004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55000000000000004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55000000000000004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55000000000000004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55000000000000004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55000000000000004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55000000000000004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55000000000000004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55000000000000004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55000000000000004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55000000000000004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55000000000000004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55000000000000004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55000000000000004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55000000000000004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55000000000000004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55000000000000004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55000000000000004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55000000000000004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55000000000000004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55000000000000004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55000000000000004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55000000000000004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55000000000000004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55000000000000004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55000000000000004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55000000000000004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55000000000000004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55000000000000004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55000000000000004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55000000000000004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55000000000000004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55000000000000004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55000000000000004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55000000000000004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55000000000000004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55000000000000004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55000000000000004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55000000000000004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55000000000000004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55000000000000004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55000000000000004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55000000000000004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55000000000000004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55000000000000004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55000000000000004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55000000000000004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55000000000000004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55000000000000004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55000000000000004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55000000000000004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55000000000000004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55000000000000004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55000000000000004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55000000000000004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55000000000000004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55000000000000004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55000000000000004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55000000000000004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55000000000000004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55000000000000004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55000000000000004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55000000000000004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55000000000000004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55000000000000004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55000000000000004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55000000000000004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55000000000000004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55000000000000004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55000000000000004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55000000000000004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55000000000000004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55000000000000004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55000000000000004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55000000000000004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55000000000000004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55000000000000004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55000000000000004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55000000000000004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55000000000000004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55000000000000004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55000000000000004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55000000000000004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55000000000000004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55000000000000004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55000000000000004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55000000000000004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55000000000000004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55000000000000004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55000000000000004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55000000000000004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55000000000000004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55000000000000004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55000000000000004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55000000000000004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55000000000000004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55000000000000004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55000000000000004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55000000000000004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55000000000000004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55000000000000004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55000000000000004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55000000000000004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55000000000000004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55000000000000004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55000000000000004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55000000000000004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55000000000000004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55000000000000004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55000000000000004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55000000000000004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55000000000000004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55000000000000004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55000000000000004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55000000000000004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55000000000000004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55000000000000004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55000000000000004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55000000000000004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55000000000000004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55000000000000004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55000000000000004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55000000000000004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55000000000000004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55000000000000004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55000000000000004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55000000000000004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55000000000000004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55000000000000004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55000000000000004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55000000000000004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55000000000000004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55000000000000004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55000000000000004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55000000000000004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55000000000000004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55000000000000004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55000000000000004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55000000000000004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55000000000000004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55000000000000004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55000000000000004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55000000000000004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55000000000000004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55000000000000004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55000000000000004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55000000000000004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55000000000000004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55000000000000004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55000000000000004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55000000000000004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55000000000000004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55000000000000004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55000000000000004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55000000000000004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55000000000000004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55000000000000004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55000000000000004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55000000000000004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55000000000000004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55000000000000004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55000000000000004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55000000000000004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55000000000000004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55000000000000004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55000000000000004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55000000000000004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55000000000000004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55000000000000004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55000000000000004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55000000000000004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55000000000000004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55000000000000004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55000000000000004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55000000000000004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55000000000000004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55000000000000004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55000000000000004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55000000000000004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55000000000000004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55000000000000004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55000000000000004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55000000000000004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55000000000000004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55000000000000004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55000000000000004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55000000000000004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55000000000000004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55000000000000004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55000000000000004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55000000000000004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55000000000000004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55000000000000004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55000000000000004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55000000000000004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55000000000000004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55000000000000004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55000000000000004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55000000000000004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55000000000000004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55000000000000004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55000000000000004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55000000000000004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55000000000000004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55000000000000004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55000000000000004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55000000000000004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55000000000000004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55000000000000004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55000000000000004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55000000000000004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55000000000000004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55000000000000004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55000000000000004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55000000000000004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55000000000000004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55000000000000004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55000000000000004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55000000000000004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55000000000000004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55000000000000004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55000000000000004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55000000000000004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55000000000000004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55000000000000004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55000000000000004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55000000000000004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55000000000000004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55000000000000004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55000000000000004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55000000000000004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55000000000000004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55000000000000004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55000000000000004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55000000000000004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55000000000000004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55000000000000004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55000000000000004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55000000000000004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55000000000000004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55000000000000004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55000000000000004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55000000000000004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55000000000000004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55000000000000004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55000000000000004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55000000000000004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55000000000000004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55000000000000004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55000000000000004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55000000000000004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55000000000000004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55000000000000004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55000000000000004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55000000000000004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55000000000000004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55000000000000004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55000000000000004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55000000000000004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55000000000000004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55000000000000004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55000000000000004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55000000000000004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55000000000000004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55000000000000004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55000000000000004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55000000000000004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55000000000000004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55000000000000004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55000000000000004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55000000000000004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55000000000000004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55000000000000004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55000000000000004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55000000000000004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55000000000000004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55000000000000004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55000000000000004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55000000000000004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55000000000000004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55000000000000004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55000000000000004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55000000000000004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55000000000000004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55000000000000004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55000000000000004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55000000000000004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55000000000000004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55000000000000004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55000000000000004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55000000000000004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55000000000000004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55000000000000004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55000000000000004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55000000000000004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55000000000000004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55000000000000004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55000000000000004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55000000000000004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55000000000000004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55000000000000004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55000000000000004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55000000000000004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55000000000000004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55000000000000004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55000000000000004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55000000000000004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55000000000000004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55000000000000004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55000000000000004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55000000000000004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55000000000000004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55000000000000004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55000000000000004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55000000000000004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55000000000000004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55000000000000004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55000000000000004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55000000000000004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55000000000000004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55000000000000004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55000000000000004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55000000000000004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55000000000000004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55000000000000004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55000000000000004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55000000000000004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55000000000000004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55000000000000004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55000000000000004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55000000000000004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55000000000000004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55000000000000004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55000000000000004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55000000000000004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55000000000000004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55000000000000004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55000000000000004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55000000000000004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55000000000000004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55000000000000004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55000000000000004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55000000000000004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55000000000000004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55000000000000004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55000000000000004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55000000000000004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55000000000000004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55000000000000004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55000000000000004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55000000000000004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55000000000000004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55000000000000004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55000000000000004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55000000000000004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55000000000000004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55000000000000004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55000000000000004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55000000000000004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55000000000000004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55000000000000004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55000000000000004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55000000000000004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55000000000000004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55000000000000004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55000000000000004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55000000000000004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55000000000000004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55000000000000004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55000000000000004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55000000000000004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55000000000000004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55000000000000004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55000000000000004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55000000000000004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55000000000000004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55000000000000004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55000000000000004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55000000000000004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55000000000000004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55000000000000004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55000000000000004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55000000000000004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55000000000000004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55000000000000004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55000000000000004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55000000000000004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55000000000000004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55000000000000004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55000000000000004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55000000000000004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55000000000000004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55000000000000004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55000000000000004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55000000000000004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55000000000000004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55000000000000004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55000000000000004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55000000000000004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55000000000000004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55000000000000004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55000000000000004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55000000000000004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55000000000000004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55000000000000004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55000000000000004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55000000000000004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55000000000000004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55000000000000004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55000000000000004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55000000000000004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55000000000000004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55000000000000004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55000000000000004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55000000000000004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55000000000000004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55000000000000004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55000000000000004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55000000000000004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55000000000000004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55000000000000004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55000000000000004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55000000000000004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55000000000000004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55000000000000004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55000000000000004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55000000000000004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55000000000000004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55000000000000004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55000000000000004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55000000000000004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55000000000000004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55000000000000004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55000000000000004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55000000000000004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55000000000000004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55000000000000004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55000000000000004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55000000000000004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55000000000000004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55000000000000004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55000000000000004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55000000000000004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55000000000000004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55000000000000004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55000000000000004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55000000000000004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55000000000000004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55000000000000004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55000000000000004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55000000000000004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55000000000000004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55000000000000004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55000000000000004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55000000000000004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55000000000000004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55000000000000004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55000000000000004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55000000000000004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55000000000000004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55000000000000004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55000000000000004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55000000000000004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55000000000000004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55000000000000004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55000000000000004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55000000000000004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55000000000000004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55000000000000004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55000000000000004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55000000000000004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55000000000000004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55000000000000004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55000000000000004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55000000000000004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55000000000000004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55000000000000004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55000000000000004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55000000000000004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55000000000000004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55000000000000004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55000000000000004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55000000000000004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55000000000000004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55000000000000004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55000000000000004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55000000000000004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55000000000000004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55000000000000004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55000000000000004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55000000000000004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55000000000000004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55000000000000004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55000000000000004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55000000000000004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55000000000000004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55000000000000004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55000000000000004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55000000000000004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55000000000000004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55000000000000004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55000000000000004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55000000000000004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55000000000000004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55000000000000004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55000000000000004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55000000000000004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55000000000000004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55000000000000004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55000000000000004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55000000000000004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55000000000000004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55000000000000004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55000000000000004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55000000000000004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55000000000000004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55000000000000004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55000000000000004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55000000000000004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55000000000000004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55000000000000004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55000000000000004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55000000000000004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55000000000000004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55000000000000004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55000000000000004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55000000000000004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55000000000000004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55000000000000004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55000000000000004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55000000000000004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55000000000000004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55000000000000004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55000000000000004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55000000000000004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55000000000000004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55000000000000004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55000000000000004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55000000000000004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55000000000000004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55000000000000004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55000000000000004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55000000000000004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55000000000000004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55000000000000004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55000000000000004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55000000000000004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55000000000000004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55000000000000004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55000000000000004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55000000000000004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55000000000000004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55000000000000004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55000000000000004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55000000000000004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55000000000000004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55000000000000004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55000000000000004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55000000000000004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55000000000000004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55000000000000004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55000000000000004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55000000000000004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55000000000000004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55000000000000004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55000000000000004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55000000000000004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55000000000000004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55000000000000004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55000000000000004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55000000000000004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55000000000000004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55000000000000004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55000000000000004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55000000000000004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55000000000000004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55000000000000004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55000000000000004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55000000000000004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55000000000000004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55000000000000004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55000000000000004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55000000000000004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55000000000000004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55000000000000004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55000000000000004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55000000000000004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55000000000000004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55000000000000004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55000000000000004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55000000000000004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55000000000000004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55000000000000004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55000000000000004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55000000000000004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55000000000000004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55000000000000004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55000000000000004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55000000000000004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55000000000000004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55000000000000004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55000000000000004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55000000000000004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55000000000000004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55000000000000004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55000000000000004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55000000000000004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55000000000000004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55000000000000004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55000000000000004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55000000000000004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55000000000000004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55000000000000004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55000000000000004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55000000000000004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55000000000000004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55000000000000004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55000000000000004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55000000000000004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55000000000000004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55000000000000004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55000000000000004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55000000000000004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55000000000000004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55000000000000004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55000000000000004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55000000000000004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55000000000000004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55000000000000004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55000000000000004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55000000000000004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55000000000000004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55000000000000004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55000000000000004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55000000000000004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55000000000000004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55000000000000004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55000000000000004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55000000000000004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55000000000000004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55000000000000004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55000000000000004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55000000000000004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55000000000000004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55000000000000004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55000000000000004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55000000000000004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55000000000000004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55000000000000004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55000000000000004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55000000000000004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55000000000000004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55000000000000004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55000000000000004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55000000000000004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55000000000000004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55000000000000004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55000000000000004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55000000000000004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55000000000000004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55000000000000004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55000000000000004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55000000000000004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55000000000000004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55000000000000004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55000000000000004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55000000000000004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55000000000000004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55000000000000004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55000000000000004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55000000000000004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55000000000000004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55000000000000004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55000000000000004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55000000000000004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55000000000000004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55000000000000004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55000000000000004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55000000000000004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55000000000000004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55000000000000004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55000000000000004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55000000000000004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55000000000000004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55000000000000004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55000000000000004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55000000000000004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55000000000000004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55000000000000004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55000000000000004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55000000000000004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55000000000000004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55000000000000004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55000000000000004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55000000000000004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55000000000000004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55000000000000004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55000000000000004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55000000000000004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55000000000000004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55000000000000004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55000000000000004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55000000000000004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55000000000000004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55000000000000004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55000000000000004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55000000000000004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55000000000000004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55000000000000004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55000000000000004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55000000000000004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55000000000000004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55000000000000004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55000000000000004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55000000000000004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55000000000000004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55000000000000004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55000000000000004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55000000000000004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55000000000000004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55000000000000004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55000000000000004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55000000000000004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55000000000000004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55000000000000004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55000000000000004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55000000000000004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55000000000000004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55000000000000004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55000000000000004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55000000000000004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55000000000000004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55000000000000004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55000000000000004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55000000000000004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55000000000000004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55000000000000004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55000000000000004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55000000000000004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55000000000000004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55000000000000004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55000000000000004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55000000000000004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55000000000000004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55000000000000004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55000000000000004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55000000000000004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55000000000000004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55000000000000004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55000000000000004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55000000000000004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55000000000000004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55000000000000004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55000000000000004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55000000000000004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55000000000000004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55000000000000004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55000000000000004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55000000000000004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55000000000000004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55000000000000004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55000000000000004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55000000000000004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55000000000000004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55000000000000004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55000000000000004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55000000000000004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55000000000000004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55000000000000004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55000000000000004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55000000000000004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55000000000000004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55000000000000004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55000000000000004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55000000000000004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55000000000000004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55000000000000004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55000000000000004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55000000000000004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55000000000000004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55000000000000004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55000000000000004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55000000000000004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55000000000000004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55000000000000004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55000000000000004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55000000000000004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55000000000000004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55000000000000004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55000000000000004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55000000000000004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55000000000000004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55000000000000004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55000000000000004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55000000000000004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55000000000000004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55000000000000004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55000000000000004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55000000000000004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55000000000000004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55000000000000004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55000000000000004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55000000000000004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55000000000000004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55000000000000004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55000000000000004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55000000000000004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55000000000000004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55000000000000004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55000000000000004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55000000000000004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55000000000000004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55000000000000004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55000000000000004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55000000000000004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55000000000000004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55000000000000004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55000000000000004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55000000000000004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55000000000000004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55000000000000004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55000000000000004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55000000000000004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55000000000000004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55000000000000004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55000000000000004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55000000000000004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55000000000000004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55000000000000004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55000000000000004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55000000000000004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55000000000000004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55000000000000004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55000000000000004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55000000000000004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55000000000000004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55000000000000004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55000000000000004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55000000000000004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55000000000000004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55000000000000004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55000000000000004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55000000000000004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55000000000000004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55000000000000004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55000000000000004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55000000000000004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55000000000000004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55000000000000004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55000000000000004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55000000000000004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55000000000000004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55000000000000004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55000000000000004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55000000000000004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55000000000000004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55000000000000004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55000000000000004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55000000000000004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55000000000000004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55000000000000004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55000000000000004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55000000000000004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55000000000000004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55000000000000004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55000000000000004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55000000000000004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55000000000000004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55000000000000004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55000000000000004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55000000000000004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55000000000000004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55000000000000004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55000000000000004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55000000000000004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55000000000000004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55000000000000004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55000000000000004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55000000000000004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55000000000000004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55000000000000004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55000000000000004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55000000000000004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55000000000000004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55000000000000004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55000000000000004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55000000000000004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55000000000000004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55000000000000004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55000000000000004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55000000000000004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55000000000000004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55000000000000004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55000000000000004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55000000000000004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55000000000000004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55000000000000004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55000000000000004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55000000000000004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55000000000000004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55000000000000004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55000000000000004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55000000000000004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55000000000000004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55000000000000004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55000000000000004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55000000000000004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55000000000000004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55000000000000004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55000000000000004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55000000000000004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55000000000000004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55000000000000004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55000000000000004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55000000000000004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55000000000000004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55000000000000004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55000000000000004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55000000000000004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55000000000000004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55000000000000004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55000000000000004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55000000000000004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55000000000000004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55000000000000004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55000000000000004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55000000000000004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55000000000000004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55000000000000004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55000000000000004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55000000000000004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55000000000000004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55000000000000004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55000000000000004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55000000000000004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55000000000000004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55000000000000004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55000000000000004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55000000000000004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55000000000000004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55000000000000004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55000000000000004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55000000000000004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55000000000000004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55000000000000004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55000000000000004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55000000000000004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55000000000000004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55000000000000004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55000000000000004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55000000000000004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55000000000000004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55000000000000004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55000000000000004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55000000000000004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55000000000000004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55000000000000004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55000000000000004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55000000000000004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55000000000000004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55000000000000004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55000000000000004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55000000000000004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55000000000000004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55000000000000004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55000000000000004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55000000000000004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55000000000000004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55000000000000004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55000000000000004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55000000000000004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55000000000000004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55000000000000004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55000000000000004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55000000000000004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55000000000000004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55000000000000004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55000000000000004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55000000000000004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55000000000000004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55000000000000004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55000000000000004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55000000000000004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55000000000000004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55000000000000004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55000000000000004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55000000000000004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55000000000000004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55000000000000004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55000000000000004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55000000000000004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55000000000000004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55000000000000004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55000000000000004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55000000000000004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55000000000000004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55000000000000004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55000000000000004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55000000000000004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55000000000000004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55000000000000004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55000000000000004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55000000000000004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55000000000000004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55000000000000004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55000000000000004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55000000000000004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55000000000000004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55000000000000004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55000000000000004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55000000000000004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55000000000000004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55000000000000004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55000000000000004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55000000000000004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55000000000000004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55000000000000004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55000000000000004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55000000000000004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55000000000000004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55000000000000004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55000000000000004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55000000000000004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55000000000000004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55000000000000004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55000000000000004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55000000000000004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55000000000000004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55000000000000004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55000000000000004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55000000000000004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55000000000000004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55000000000000004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55000000000000004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55000000000000004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55000000000000004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55000000000000004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55000000000000004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55000000000000004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55000000000000004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55000000000000004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55000000000000004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55000000000000004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55000000000000004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55000000000000004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55000000000000004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55000000000000004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55000000000000004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55000000000000004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55000000000000004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55000000000000004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55000000000000004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55000000000000004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55000000000000004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55000000000000004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55000000000000004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55000000000000004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55000000000000004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55000000000000004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55000000000000004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55000000000000004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55000000000000004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55000000000000004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55000000000000004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55000000000000004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55000000000000004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55000000000000004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55000000000000004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55000000000000004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55000000000000004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55000000000000004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55000000000000004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55000000000000004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55000000000000004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55000000000000004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55000000000000004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55000000000000004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55000000000000004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55000000000000004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55000000000000004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55000000000000004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55000000000000004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55000000000000004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55000000000000004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55000000000000004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55000000000000004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55000000000000004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55000000000000004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55000000000000004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55000000000000004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55000000000000004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55000000000000004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55000000000000004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55000000000000004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55000000000000004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55000000000000004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55000000000000004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55000000000000004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55000000000000004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55000000000000004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55000000000000004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55000000000000004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55000000000000004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55000000000000004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55000000000000004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55000000000000004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55000000000000004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55000000000000004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55000000000000004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55000000000000004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55000000000000004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55000000000000004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55000000000000004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55000000000000004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55000000000000004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55000000000000004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55000000000000004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55000000000000004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55000000000000004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55000000000000004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55000000000000004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55000000000000004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55000000000000004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55000000000000004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55000000000000004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55000000000000004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55000000000000004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55000000000000004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55000000000000004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55000000000000004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55000000000000004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55000000000000004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55000000000000004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55000000000000004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55000000000000004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55000000000000004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55000000000000004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55000000000000004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55000000000000004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55000000000000004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55000000000000004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55000000000000004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55000000000000004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55000000000000004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55000000000000004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55000000000000004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55000000000000004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55000000000000004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55000000000000004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55000000000000004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55000000000000004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55000000000000004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55000000000000004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55000000000000004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55000000000000004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55000000000000004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55000000000000004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55000000000000004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55000000000000004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55000000000000004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55000000000000004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55000000000000004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55000000000000004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55000000000000004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55000000000000004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55000000000000004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55000000000000004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55000000000000004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55000000000000004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55000000000000004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55000000000000004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55000000000000004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55000000000000004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55000000000000004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55000000000000004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55000000000000004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55000000000000004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55000000000000004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55000000000000004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55000000000000004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55000000000000004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55000000000000004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55000000000000004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55000000000000004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55000000000000004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55000000000000004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55000000000000004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55000000000000004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55000000000000004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55000000000000004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55000000000000004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55000000000000004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55000000000000004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55000000000000004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55000000000000004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55000000000000004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55000000000000004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55000000000000004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55000000000000004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55000000000000004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55000000000000004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55000000000000004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55000000000000004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55000000000000004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55000000000000004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55000000000000004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55000000000000004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55000000000000004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55000000000000004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55000000000000004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55000000000000004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55000000000000004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55000000000000004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55000000000000004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55000000000000004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55000000000000004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55000000000000004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55000000000000004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55000000000000004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55000000000000004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55000000000000004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55000000000000004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55000000000000004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55000000000000004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55000000000000004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55000000000000004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55000000000000004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55000000000000004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55000000000000004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55000000000000004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55000000000000004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55000000000000004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55000000000000004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55000000000000004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55000000000000004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55000000000000004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55000000000000004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55000000000000004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55000000000000004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55000000000000004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55000000000000004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55000000000000004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55000000000000004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55000000000000004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55000000000000004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55000000000000004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55000000000000004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55000000000000004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55000000000000004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55000000000000004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55000000000000004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55000000000000004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55000000000000004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55000000000000004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55000000000000004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55000000000000004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55000000000000004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55000000000000004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55000000000000004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55000000000000004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55000000000000004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55000000000000004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55000000000000004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55000000000000004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55000000000000004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55000000000000004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55000000000000004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55000000000000004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55000000000000004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55000000000000004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55000000000000004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55000000000000004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55000000000000004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55000000000000004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55000000000000004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55000000000000004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55000000000000004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55000000000000004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55000000000000004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55000000000000004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55000000000000004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55000000000000004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55000000000000004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55000000000000004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55000000000000004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55000000000000004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55000000000000004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55000000000000004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55000000000000004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55000000000000004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55000000000000004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55000000000000004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55000000000000004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55000000000000004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55000000000000004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55000000000000004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55000000000000004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55000000000000004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55000000000000004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55000000000000004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55000000000000004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55000000000000004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55000000000000004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55000000000000004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55000000000000004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55000000000000004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55000000000000004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55000000000000004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55000000000000004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55000000000000004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55000000000000004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55000000000000004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55000000000000004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55000000000000004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55000000000000004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55000000000000004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55000000000000004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55000000000000004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55000000000000004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55000000000000004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55000000000000004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55000000000000004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55000000000000004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55000000000000004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55000000000000004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55000000000000004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55000000000000004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55000000000000004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55000000000000004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55000000000000004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55000000000000004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55000000000000004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55000000000000004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55000000000000004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55000000000000004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55000000000000004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55000000000000004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55000000000000004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55000000000000004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55000000000000004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55000000000000004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55000000000000004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55000000000000004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55000000000000004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55000000000000004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55000000000000004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55000000000000004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55000000000000004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55000000000000004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55000000000000004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55000000000000004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55000000000000004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55000000000000004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55000000000000004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55000000000000004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55000000000000004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55000000000000004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55000000000000004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55000000000000004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55000000000000004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55000000000000004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55000000000000004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55000000000000004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55000000000000004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55000000000000004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55000000000000004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55000000000000004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55000000000000004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55000000000000004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55000000000000004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55000000000000004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55000000000000004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55000000000000004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55000000000000004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55000000000000004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55000000000000004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55000000000000004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55000000000000004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55000000000000004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55000000000000004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55000000000000004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55000000000000004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55000000000000004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55000000000000004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55000000000000004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55000000000000004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55000000000000004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55000000000000004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55000000000000004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55000000000000004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55000000000000004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55000000000000004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55000000000000004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55000000000000004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55000000000000004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55000000000000004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55000000000000004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55000000000000004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55000000000000004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55000000000000004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55000000000000004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55000000000000004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55000000000000004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55000000000000004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55000000000000004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55000000000000004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55000000000000004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55000000000000004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55000000000000004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55000000000000004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55000000000000004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55000000000000004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55000000000000004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55000000000000004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55000000000000004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55000000000000004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55000000000000004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55000000000000004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55000000000000004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55000000000000004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55000000000000004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55000000000000004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55000000000000004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55000000000000004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55000000000000004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55000000000000004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55000000000000004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55000000000000004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55000000000000004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55000000000000004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55000000000000004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55000000000000004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55000000000000004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55000000000000004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55000000000000004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55000000000000004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55000000000000004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55000000000000004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55000000000000004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55000000000000004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55000000000000004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55000000000000004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55000000000000004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55000000000000004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55000000000000004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55000000000000004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55000000000000004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55000000000000004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55000000000000004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55000000000000004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55000000000000004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55000000000000004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55000000000000004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55000000000000004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55000000000000004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55000000000000004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55000000000000004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55000000000000004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55000000000000004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55000000000000004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55000000000000004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55000000000000004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55000000000000004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55000000000000004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55000000000000004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55000000000000004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55000000000000004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55000000000000004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55000000000000004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55000000000000004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55000000000000004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55000000000000004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55000000000000004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55000000000000004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55000000000000004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55000000000000004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55000000000000004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55000000000000004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55000000000000004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55000000000000004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55000000000000004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55000000000000004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55000000000000004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55000000000000004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55000000000000004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55000000000000004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55000000000000004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55000000000000004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55000000000000004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55000000000000004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55000000000000004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55000000000000004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55000000000000004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55000000000000004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55000000000000004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55000000000000004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55000000000000004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55000000000000004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55000000000000004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55000000000000004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55000000000000004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55000000000000004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55000000000000004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55000000000000004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55000000000000004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55000000000000004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55000000000000004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55000000000000004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55000000000000004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55000000000000004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55000000000000004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55000000000000004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55000000000000004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55000000000000004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55000000000000004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55000000000000004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55000000000000004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55000000000000004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55000000000000004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55000000000000004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55000000000000004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55000000000000004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55000000000000004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55000000000000004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55000000000000004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55000000000000004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55000000000000004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55000000000000004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55000000000000004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55000000000000004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55000000000000004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55000000000000004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55000000000000004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55000000000000004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55000000000000004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55000000000000004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55000000000000004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55000000000000004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55000000000000004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55000000000000004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55000000000000004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55000000000000004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55000000000000004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55000000000000004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55000000000000004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55000000000000004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55000000000000004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55000000000000004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55000000000000004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55000000000000004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55000000000000004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55000000000000004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55000000000000004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55000000000000004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55000000000000004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55000000000000004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55000000000000004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55000000000000004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55000000000000004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55000000000000004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55000000000000004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55000000000000004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55000000000000004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55000000000000004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55000000000000004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55000000000000004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55000000000000004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55000000000000004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55000000000000004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55000000000000004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55000000000000004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55000000000000004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55000000000000004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55000000000000004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55000000000000004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55000000000000004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55000000000000004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55000000000000004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55000000000000004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55000000000000004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55000000000000004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55000000000000004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55000000000000004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55000000000000004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55000000000000004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55000000000000004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55000000000000004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55000000000000004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55000000000000004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55000000000000004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55000000000000004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55000000000000004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55000000000000004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55000000000000004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55000000000000004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55000000000000004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55000000000000004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55000000000000004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55000000000000004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55000000000000004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55000000000000004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55000000000000004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55000000000000004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55000000000000004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55000000000000004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55000000000000004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55000000000000004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55000000000000004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55000000000000004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55000000000000004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55000000000000004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55000000000000004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55000000000000004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55000000000000004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55000000000000004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55000000000000004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55000000000000004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55000000000000004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55000000000000004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55000000000000004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55000000000000004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55000000000000004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55000000000000004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55000000000000004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55000000000000004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55000000000000004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55000000000000004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55000000000000004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55000000000000004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55000000000000004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55000000000000004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55000000000000004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55000000000000004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55000000000000004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55000000000000004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55000000000000004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55000000000000004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55000000000000004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55000000000000004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55000000000000004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55000000000000004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55000000000000004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55000000000000004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55000000000000004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55000000000000004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55000000000000004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55000000000000004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55000000000000004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55000000000000004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55000000000000004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55000000000000004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55000000000000004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55000000000000004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55000000000000004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55000000000000004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55000000000000004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55000000000000004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55000000000000004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55000000000000004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55000000000000004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55000000000000004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55000000000000004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55000000000000004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55000000000000004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55000000000000004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55000000000000004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55000000000000004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55000000000000004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55000000000000004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55000000000000004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55000000000000004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55000000000000004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55000000000000004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55000000000000004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55000000000000004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55000000000000004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55000000000000004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55000000000000004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55000000000000004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55000000000000004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55000000000000004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55000000000000004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55000000000000004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55000000000000004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55000000000000004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55000000000000004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55000000000000004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55000000000000004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55000000000000004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55000000000000004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55000000000000004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55000000000000004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55000000000000004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55000000000000004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55000000000000004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55000000000000004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55000000000000004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55000000000000004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55000000000000004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55000000000000004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55000000000000004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55000000000000004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55000000000000004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55000000000000004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55000000000000004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55000000000000004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55000000000000004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55000000000000004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55000000000000004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55000000000000004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55000000000000004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55000000000000004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55000000000000004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55000000000000004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55000000000000004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55000000000000004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55000000000000004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55000000000000004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55000000000000004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55000000000000004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55000000000000004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55000000000000004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55000000000000004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55000000000000004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55000000000000004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55000000000000004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55000000000000004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55000000000000004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55000000000000004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55000000000000004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55000000000000004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55000000000000004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55000000000000004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55000000000000004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55000000000000004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55000000000000004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55000000000000004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55000000000000004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55000000000000004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55000000000000004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55000000000000004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55000000000000004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55000000000000004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55000000000000004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55000000000000004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55000000000000004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55000000000000004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55000000000000004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55000000000000004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55000000000000004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55000000000000004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55000000000000004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55000000000000004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55000000000000004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55000000000000004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55000000000000004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55000000000000004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55000000000000004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55000000000000004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55000000000000004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55000000000000004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55000000000000004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55000000000000004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55000000000000004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55000000000000004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55000000000000004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55000000000000004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55000000000000004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55000000000000004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55000000000000004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55000000000000004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55000000000000004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55000000000000004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55000000000000004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55000000000000004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55000000000000004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55000000000000004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55000000000000004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55000000000000004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55000000000000004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55000000000000004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55000000000000004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55000000000000004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55000000000000004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55000000000000004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55000000000000004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55000000000000004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55000000000000004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55000000000000004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55000000000000004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55000000000000004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55000000000000004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55000000000000004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55000000000000004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55000000000000004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55000000000000004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55000000000000004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55000000000000004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55000000000000004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55000000000000004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55000000000000004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55000000000000004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55000000000000004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55000000000000004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55000000000000004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55000000000000004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55000000000000004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55000000000000004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55000000000000004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55000000000000004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55000000000000004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55000000000000004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55000000000000004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55000000000000004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55000000000000004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55000000000000004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55000000000000004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55000000000000004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55000000000000004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55000000000000004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55000000000000004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55000000000000004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55000000000000004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55000000000000004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55000000000000004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55000000000000004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55000000000000004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55000000000000004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55000000000000004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55000000000000004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55000000000000004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55000000000000004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55000000000000004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55000000000000004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55000000000000004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55000000000000004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55000000000000004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55000000000000004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55000000000000004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55000000000000004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55000000000000004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55000000000000004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55000000000000004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55000000000000004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55000000000000004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55000000000000004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55000000000000004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55000000000000004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55000000000000004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55000000000000004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55000000000000004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55000000000000004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55000000000000004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55000000000000004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55000000000000004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55000000000000004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55000000000000004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55000000000000004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55000000000000004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55000000000000004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55000000000000004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55000000000000004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55000000000000004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55000000000000004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55000000000000004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55000000000000004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55000000000000004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55000000000000004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55000000000000004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55000000000000004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55000000000000004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55000000000000004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55000000000000004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55000000000000004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55000000000000004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55000000000000004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55000000000000004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55000000000000004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55000000000000004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55000000000000004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55000000000000004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55000000000000004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55000000000000004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55000000000000004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55000000000000004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55000000000000004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55000000000000004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55000000000000004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55000000000000004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55000000000000004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55000000000000004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55000000000000004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55000000000000004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55000000000000004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55000000000000004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55000000000000004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55000000000000004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55000000000000004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55000000000000004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55000000000000004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55000000000000004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55000000000000004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55000000000000004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55000000000000004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55000000000000004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55000000000000004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55000000000000004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55000000000000004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55000000000000004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55000000000000004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55000000000000004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55000000000000004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55000000000000004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55000000000000004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55000000000000004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55000000000000004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55000000000000004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55000000000000004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55000000000000004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55000000000000004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55000000000000004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55000000000000004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55000000000000004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55000000000000004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55000000000000004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55000000000000004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55000000000000004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55000000000000004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55000000000000004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55000000000000004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55000000000000004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55000000000000004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55000000000000004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55000000000000004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55000000000000004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55000000000000004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55000000000000004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55000000000000004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55000000000000004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55000000000000004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55000000000000004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55000000000000004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55000000000000004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55000000000000004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55000000000000004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55000000000000004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55000000000000004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55000000000000004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55000000000000004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55000000000000004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55000000000000004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55000000000000004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55000000000000004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55000000000000004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55000000000000004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55000000000000004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55000000000000004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55000000000000004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55000000000000004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55000000000000004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55000000000000004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55000000000000004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55000000000000004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55000000000000004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55000000000000004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55000000000000004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55000000000000004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55000000000000004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55000000000000004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55000000000000004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55000000000000004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55000000000000004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55000000000000004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55000000000000004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55000000000000004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55000000000000004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55000000000000004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55000000000000004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55000000000000004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55000000000000004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55000000000000004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55000000000000004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55000000000000004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55000000000000004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55000000000000004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55000000000000004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55000000000000004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55000000000000004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55000000000000004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55000000000000004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55000000000000004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55000000000000004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55000000000000004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55000000000000004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55000000000000004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55000000000000004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55000000000000004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55000000000000004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55000000000000004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55000000000000004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55000000000000004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55000000000000004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55000000000000004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55000000000000004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55000000000000004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55000000000000004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55000000000000004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55000000000000004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55000000000000004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55000000000000004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55000000000000004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55000000000000004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55000000000000004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55000000000000004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55000000000000004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55000000000000004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55000000000000004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55000000000000004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55000000000000004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55000000000000004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55000000000000004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55000000000000004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55000000000000004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55000000000000004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55000000000000004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55000000000000004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55000000000000004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55000000000000004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55000000000000004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55000000000000004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55000000000000004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55000000000000004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55000000000000004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55000000000000004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55000000000000004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55000000000000004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55000000000000004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55000000000000004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55000000000000004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55000000000000004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55000000000000004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55000000000000004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55000000000000004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55000000000000004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55000000000000004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55000000000000004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55000000000000004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55000000000000004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55000000000000004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55000000000000004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55000000000000004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55000000000000004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55000000000000004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55000000000000004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55000000000000004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55000000000000004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55000000000000004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55000000000000004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55000000000000004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55000000000000004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55000000000000004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55000000000000004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55000000000000004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55000000000000004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55000000000000004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55000000000000004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55000000000000004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55000000000000004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55000000000000004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55000000000000004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55000000000000004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55000000000000004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55000000000000004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55000000000000004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55000000000000004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55000000000000004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55000000000000004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55000000000000004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55000000000000004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55000000000000004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55000000000000004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55000000000000004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55000000000000004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55000000000000004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55000000000000004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55000000000000004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55000000000000004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55000000000000004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55000000000000004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55000000000000004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55000000000000004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55000000000000004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55000000000000004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55000000000000004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55000000000000004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55000000000000004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55000000000000004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55000000000000004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55000000000000004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55000000000000004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55000000000000004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55000000000000004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55000000000000004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55000000000000004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55000000000000004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55000000000000004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55000000000000004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55000000000000004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55000000000000004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55000000000000004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55000000000000004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55000000000000004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55000000000000004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55000000000000004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55000000000000004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55000000000000004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55000000000000004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55000000000000004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55000000000000004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55000000000000004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55000000000000004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55000000000000004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55000000000000004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55000000000000004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55000000000000004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55000000000000004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55000000000000004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55000000000000004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55000000000000004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55000000000000004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55000000000000004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55000000000000004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55000000000000004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55000000000000004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55000000000000004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55000000000000004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55000000000000004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55000000000000004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55000000000000004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55000000000000004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55000000000000004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55000000000000004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55000000000000004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55000000000000004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55000000000000004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55000000000000004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55000000000000004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55000000000000004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55000000000000004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55000000000000004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55000000000000004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55000000000000004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55000000000000004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55000000000000004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55000000000000004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55000000000000004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55000000000000004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55000000000000004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55000000000000004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55000000000000004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55000000000000004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55000000000000004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55000000000000004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55000000000000004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55000000000000004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55000000000000004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55000000000000004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55000000000000004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55000000000000004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55000000000000004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55000000000000004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55000000000000004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55000000000000004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55000000000000004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55000000000000004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55000000000000004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55000000000000004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55000000000000004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55000000000000004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55000000000000004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55000000000000004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55000000000000004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55000000000000004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55000000000000004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55000000000000004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55000000000000004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55000000000000004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55000000000000004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55000000000000004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55000000000000004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55000000000000004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55000000000000004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55000000000000004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55000000000000004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55000000000000004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55000000000000004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55000000000000004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55000000000000004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55000000000000004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55000000000000004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55000000000000004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55000000000000004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55000000000000004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55000000000000004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55000000000000004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55000000000000004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55000000000000004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55000000000000004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55000000000000004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55000000000000004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55000000000000004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55000000000000004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55000000000000004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55000000000000004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55000000000000004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55000000000000004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55000000000000004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55000000000000004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55000000000000004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55000000000000004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55000000000000004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55000000000000004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55000000000000004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55000000000000004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55000000000000004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55000000000000004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55000000000000004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55000000000000004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55000000000000004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55000000000000004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55000000000000004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55000000000000004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55000000000000004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55000000000000004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55000000000000004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55000000000000004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55000000000000004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55000000000000004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55000000000000004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55000000000000004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55000000000000004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55000000000000004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55000000000000004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55000000000000004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55000000000000004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55000000000000004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55000000000000004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55000000000000004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55000000000000004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55000000000000004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55000000000000004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55000000000000004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55000000000000004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55000000000000004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55000000000000004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55000000000000004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55000000000000004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55000000000000004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55000000000000004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55000000000000004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55000000000000004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55000000000000004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55000000000000004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55000000000000004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55000000000000004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55000000000000004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55000000000000004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55000000000000004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55000000000000004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55000000000000004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55000000000000004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55000000000000004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55000000000000004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55000000000000004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55000000000000004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55000000000000004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55000000000000004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55000000000000004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55000000000000004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55000000000000004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55000000000000004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55000000000000004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55000000000000004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55000000000000004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55000000000000004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55000000000000004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55000000000000004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55000000000000004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55000000000000004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55000000000000004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55000000000000004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55000000000000004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55000000000000004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55000000000000004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55000000000000004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55000000000000004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55000000000000004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55000000000000004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55000000000000004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55000000000000004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55000000000000004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55000000000000004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55000000000000004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55000000000000004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55000000000000004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55000000000000004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55000000000000004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55000000000000004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55000000000000004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55000000000000004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55000000000000004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55000000000000004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55000000000000004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55000000000000004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55000000000000004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55000000000000004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55000000000000004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55000000000000004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55000000000000004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55000000000000004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55000000000000004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55000000000000004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55000000000000004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55000000000000004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55000000000000004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55000000000000004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55000000000000004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55000000000000004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55000000000000004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55000000000000004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55000000000000004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55000000000000004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55000000000000004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55000000000000004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55000000000000004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55000000000000004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55000000000000004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55000000000000004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55000000000000004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55000000000000004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55000000000000004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55000000000000004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55000000000000004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55000000000000004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55000000000000004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55000000000000004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55000000000000004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55000000000000004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55000000000000004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55000000000000004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55000000000000004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55000000000000004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55000000000000004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55000000000000004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55000000000000004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55000000000000004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55000000000000004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55000000000000004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55000000000000004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55000000000000004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55000000000000004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55000000000000004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55000000000000004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55000000000000004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55000000000000004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55000000000000004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55000000000000004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55000000000000004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55000000000000004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55000000000000004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55000000000000004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55000000000000004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55000000000000004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55000000000000004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55000000000000004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55000000000000004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55000000000000004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55000000000000004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55000000000000004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55000000000000004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55000000000000004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55000000000000004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55000000000000004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55000000000000004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55000000000000004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55000000000000004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55000000000000004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55000000000000004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55000000000000004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55000000000000004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55000000000000004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55000000000000004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55000000000000004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55000000000000004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55000000000000004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55000000000000004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55000000000000004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55000000000000004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55000000000000004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55000000000000004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55000000000000004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55000000000000004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55000000000000004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55000000000000004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55000000000000004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55000000000000004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55000000000000004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55000000000000004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55000000000000004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55000000000000004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55000000000000004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55000000000000004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55000000000000004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55000000000000004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55000000000000004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55000000000000004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55000000000000004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55000000000000004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55000000000000004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55000000000000004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55000000000000004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55000000000000004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55000000000000004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55000000000000004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55000000000000004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55000000000000004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55000000000000004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55000000000000004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55000000000000004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55000000000000004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55000000000000004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55000000000000004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55000000000000004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55000000000000004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55000000000000004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55000000000000004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55000000000000004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55000000000000004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55000000000000004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55000000000000004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55000000000000004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55000000000000004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55000000000000004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55000000000000004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55000000000000004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55000000000000004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55000000000000004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55000000000000004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55000000000000004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55000000000000004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55000000000000004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55000000000000004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55000000000000004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55000000000000004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55000000000000004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55000000000000004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55000000000000004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55000000000000004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55000000000000004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55000000000000004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55000000000000004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55000000000000004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55000000000000004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55000000000000004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55000000000000004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55000000000000004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55000000000000004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55000000000000004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55000000000000004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55000000000000004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55000000000000004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55000000000000004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55000000000000004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55000000000000004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55000000000000004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55000000000000004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55000000000000004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55000000000000004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55000000000000004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55000000000000004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55000000000000004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55000000000000004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55000000000000004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55000000000000004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55000000000000004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55000000000000004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55000000000000004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55000000000000004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55000000000000004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55000000000000004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55000000000000004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55000000000000004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55000000000000004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55000000000000004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55000000000000004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55000000000000004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55000000000000004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55000000000000004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55000000000000004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55000000000000004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55000000000000004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55000000000000004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55000000000000004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55000000000000004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55000000000000004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55000000000000004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55000000000000004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55000000000000004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55000000000000004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55000000000000004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55000000000000004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55000000000000004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55000000000000004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55000000000000004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55000000000000004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55000000000000004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55000000000000004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55000000000000004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55000000000000004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55000000000000004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55000000000000004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55000000000000004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55000000000000004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55000000000000004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55000000000000004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55000000000000004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55000000000000004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55000000000000004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55000000000000004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55000000000000004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55000000000000004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55000000000000004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55000000000000004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55000000000000004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55000000000000004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55000000000000004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55000000000000004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55000000000000004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55000000000000004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55000000000000004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55000000000000004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55000000000000004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55000000000000004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55000000000000004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55000000000000004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55000000000000004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55000000000000004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55000000000000004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55000000000000004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55000000000000004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55000000000000004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55000000000000004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55000000000000004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55000000000000004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55000000000000004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55000000000000004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55000000000000004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55000000000000004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55000000000000004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55000000000000004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55000000000000004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55000000000000004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55000000000000004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55000000000000004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55000000000000004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55000000000000004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55000000000000004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55000000000000004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55000000000000004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55000000000000004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55000000000000004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55000000000000004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55000000000000004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55000000000000004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55000000000000004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55000000000000004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55000000000000004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55000000000000004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55000000000000004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55000000000000004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55000000000000004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55000000000000004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55000000000000004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55000000000000004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55000000000000004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55000000000000004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55000000000000004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55000000000000004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55000000000000004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55000000000000004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55000000000000004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55000000000000004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55000000000000004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55000000000000004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55000000000000004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55000000000000004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55000000000000004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55000000000000004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55000000000000004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55000000000000004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55000000000000004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55000000000000004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55000000000000004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55000000000000004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55000000000000004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55000000000000004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55000000000000004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55000000000000004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55000000000000004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55000000000000004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55000000000000004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55000000000000004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55000000000000004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55000000000000004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55000000000000004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55000000000000004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55000000000000004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55000000000000004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55000000000000004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55000000000000004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55000000000000004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55000000000000004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55000000000000004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55000000000000004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55000000000000004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55000000000000004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55000000000000004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55000000000000004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55000000000000004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55000000000000004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55000000000000004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55000000000000004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55000000000000004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55000000000000004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55000000000000004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55000000000000004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55000000000000004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55000000000000004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55000000000000004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55000000000000004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55000000000000004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55000000000000004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55000000000000004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55000000000000004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55000000000000004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55000000000000004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55000000000000004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55000000000000004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55000000000000004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55000000000000004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55000000000000004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55000000000000004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55000000000000004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55000000000000004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55000000000000004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55000000000000004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55000000000000004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55000000000000004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55000000000000004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55000000000000004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55000000000000004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55000000000000004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55000000000000004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55000000000000004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55000000000000004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55000000000000004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55000000000000004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55000000000000004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55000000000000004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55000000000000004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55000000000000004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55000000000000004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55000000000000004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55000000000000004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55000000000000004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55000000000000004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55000000000000004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55000000000000004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55000000000000004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55000000000000004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55000000000000004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55000000000000004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55000000000000004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55000000000000004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55000000000000004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55000000000000004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55000000000000004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55000000000000004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55000000000000004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55000000000000004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55000000000000004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55000000000000004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55000000000000004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55000000000000004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55000000000000004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55000000000000004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55000000000000004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55000000000000004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55000000000000004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55000000000000004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55000000000000004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55000000000000004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55000000000000004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55000000000000004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55000000000000004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55000000000000004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55000000000000004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55000000000000004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55000000000000004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55000000000000004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55000000000000004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55000000000000004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55000000000000004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55000000000000004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55000000000000004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55000000000000004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55000000000000004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55000000000000004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55000000000000004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55000000000000004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55000000000000004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55000000000000004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55000000000000004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55000000000000004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55000000000000004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55000000000000004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55000000000000004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55000000000000004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55000000000000004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55000000000000004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55000000000000004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55000000000000004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55000000000000004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55000000000000004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55000000000000004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55000000000000004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55000000000000004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55000000000000004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55000000000000004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55000000000000004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55000000000000004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55000000000000004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55000000000000004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55000000000000004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55000000000000004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55000000000000004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55000000000000004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55000000000000004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55000000000000004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55000000000000004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55000000000000004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55000000000000004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55000000000000004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55000000000000004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55000000000000004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55000000000000004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55000000000000004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55000000000000004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55000000000000004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55000000000000004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55000000000000004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55000000000000004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55000000000000004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55000000000000004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55000000000000004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55000000000000004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55000000000000004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55000000000000004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55000000000000004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55000000000000004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55000000000000004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55000000000000004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55000000000000004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55000000000000004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55000000000000004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55000000000000004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55000000000000004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55000000000000004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55000000000000004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55000000000000004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55000000000000004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55000000000000004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55000000000000004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55000000000000004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55000000000000004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55000000000000004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55000000000000004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55000000000000004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55000000000000004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55000000000000004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55000000000000004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55000000000000004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55000000000000004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55000000000000004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55000000000000004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55000000000000004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55000000000000004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55000000000000004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55000000000000004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55000000000000004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55000000000000004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55000000000000004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55000000000000004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55000000000000004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55000000000000004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55000000000000004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55000000000000004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55000000000000004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55000000000000004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55000000000000004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55000000000000004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55000000000000004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55000000000000004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55000000000000004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55000000000000004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55000000000000004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55000000000000004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55000000000000004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55000000000000004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55000000000000004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55000000000000004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55000000000000004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55000000000000004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55000000000000004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55000000000000004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55000000000000004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55000000000000004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55000000000000004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55000000000000004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55000000000000004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55000000000000004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55000000000000004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55000000000000004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55000000000000004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55000000000000004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55000000000000004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55000000000000004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55000000000000004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55000000000000004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55000000000000004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55000000000000004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55000000000000004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55000000000000004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55000000000000004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55000000000000004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55000000000000004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55000000000000004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55000000000000004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55000000000000004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55000000000000004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55000000000000004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55000000000000004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55000000000000004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55000000000000004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55000000000000004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55000000000000004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55000000000000004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55000000000000004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55000000000000004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55000000000000004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55000000000000004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55000000000000004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55000000000000004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55000000000000004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55000000000000004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55000000000000004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55000000000000004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55000000000000004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55000000000000004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55000000000000004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55000000000000004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55000000000000004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55000000000000004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55000000000000004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55000000000000004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55000000000000004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55000000000000004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55000000000000004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55000000000000004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55000000000000004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55000000000000004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55000000000000004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55000000000000004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55000000000000004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55000000000000004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55000000000000004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55000000000000004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55000000000000004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55000000000000004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55000000000000004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55000000000000004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55000000000000004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55000000000000004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55000000000000004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55000000000000004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55000000000000004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55000000000000004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55000000000000004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55000000000000004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55000000000000004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55000000000000004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55000000000000004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55000000000000004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55000000000000004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55000000000000004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55000000000000004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55000000000000004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55000000000000004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55000000000000004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55000000000000004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55000000000000004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55000000000000004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55000000000000004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55000000000000004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55000000000000004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55000000000000004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55000000000000004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55000000000000004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55000000000000004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55000000000000004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55000000000000004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55000000000000004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55000000000000004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55000000000000004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55000000000000004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55000000000000004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55000000000000004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55000000000000004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55000000000000004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55000000000000004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55000000000000004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55000000000000004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55000000000000004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55000000000000004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55000000000000004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55000000000000004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55000000000000004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55000000000000004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55000000000000004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55000000000000004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55000000000000004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55000000000000004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55000000000000004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55000000000000004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55000000000000004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55000000000000004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55000000000000004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55000000000000004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55000000000000004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55000000000000004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55000000000000004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55000000000000004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55000000000000004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55000000000000004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55000000000000004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55000000000000004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55000000000000004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55000000000000004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55000000000000004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55000000000000004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55000000000000004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55000000000000004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55000000000000004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55000000000000004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55000000000000004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55000000000000004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55000000000000004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55000000000000004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55000000000000004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55000000000000004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55000000000000004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55000000000000004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55000000000000004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55000000000000004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55000000000000004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55000000000000004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55000000000000004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55000000000000004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55000000000000004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55000000000000004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55000000000000004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55000000000000004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55000000000000004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55000000000000004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55000000000000004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55000000000000004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55000000000000004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55000000000000004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55000000000000004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55000000000000004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55000000000000004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55000000000000004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55000000000000004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55000000000000004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55000000000000004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55000000000000004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55000000000000004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55000000000000004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55000000000000004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55000000000000004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55000000000000004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55000000000000004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55000000000000004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55000000000000004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55000000000000004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55000000000000004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55000000000000004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55000000000000004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55000000000000004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55000000000000004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55000000000000004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55000000000000004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55000000000000004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55000000000000004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55000000000000004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55000000000000004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55000000000000004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55000000000000004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55000000000000004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55000000000000004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55000000000000004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55000000000000004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55000000000000004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55000000000000004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55000000000000004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55000000000000004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55000000000000004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55000000000000004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55000000000000004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55000000000000004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55000000000000004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55000000000000004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55000000000000004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55000000000000004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55000000000000004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55000000000000004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55000000000000004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55000000000000004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55000000000000004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55000000000000004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55000000000000004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55000000000000004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55000000000000004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55000000000000004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55000000000000004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55000000000000004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55000000000000004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55000000000000004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55000000000000004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55000000000000004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55000000000000004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55000000000000004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55000000000000004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55000000000000004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55000000000000004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55000000000000004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55000000000000004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55000000000000004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55000000000000004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55000000000000004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55000000000000004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55000000000000004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55000000000000004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55000000000000004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55000000000000004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55000000000000004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55000000000000004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55000000000000004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55000000000000004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55000000000000004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55000000000000004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55000000000000004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55000000000000004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55000000000000004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55000000000000004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55000000000000004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55000000000000004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55000000000000004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55000000000000004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55000000000000004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55000000000000004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55000000000000004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55000000000000004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55000000000000004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55000000000000004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55000000000000004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55000000000000004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55000000000000004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55000000000000004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55000000000000004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55000000000000004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55000000000000004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55000000000000004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55000000000000004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55000000000000004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55000000000000004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55000000000000004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55000000000000004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55000000000000004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55000000000000004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55000000000000004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55000000000000004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55000000000000004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55000000000000004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55000000000000004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55000000000000004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55000000000000004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55000000000000004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55000000000000004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55000000000000004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55000000000000004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55000000000000004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55000000000000004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55000000000000004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55000000000000004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55000000000000004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55000000000000004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55000000000000004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55000000000000004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55000000000000004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55000000000000004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55000000000000004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55000000000000004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55000000000000004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55000000000000004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55000000000000004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55000000000000004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55000000000000004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55000000000000004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55000000000000004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55000000000000004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55000000000000004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55000000000000004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55000000000000004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55000000000000004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55000000000000004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55000000000000004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55000000000000004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55000000000000004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55000000000000004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55000000000000004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55000000000000004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55000000000000004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55000000000000004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55000000000000004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55000000000000004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55000000000000004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55000000000000004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55000000000000004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55000000000000004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55000000000000004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55000000000000004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55000000000000004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55000000000000004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55000000000000004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55000000000000004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55000000000000004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55000000000000004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55000000000000004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55000000000000004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55000000000000004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55000000000000004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55000000000000004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55000000000000004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55000000000000004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55000000000000004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55000000000000004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55000000000000004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55000000000000004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55000000000000004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55000000000000004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55000000000000004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55000000000000004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55000000000000004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55000000000000004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55000000000000004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55000000000000004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55000000000000004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55000000000000004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55000000000000004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55000000000000004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55000000000000004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55000000000000004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55000000000000004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55000000000000004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55000000000000004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55000000000000004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55000000000000004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55000000000000004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55000000000000004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55000000000000004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55000000000000004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55000000000000004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55000000000000004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55000000000000004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55000000000000004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55000000000000004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55000000000000004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55000000000000004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55000000000000004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55000000000000004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55000000000000004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55000000000000004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55000000000000004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55000000000000004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55000000000000004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55000000000000004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55000000000000004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55000000000000004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55000000000000004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55000000000000004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55000000000000004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55000000000000004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55000000000000004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55000000000000004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55000000000000004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55000000000000004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55000000000000004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55000000000000004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55000000000000004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55000000000000004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55000000000000004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55000000000000004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55000000000000004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55000000000000004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55000000000000004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55000000000000004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55000000000000004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55000000000000004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55000000000000004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55000000000000004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55000000000000004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55000000000000004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55000000000000004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55000000000000004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55000000000000004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55000000000000004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55000000000000004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55000000000000004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55000000000000004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55000000000000004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55000000000000004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55000000000000004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55000000000000004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55000000000000004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55000000000000004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55000000000000004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55000000000000004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55000000000000004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55000000000000004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55000000000000004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55000000000000004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55000000000000004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55000000000000004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55000000000000004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55000000000000004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55000000000000004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55000000000000004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55000000000000004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55000000000000004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55000000000000004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55000000000000004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55000000000000004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55000000000000004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55000000000000004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55000000000000004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55000000000000004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55000000000000004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55000000000000004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55000000000000004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55000000000000004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55000000000000004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55000000000000004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55000000000000004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55000000000000004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55000000000000004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55000000000000004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55000000000000004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55000000000000004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55000000000000004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55000000000000004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55000000000000004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55000000000000004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55000000000000004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55000000000000004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55000000000000004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55000000000000004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55000000000000004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55000000000000004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55000000000000004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55000000000000004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55000000000000004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55000000000000004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55000000000000004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55000000000000004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55000000000000004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55000000000000004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55000000000000004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55000000000000004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55000000000000004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55000000000000004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55000000000000004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55000000000000004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55000000000000004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55000000000000004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55000000000000004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55000000000000004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55000000000000004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55000000000000004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55000000000000004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55000000000000004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55000000000000004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55000000000000004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55000000000000004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55000000000000004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55000000000000004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55000000000000004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55000000000000004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55000000000000004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55000000000000004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55000000000000004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55000000000000004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55000000000000004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55000000000000004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55000000000000004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55000000000000004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55000000000000004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55000000000000004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55000000000000004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55000000000000004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55000000000000004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55000000000000004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55000000000000004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55000000000000004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55000000000000004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55000000000000004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55000000000000004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55000000000000004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55000000000000004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55000000000000004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55000000000000004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55000000000000004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55000000000000004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55000000000000004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55000000000000004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55000000000000004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55000000000000004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55000000000000004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55000000000000004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55000000000000004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55000000000000004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55000000000000004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55000000000000004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55000000000000004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55000000000000004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55000000000000004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55000000000000004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55000000000000004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55000000000000004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55000000000000004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55000000000000004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55000000000000004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55000000000000004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55000000000000004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55000000000000004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55000000000000004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55000000000000004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55000000000000004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55000000000000004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55000000000000004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55000000000000004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55000000000000004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55000000000000004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55000000000000004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55000000000000004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55000000000000004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55000000000000004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55000000000000004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55000000000000004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55000000000000004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55000000000000004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55000000000000004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55000000000000004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55000000000000004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55000000000000004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55000000000000004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55000000000000004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55000000000000004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55000000000000004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55000000000000004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55000000000000004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55000000000000004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55000000000000004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55000000000000004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55000000000000004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55000000000000004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55000000000000004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55000000000000004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55000000000000004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55000000000000004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55000000000000004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55000000000000004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55000000000000004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55000000000000004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55000000000000004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55000000000000004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55000000000000004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55000000000000004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55000000000000004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55000000000000004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55000000000000004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55000000000000004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55000000000000004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55000000000000004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55000000000000004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55000000000000004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55000000000000004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55000000000000004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55000000000000004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55000000000000004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55000000000000004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55000000000000004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55000000000000004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55000000000000004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55000000000000004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55000000000000004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55000000000000004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55000000000000004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55000000000000004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55000000000000004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55000000000000004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55000000000000004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55000000000000004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55000000000000004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55000000000000004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55000000000000004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55000000000000004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55000000000000004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55000000000000004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55000000000000004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55000000000000004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55000000000000004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55000000000000004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55000000000000004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55000000000000004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55000000000000004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55000000000000004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55000000000000004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55000000000000004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55000000000000004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55000000000000004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55000000000000004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55000000000000004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55000000000000004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55000000000000004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55000000000000004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55000000000000004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55000000000000004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55000000000000004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55000000000000004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55000000000000004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55000000000000004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55000000000000004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55000000000000004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55000000000000004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55000000000000004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55000000000000004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55000000000000004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55000000000000004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55000000000000004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55000000000000004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55000000000000004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55000000000000004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55000000000000004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55000000000000004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55000000000000004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55000000000000004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55000000000000004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55000000000000004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55000000000000004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55000000000000004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55000000000000004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55000000000000004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55000000000000004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55000000000000004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55000000000000004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55000000000000004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55000000000000004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55000000000000004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55000000000000004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55000000000000004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55000000000000004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55000000000000004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55000000000000004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55000000000000004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55000000000000004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55000000000000004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55000000000000004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55000000000000004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55000000000000004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55000000000000004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55000000000000004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55000000000000004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55000000000000004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55000000000000004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55000000000000004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55000000000000004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55000000000000004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55000000000000004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55000000000000004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55000000000000004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55000000000000004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55000000000000004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55000000000000004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55000000000000004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55000000000000004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55000000000000004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55000000000000004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55000000000000004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55000000000000004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55000000000000004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55000000000000004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55000000000000004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55000000000000004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55000000000000004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55000000000000004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55000000000000004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55000000000000004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55000000000000004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55000000000000004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55000000000000004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55000000000000004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55000000000000004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55000000000000004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55000000000000004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55000000000000004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55000000000000004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55000000000000004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55000000000000004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55000000000000004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55000000000000004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55000000000000004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55000000000000004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55000000000000004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55000000000000004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55000000000000004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55000000000000004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55000000000000004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55000000000000004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55000000000000004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55000000000000004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55000000000000004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55000000000000004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55000000000000004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55000000000000004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55000000000000004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55000000000000004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55000000000000004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55000000000000004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55000000000000004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55000000000000004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55000000000000004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55000000000000004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55000000000000004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55000000000000004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55000000000000004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55000000000000004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55000000000000004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55000000000000004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55000000000000004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55000000000000004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55000000000000004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55000000000000004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55000000000000004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55000000000000004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55000000000000004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55000000000000004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55000000000000004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55000000000000004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55000000000000004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55000000000000004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55000000000000004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55000000000000004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55000000000000004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55000000000000004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55000000000000004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55000000000000004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55000000000000004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55000000000000004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55000000000000004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55000000000000004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55000000000000004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55000000000000004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55000000000000004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55000000000000004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55000000000000004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55000000000000004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55000000000000004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55000000000000004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55000000000000004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55000000000000004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55000000000000004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55000000000000004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55000000000000004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55000000000000004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55000000000000004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55000000000000004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55000000000000004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55000000000000004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55000000000000004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55000000000000004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55000000000000004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55000000000000004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55000000000000004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55000000000000004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55000000000000004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55000000000000004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55000000000000004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55000000000000004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55000000000000004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55000000000000004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55000000000000004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55000000000000004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55000000000000004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55000000000000004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55000000000000004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55000000000000004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55000000000000004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55000000000000004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55000000000000004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55000000000000004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55000000000000004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55000000000000004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55000000000000004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55000000000000004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55000000000000004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55000000000000004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55000000000000004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55000000000000004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55000000000000004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55000000000000004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55000000000000004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55000000000000004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55000000000000004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55000000000000004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55000000000000004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55000000000000004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55000000000000004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55000000000000004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55000000000000004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55000000000000004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55000000000000004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55000000000000004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55000000000000004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55000000000000004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55000000000000004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55000000000000004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55000000000000004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55000000000000004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55000000000000004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55000000000000004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55000000000000004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55000000000000004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55000000000000004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55000000000000004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55000000000000004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55000000000000004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55000000000000004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55000000000000004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55000000000000004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55000000000000004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55000000000000004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55000000000000004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55000000000000004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55000000000000004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55000000000000004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55000000000000004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55000000000000004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55000000000000004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55000000000000004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55000000000000004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55000000000000004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55000000000000004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55000000000000004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55000000000000004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55000000000000004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55000000000000004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55000000000000004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55000000000000004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55000000000000004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55000000000000004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55000000000000004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55000000000000004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55000000000000004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55000000000000004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55000000000000004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55000000000000004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55000000000000004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55000000000000004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55000000000000004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55000000000000004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55000000000000004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55000000000000004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55000000000000004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55000000000000004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55000000000000004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55000000000000004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55000000000000004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55000000000000004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55000000000000004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55000000000000004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55000000000000004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55000000000000004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55000000000000004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55000000000000004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55000000000000004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55000000000000004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55000000000000004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55000000000000004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55000000000000004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55000000000000004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55000000000000004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55000000000000004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55000000000000004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55000000000000004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55000000000000004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55000000000000004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55000000000000004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55000000000000004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55000000000000004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55000000000000004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55000000000000004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55000000000000004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55000000000000004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55000000000000004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55000000000000004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55000000000000004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55000000000000004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55000000000000004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55000000000000004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55000000000000004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55000000000000004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55000000000000004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55000000000000004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55000000000000004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55000000000000004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55000000000000004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55000000000000004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55000000000000004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55000000000000004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55000000000000004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55000000000000004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55000000000000004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55000000000000004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55000000000000004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55000000000000004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55000000000000004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55000000000000004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55000000000000004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55000000000000004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55000000000000004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55000000000000004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55000000000000004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55000000000000004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55000000000000004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55000000000000004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55000000000000004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55000000000000004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55000000000000004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55000000000000004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55000000000000004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55000000000000004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55000000000000004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55000000000000004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55000000000000004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55000000000000004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55000000000000004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55000000000000004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55000000000000004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55000000000000004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55000000000000004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55000000000000004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55000000000000004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55000000000000004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55000000000000004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55000000000000004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55000000000000004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55000000000000004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55000000000000004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55000000000000004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55000000000000004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55000000000000004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55000000000000004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55000000000000004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55000000000000004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55000000000000004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55000000000000004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55000000000000004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55000000000000004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55000000000000004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55000000000000004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55000000000000004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55000000000000004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55000000000000004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55000000000000004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55000000000000004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55000000000000004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55000000000000004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55000000000000004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55000000000000004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55000000000000004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55000000000000004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55000000000000004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55000000000000004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55000000000000004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55000000000000004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55000000000000004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55000000000000004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55000000000000004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55000000000000004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55000000000000004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55000000000000004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55000000000000004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55000000000000004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55000000000000004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55000000000000004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55000000000000004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55000000000000004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55000000000000004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55000000000000004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55000000000000004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55000000000000004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55000000000000004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55000000000000004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55000000000000004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55000000000000004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55000000000000004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55000000000000004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55000000000000004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55000000000000004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55000000000000004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55000000000000004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55000000000000004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55000000000000004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55000000000000004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55000000000000004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55000000000000004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55000000000000004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55000000000000004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55000000000000004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55000000000000004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55000000000000004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55000000000000004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55000000000000004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55000000000000004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55000000000000004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55000000000000004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55000000000000004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55000000000000004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55000000000000004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55000000000000004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55000000000000004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55000000000000004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55000000000000004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55000000000000004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55000000000000004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55000000000000004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55000000000000004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55000000000000004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55000000000000004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55000000000000004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55000000000000004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55000000000000004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55000000000000004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55000000000000004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55000000000000004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55000000000000004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55000000000000004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55000000000000004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55000000000000004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55000000000000004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55000000000000004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55000000000000004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55000000000000004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55000000000000004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55000000000000004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55000000000000004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55000000000000004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55000000000000004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55000000000000004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55000000000000004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55000000000000004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55000000000000004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55000000000000004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55000000000000004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55000000000000004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55000000000000004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55000000000000004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55000000000000004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55000000000000004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55000000000000004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55000000000000004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55000000000000004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55000000000000004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55000000000000004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55000000000000004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55000000000000004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55000000000000004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55000000000000004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55000000000000004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55000000000000004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55000000000000004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55000000000000004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55000000000000004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55000000000000004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55000000000000004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55000000000000004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55000000000000004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55000000000000004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55000000000000004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55000000000000004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55000000000000004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55000000000000004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55000000000000004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55000000000000004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55000000000000004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55000000000000004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55000000000000004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55000000000000004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55000000000000004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55000000000000004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55000000000000004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55000000000000004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55000000000000004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55000000000000004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55000000000000004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55000000000000004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55000000000000004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55000000000000004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55000000000000004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55000000000000004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55000000000000004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55000000000000004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55000000000000004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55000000000000004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55000000000000004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55000000000000004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55000000000000004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55000000000000004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55000000000000004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55000000000000004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55000000000000004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55000000000000004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55000000000000004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55000000000000004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55000000000000004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55000000000000004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55000000000000004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55000000000000004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55000000000000004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55000000000000004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55000000000000004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55000000000000004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55000000000000004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55000000000000004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55000000000000004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55000000000000004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55000000000000004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55000000000000004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55000000000000004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55000000000000004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55000000000000004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55000000000000004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55000000000000004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55000000000000004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55000000000000004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55000000000000004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55000000000000004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55000000000000004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55000000000000004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55000000000000004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55000000000000004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55000000000000004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55000000000000004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55000000000000004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55000000000000004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55000000000000004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55000000000000004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55000000000000004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55000000000000004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55000000000000004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55000000000000004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55000000000000004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55000000000000004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55000000000000004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55000000000000004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55000000000000004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55000000000000004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55000000000000004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55000000000000004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55000000000000004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55000000000000004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55000000000000004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55000000000000004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55000000000000004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55000000000000004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55000000000000004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55000000000000004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55000000000000004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55000000000000004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55000000000000004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55000000000000004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55000000000000004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55000000000000004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55000000000000004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55000000000000004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55000000000000004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55000000000000004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55000000000000004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55000000000000004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55000000000000004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55000000000000004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55000000000000004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55000000000000004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55000000000000004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55000000000000004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55000000000000004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55000000000000004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55000000000000004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55000000000000004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55000000000000004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55000000000000004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55000000000000004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55000000000000004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55000000000000004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55000000000000004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55000000000000004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55000000000000004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55000000000000004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55000000000000004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55000000000000004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55000000000000004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55000000000000004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55000000000000004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55000000000000004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55000000000000004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55000000000000004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55000000000000004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55000000000000004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55000000000000004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55000000000000004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55000000000000004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55000000000000004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55000000000000004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55000000000000004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55000000000000004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55000000000000004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55000000000000004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55000000000000004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55000000000000004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55000000000000004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55000000000000004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55000000000000004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55000000000000004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55000000000000004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55000000000000004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55000000000000004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55000000000000004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55000000000000004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55000000000000004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55000000000000004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55000000000000004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55000000000000004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55000000000000004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55000000000000004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55000000000000004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55000000000000004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55000000000000004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55000000000000004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55000000000000004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55000000000000004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55000000000000004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55000000000000004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55000000000000004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55000000000000004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55000000000000004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55000000000000004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55000000000000004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55000000000000004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55000000000000004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55000000000000004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55000000000000004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55000000000000004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55000000000000004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55000000000000004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55000000000000004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55000000000000004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55000000000000004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55000000000000004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55000000000000004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55000000000000004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55000000000000004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55000000000000004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55000000000000004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55000000000000004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55000000000000004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55000000000000004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55000000000000004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55000000000000004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55000000000000004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55000000000000004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55000000000000004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55000000000000004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55000000000000004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55000000000000004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55000000000000004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55000000000000004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55000000000000004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55000000000000004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55000000000000004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55000000000000004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55000000000000004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55000000000000004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55000000000000004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55000000000000004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55000000000000004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55000000000000004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55000000000000004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55000000000000004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55000000000000004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55000000000000004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55000000000000004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55000000000000004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55000000000000004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55000000000000004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55000000000000004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55000000000000004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55000000000000004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55000000000000004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55000000000000004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55000000000000004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55000000000000004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55000000000000004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55000000000000004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55000000000000004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55000000000000004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55000000000000004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55000000000000004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55000000000000004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55000000000000004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55000000000000004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55000000000000004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55000000000000004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55000000000000004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55000000000000004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55000000000000004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55000000000000004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55000000000000004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55000000000000004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55000000000000004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55000000000000004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55000000000000004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55000000000000004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55000000000000004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55000000000000004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55000000000000004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55000000000000004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55000000000000004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55000000000000004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55000000000000004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55000000000000004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55000000000000004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55000000000000004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55000000000000004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55000000000000004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55000000000000004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55000000000000004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55000000000000004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55000000000000004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55000000000000004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55000000000000004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55000000000000004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55000000000000004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55000000000000004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55000000000000004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55000000000000004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55000000000000004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55000000000000004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55000000000000004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55000000000000004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55000000000000004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55000000000000004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55000000000000004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55000000000000004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55000000000000004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55000000000000004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55000000000000004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55000000000000004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55000000000000004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55000000000000004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55000000000000004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55000000000000004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55000000000000004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55000000000000004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55000000000000004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55000000000000004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55000000000000004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55000000000000004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55000000000000004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55000000000000004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55000000000000004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55000000000000004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55000000000000004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55000000000000004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55000000000000004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55000000000000004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55000000000000004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55000000000000004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55000000000000004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55000000000000004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55000000000000004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55000000000000004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55000000000000004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55000000000000004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55000000000000004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55000000000000004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55000000000000004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55000000000000004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55000000000000004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55000000000000004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55000000000000004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55000000000000004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55000000000000004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55000000000000004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55000000000000004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55000000000000004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55000000000000004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55000000000000004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55000000000000004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55000000000000004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55000000000000004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55000000000000004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55000000000000004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55000000000000004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55000000000000004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55000000000000004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55000000000000004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55000000000000004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55000000000000004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55000000000000004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55000000000000004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55000000000000004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55000000000000004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55000000000000004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55000000000000004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55000000000000004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55000000000000004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55000000000000004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55000000000000004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55000000000000004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55000000000000004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55000000000000004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55000000000000004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55000000000000004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55000000000000004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55000000000000004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55000000000000004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55000000000000004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55000000000000004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55000000000000004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55000000000000004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55000000000000004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55000000000000004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55000000000000004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55000000000000004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55000000000000004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55000000000000004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55000000000000004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55000000000000004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55000000000000004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55000000000000004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55000000000000004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55000000000000004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55000000000000004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55000000000000004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55000000000000004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55000000000000004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55000000000000004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55000000000000004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55000000000000004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55000000000000004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55000000000000004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55000000000000004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55000000000000004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55000000000000004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55000000000000004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55000000000000004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55000000000000004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55000000000000004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55000000000000004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55000000000000004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55000000000000004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55000000000000004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55000000000000004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55000000000000004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55000000000000004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55000000000000004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55000000000000004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55000000000000004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55000000000000004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55000000000000004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55000000000000004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55000000000000004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55000000000000004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55000000000000004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55000000000000004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55000000000000004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55000000000000004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55000000000000004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55000000000000004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55000000000000004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55000000000000004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55000000000000004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55000000000000004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55000000000000004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55000000000000004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55000000000000004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55000000000000004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55000000000000004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55000000000000004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55000000000000004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55000000000000004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55000000000000004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55000000000000004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55000000000000004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55000000000000004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55000000000000004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55000000000000004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55000000000000004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55000000000000004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55000000000000004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55000000000000004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55000000000000004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55000000000000004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55000000000000004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55000000000000004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55000000000000004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55000000000000004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55000000000000004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55000000000000004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55000000000000004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55000000000000004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55000000000000004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55000000000000004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55000000000000004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55000000000000004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55000000000000004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55000000000000004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55000000000000004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55000000000000004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55000000000000004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55000000000000004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55000000000000004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55000000000000004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55000000000000004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55000000000000004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55000000000000004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55000000000000004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55000000000000004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55000000000000004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55000000000000004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55000000000000004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55000000000000004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55000000000000004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55000000000000004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55000000000000004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55000000000000004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55000000000000004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55000000000000004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55000000000000004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55000000000000004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55000000000000004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55000000000000004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55000000000000004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55000000000000004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55000000000000004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55000000000000004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55000000000000004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55000000000000004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55000000000000004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55000000000000004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55000000000000004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55000000000000004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55000000000000004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55000000000000004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55000000000000004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55000000000000004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55000000000000004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55000000000000004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55000000000000004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55000000000000004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55000000000000004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55000000000000004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55000000000000004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55000000000000004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55000000000000004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55000000000000004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55000000000000004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55000000000000004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55000000000000004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55000000000000004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55000000000000004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55000000000000004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55000000000000004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55000000000000004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55000000000000004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55000000000000004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55000000000000004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55000000000000004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55000000000000004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55000000000000004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55000000000000004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55000000000000004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55000000000000004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55000000000000004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55000000000000004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55000000000000004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55000000000000004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55000000000000004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55000000000000004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55000000000000004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55000000000000004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55000000000000004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55000000000000004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55000000000000004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55000000000000004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55000000000000004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55000000000000004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55000000000000004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55000000000000004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55000000000000004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55000000000000004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55000000000000004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55000000000000004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55000000000000004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55000000000000004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55000000000000004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55000000000000004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55000000000000004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55000000000000004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55000000000000004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55000000000000004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55000000000000004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55000000000000004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55000000000000004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55000000000000004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55000000000000004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55000000000000004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55000000000000004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55000000000000004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55000000000000004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55000000000000004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55000000000000004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55000000000000004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55000000000000004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55000000000000004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55000000000000004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55000000000000004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55000000000000004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55000000000000004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55000000000000004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55000000000000004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55000000000000004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55000000000000004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55000000000000004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55000000000000004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55000000000000004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55000000000000004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55000000000000004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55000000000000004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55000000000000004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55000000000000004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55000000000000004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55000000000000004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55000000000000004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55000000000000004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55000000000000004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55000000000000004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55000000000000004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55000000000000004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55000000000000004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55000000000000004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55000000000000004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55000000000000004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55000000000000004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55000000000000004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55000000000000004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55000000000000004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55000000000000004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55000000000000004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55000000000000004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55000000000000004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55000000000000004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55000000000000004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55000000000000004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55000000000000004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55000000000000004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55000000000000004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55000000000000004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55000000000000004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55000000000000004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55000000000000004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55000000000000004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55000000000000004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55000000000000004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55000000000000004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55000000000000004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55000000000000004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55000000000000004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55000000000000004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55000000000000004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55000000000000004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55000000000000004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55000000000000004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55000000000000004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55000000000000004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55000000000000004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55000000000000004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55000000000000004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55000000000000004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55000000000000004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55000000000000004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55000000000000004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55000000000000004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55000000000000004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55000000000000004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55000000000000004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55000000000000004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55000000000000004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55000000000000004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55000000000000004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55000000000000004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55000000000000004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55000000000000004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55000000000000004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55000000000000004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55000000000000004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55000000000000004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55000000000000004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55000000000000004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55000000000000004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55000000000000004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55000000000000004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55000000000000004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55000000000000004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55000000000000004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55000000000000004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55000000000000004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55000000000000004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55000000000000004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55000000000000004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55000000000000004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55000000000000004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55000000000000004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55000000000000004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55000000000000004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55000000000000004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55000000000000004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55000000000000004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55000000000000004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55000000000000004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55000000000000004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55000000000000004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55000000000000004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55000000000000004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55000000000000004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55000000000000004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55000000000000004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55000000000000004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55000000000000004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55000000000000004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55000000000000004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55000000000000004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55000000000000004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55000000000000004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55000000000000004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55000000000000004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55000000000000004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55000000000000004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55000000000000004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55000000000000004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55000000000000004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55000000000000004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55000000000000004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55000000000000004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55000000000000004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55000000000000004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55000000000000004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55000000000000004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55000000000000004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55000000000000004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55000000000000004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55000000000000004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55000000000000004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55000000000000004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55000000000000004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55000000000000004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55000000000000004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55000000000000004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55000000000000004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55000000000000004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55000000000000004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55000000000000004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55000000000000004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55000000000000004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55000000000000004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55000000000000004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55000000000000004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55000000000000004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55000000000000004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55000000000000004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55000000000000004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55000000000000004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55000000000000004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55000000000000004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55000000000000004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55000000000000004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55000000000000004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55000000000000004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55000000000000004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55000000000000004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55000000000000004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55000000000000004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55000000000000004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55000000000000004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55000000000000004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55000000000000004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55000000000000004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55000000000000004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55000000000000004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55000000000000004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55000000000000004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55000000000000004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55000000000000004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55000000000000004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55000000000000004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55000000000000004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55000000000000004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55000000000000004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55000000000000004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55000000000000004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55000000000000004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55000000000000004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55000000000000004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55000000000000004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55000000000000004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55000000000000004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55000000000000004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55000000000000004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55000000000000004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55000000000000004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55000000000000004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55000000000000004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55000000000000004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55000000000000004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55000000000000004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55000000000000004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55000000000000004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55000000000000004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55000000000000004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55000000000000004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55000000000000004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55000000000000004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55000000000000004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55000000000000004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55000000000000004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55000000000000004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55000000000000004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55000000000000004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55000000000000004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55000000000000004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55000000000000004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55000000000000004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55000000000000004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55000000000000004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55000000000000004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55000000000000004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55000000000000004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55000000000000004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55000000000000004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55000000000000004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55000000000000004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55000000000000004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55000000000000004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55000000000000004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55000000000000004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55000000000000004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55000000000000004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55000000000000004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55000000000000004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55000000000000004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55000000000000004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55000000000000004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55000000000000004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55000000000000004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55000000000000004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55000000000000004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55000000000000004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55000000000000004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55000000000000004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55000000000000004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55000000000000004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55000000000000004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55000000000000004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55000000000000004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55000000000000004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55000000000000004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55000000000000004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55000000000000004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55000000000000004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55000000000000004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55000000000000004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55000000000000004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55000000000000004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55000000000000004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55000000000000004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55000000000000004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55000000000000004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55000000000000004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55000000000000004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55000000000000004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55000000000000004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55000000000000004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55000000000000004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55000000000000004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55000000000000004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55000000000000004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55000000000000004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55000000000000004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55000000000000004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55000000000000004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55000000000000004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55000000000000004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55000000000000004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55000000000000004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55000000000000004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55000000000000004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55000000000000004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55000000000000004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55000000000000004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55000000000000004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55000000000000004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55000000000000004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55000000000000004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55000000000000004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55000000000000004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55000000000000004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55000000000000004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55000000000000004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55000000000000004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55000000000000004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55000000000000004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55000000000000004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55000000000000004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55000000000000004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55000000000000004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55000000000000004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55000000000000004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55000000000000004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55000000000000004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55000000000000004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55000000000000004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55000000000000004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55000000000000004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55000000000000004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55000000000000004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55000000000000004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55000000000000004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55000000000000004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55000000000000004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55000000000000004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55000000000000004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55000000000000004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55000000000000004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55000000000000004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55000000000000004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55000000000000004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55000000000000004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55000000000000004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55000000000000004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55000000000000004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55000000000000004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55000000000000004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55000000000000004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sqref="A1:I4"/>
    </sheetView>
  </sheetViews>
  <sheetFormatPr defaultRowHeight="14.4" x14ac:dyDescent="0.55000000000000004"/>
  <cols>
    <col min="1" max="1" width="19.578125" bestFit="1" customWidth="1"/>
    <col min="2" max="2" width="14.26171875" bestFit="1" customWidth="1"/>
    <col min="3" max="3" width="14.578125" bestFit="1" customWidth="1"/>
    <col min="4" max="4" width="7.26171875" bestFit="1" customWidth="1"/>
    <col min="5" max="7" width="9.26171875" bestFit="1" customWidth="1"/>
    <col min="8" max="8" width="6.578125" bestFit="1" customWidth="1"/>
    <col min="9" max="9" width="10" bestFit="1" customWidth="1"/>
  </cols>
  <sheetData>
    <row r="1" spans="1:9" x14ac:dyDescent="0.55000000000000004">
      <c r="A1" s="2" t="s">
        <v>22310</v>
      </c>
      <c r="B1" s="2" t="s">
        <v>22311</v>
      </c>
      <c r="C1" s="2" t="s">
        <v>22312</v>
      </c>
      <c r="D1" s="2" t="s">
        <v>22313</v>
      </c>
      <c r="E1" s="2" t="s">
        <v>22314</v>
      </c>
      <c r="F1" s="2" t="s">
        <v>22315</v>
      </c>
      <c r="G1" s="2" t="s">
        <v>22316</v>
      </c>
      <c r="H1" s="2" t="s">
        <v>22317</v>
      </c>
      <c r="I1" s="2" t="s">
        <v>22318</v>
      </c>
    </row>
    <row r="2" spans="1:9" x14ac:dyDescent="0.55000000000000004">
      <c r="A2" s="2" t="s">
        <v>7</v>
      </c>
      <c r="B2" s="3">
        <v>30000</v>
      </c>
      <c r="C2" s="3">
        <v>65000</v>
      </c>
      <c r="D2" s="4">
        <v>0.1</v>
      </c>
      <c r="E2" s="4">
        <v>0.15</v>
      </c>
      <c r="F2" s="4">
        <v>0.18</v>
      </c>
      <c r="G2" s="4">
        <v>0.22</v>
      </c>
      <c r="H2" s="4">
        <v>0.1</v>
      </c>
      <c r="I2" s="3">
        <v>500000</v>
      </c>
    </row>
    <row r="3" spans="1:9" x14ac:dyDescent="0.55000000000000004">
      <c r="A3" s="2" t="s">
        <v>29</v>
      </c>
      <c r="B3" s="3">
        <v>50000</v>
      </c>
      <c r="C3" s="3">
        <v>80000</v>
      </c>
      <c r="D3" s="4">
        <v>0.13</v>
      </c>
      <c r="E3" s="4">
        <v>0.17</v>
      </c>
      <c r="F3" s="4">
        <v>0.21</v>
      </c>
      <c r="G3" s="4">
        <v>0.26</v>
      </c>
      <c r="H3" s="4">
        <v>0.13</v>
      </c>
      <c r="I3" s="3">
        <v>600000</v>
      </c>
    </row>
    <row r="4" spans="1:9" x14ac:dyDescent="0.55000000000000004">
      <c r="A4" s="2" t="s">
        <v>10</v>
      </c>
      <c r="B4" s="3">
        <v>75000</v>
      </c>
      <c r="C4" s="3">
        <v>125000</v>
      </c>
      <c r="D4" s="4">
        <v>0.15</v>
      </c>
      <c r="E4" s="4">
        <v>0.19</v>
      </c>
      <c r="F4" s="4">
        <v>0.23</v>
      </c>
      <c r="G4" s="4">
        <v>0.3</v>
      </c>
      <c r="H4" s="4">
        <v>0.15</v>
      </c>
      <c r="I4" s="3">
        <v>750000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sqref="A1:D4"/>
    </sheetView>
  </sheetViews>
  <sheetFormatPr defaultRowHeight="14.4" x14ac:dyDescent="0.55000000000000004"/>
  <cols>
    <col min="1" max="1" width="19.578125" bestFit="1" customWidth="1"/>
    <col min="2" max="2" width="15.578125" bestFit="1" customWidth="1"/>
    <col min="3" max="3" width="22.578125" bestFit="1" customWidth="1"/>
    <col min="4" max="4" width="19.578125" bestFit="1" customWidth="1"/>
  </cols>
  <sheetData>
    <row r="1" spans="1:4" x14ac:dyDescent="0.55000000000000004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55000000000000004">
      <c r="A2" t="s">
        <v>7</v>
      </c>
      <c r="B2" s="5">
        <v>50000</v>
      </c>
      <c r="C2" s="5">
        <v>75000</v>
      </c>
      <c r="D2" s="5">
        <f>SUM(B2:C2)</f>
        <v>125000</v>
      </c>
    </row>
    <row r="3" spans="1:4" x14ac:dyDescent="0.55000000000000004">
      <c r="A3" t="s">
        <v>29</v>
      </c>
      <c r="B3" s="5">
        <v>65000</v>
      </c>
      <c r="C3" s="5">
        <v>95000</v>
      </c>
      <c r="D3" s="5">
        <f>SUM(B3:C3)</f>
        <v>160000</v>
      </c>
    </row>
    <row r="4" spans="1:4" x14ac:dyDescent="0.55000000000000004">
      <c r="A4" t="s">
        <v>10</v>
      </c>
      <c r="B4" s="5">
        <v>85000</v>
      </c>
      <c r="C4" s="5">
        <v>125000</v>
      </c>
      <c r="D4" s="5">
        <f>SUM(B4:C4)</f>
        <v>210000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2067-38FC-4C47-BAEC-C812D43470A5}">
  <dimension ref="A1:AB1001"/>
  <sheetViews>
    <sheetView workbookViewId="0">
      <selection activeCell="H2" sqref="H2"/>
    </sheetView>
  </sheetViews>
  <sheetFormatPr defaultRowHeight="14.4" x14ac:dyDescent="0.55000000000000004"/>
  <cols>
    <col min="1" max="1" width="14.15625" customWidth="1"/>
    <col min="2" max="2" width="12.68359375" bestFit="1" customWidth="1"/>
    <col min="3" max="3" width="13.26171875" bestFit="1" customWidth="1"/>
    <col min="4" max="4" width="14.15625" bestFit="1" customWidth="1"/>
    <col min="5" max="5" width="19.578125" bestFit="1" customWidth="1"/>
    <col min="6" max="6" width="7" bestFit="1" customWidth="1"/>
    <col min="7" max="7" width="16.9453125" bestFit="1" customWidth="1"/>
    <col min="8" max="8" width="16.3671875" bestFit="1" customWidth="1"/>
    <col min="9" max="10" width="11.7890625" bestFit="1" customWidth="1"/>
    <col min="11" max="11" width="12.26171875" bestFit="1" customWidth="1"/>
    <col min="12" max="12" width="10.7890625" bestFit="1" customWidth="1"/>
    <col min="13" max="13" width="9.68359375" bestFit="1" customWidth="1"/>
    <col min="14" max="14" width="9.26171875" bestFit="1" customWidth="1"/>
    <col min="15" max="19" width="9.3125" bestFit="1" customWidth="1"/>
    <col min="20" max="20" width="15.15625" bestFit="1" customWidth="1"/>
    <col min="21" max="24" width="9.3125" bestFit="1" customWidth="1"/>
    <col min="25" max="25" width="9.89453125" bestFit="1" customWidth="1"/>
    <col min="26" max="26" width="9.3125" bestFit="1" customWidth="1"/>
    <col min="27" max="27" width="15.15625" bestFit="1" customWidth="1"/>
    <col min="28" max="28" width="9.3125" bestFit="1" customWidth="1"/>
  </cols>
  <sheetData>
    <row r="1" spans="1:28" x14ac:dyDescent="0.55000000000000004">
      <c r="A1" s="12" t="s">
        <v>22365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2" t="s">
        <v>22323</v>
      </c>
      <c r="H1" s="12" t="s">
        <v>22324</v>
      </c>
      <c r="I1" s="12" t="s">
        <v>22318</v>
      </c>
      <c r="J1" s="13">
        <v>1.25</v>
      </c>
      <c r="K1" s="13">
        <v>1.5</v>
      </c>
      <c r="L1" s="13">
        <v>2</v>
      </c>
      <c r="M1" s="6" t="s">
        <v>22325</v>
      </c>
      <c r="N1" s="6" t="s">
        <v>22326</v>
      </c>
      <c r="O1" s="6" t="s">
        <v>22313</v>
      </c>
      <c r="P1" s="6" t="s">
        <v>22314</v>
      </c>
      <c r="Q1" s="6" t="s">
        <v>22315</v>
      </c>
      <c r="R1" s="6" t="s">
        <v>22316</v>
      </c>
      <c r="S1" s="6" t="s">
        <v>22317</v>
      </c>
      <c r="T1" s="6" t="s">
        <v>22327</v>
      </c>
      <c r="U1" s="6" t="s">
        <v>22328</v>
      </c>
      <c r="V1" s="15" t="s">
        <v>22313</v>
      </c>
      <c r="W1" s="15" t="s">
        <v>22314</v>
      </c>
      <c r="X1" s="15" t="s">
        <v>22315</v>
      </c>
      <c r="Y1" s="15" t="s">
        <v>22316</v>
      </c>
      <c r="Z1" s="15" t="s">
        <v>22317</v>
      </c>
      <c r="AA1" s="15" t="s">
        <v>22327</v>
      </c>
      <c r="AB1" s="15" t="s">
        <v>22328</v>
      </c>
    </row>
    <row r="2" spans="1:28" x14ac:dyDescent="0.55000000000000004">
      <c r="A2" t="str">
        <f t="shared" ref="A2:A65" si="0">CONCATENATE(C2," ",D2)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COUNTIF(deals_closed!$D$2:$D$20001,Calculations!B260)</f>
        <v>20</v>
      </c>
      <c r="H2" s="7">
        <f>SUMIF(deals_closed!$D:$D,Calculations!B260,deals_closed!$C:$C)</f>
        <v>742207</v>
      </c>
      <c r="I2" s="5">
        <f>VLOOKUP(E2,'2018_commission_structure'!$A$1:$I$4,9,FALSE)</f>
        <v>500000</v>
      </c>
      <c r="J2" s="9">
        <f t="shared" ref="J2:J65" si="1">I2*1.25</f>
        <v>625000</v>
      </c>
      <c r="K2" s="10">
        <f t="shared" ref="K2:K65" si="2">I2*1.5</f>
        <v>750000</v>
      </c>
      <c r="L2" s="9">
        <f t="shared" ref="L2:L65" si="3">I2*2</f>
        <v>1000000</v>
      </c>
      <c r="M2" s="8">
        <f t="shared" ref="M2:M65" si="4">H2/I2</f>
        <v>1.4844139999999999</v>
      </c>
      <c r="N2" t="str">
        <f t="shared" ref="N2:N65" si="5">IF(M2&lt;=100%,"0-100%",IF(M2&lt;=125%,"100-125%",IF(M2&lt;=150%,"125-150%",IF(M2&lt;=200%,"150-200%","&gt;200%"))))</f>
        <v>125-150%</v>
      </c>
      <c r="O2" s="9">
        <f>MIN($H2,$I2)*INDEX('2018_commission_structure'!$A$1:$I$4,MATCH($E2,'2018_commission_structure'!$A$1:$A$4,0),MATCH(O$1,'2018_commission_structure'!$A$1:$I$1,0))</f>
        <v>50000</v>
      </c>
      <c r="P2" s="9">
        <f>IF(H2&gt;I2, MIN(H2-I2, J2-I2)*INDEX('2018_commission_structure'!$A$1:$I$4,MATCH($E2,'2018_commission_structure'!$A$1:$A$4,0),MATCH(P$1,'2018_commission_structure'!$A$1:$I$1,0)),0)</f>
        <v>18750</v>
      </c>
      <c r="Q2" s="9">
        <f>IF($H2&gt;J2, MIN($H2-J2, K2-J2)*INDEX('2018_commission_structure'!$A$1:$I$4,MATCH($E2,'2018_commission_structure'!$A$1:$A$4,0),MATCH(Q$1,'2018_commission_structure'!$A$1:$I$1,0)),0)</f>
        <v>21097.26</v>
      </c>
      <c r="R2" s="9">
        <f>IF($H2&gt;K2, MIN($H2-K2, L2-K2)*INDEX('2018_commission_structure'!$A$1:$I$4,MATCH($E2,'2018_commission_structure'!$A$1:$A$4,0),MATCH(R$1,'2018_commission_structure'!$A$1:$I$1,0)),0)</f>
        <v>0</v>
      </c>
      <c r="S2" s="9">
        <f>IF(H2&gt;L2,(H2-L2)*INDEX('2018_commission_structure'!$A$1:$I$4,MATCH($E2,'2018_commission_structure'!$A$1:$A$4,0),MATCH(S$1,'2018_commission_structure'!$A$1:$I$1,0)),0)</f>
        <v>0</v>
      </c>
      <c r="T2" s="9">
        <f t="shared" ref="T2:T65" si="6">SUM(O2:S2)</f>
        <v>89847.26</v>
      </c>
      <c r="U2" s="9">
        <f t="shared" ref="U2:U65" si="7">F2+T2</f>
        <v>145285.26</v>
      </c>
      <c r="V2" s="9">
        <f>MIN($I2,$H2)*INDEX('Key Metrics'!$E$16:$N$19,MATCH($E2,'Key Metrics'!$E$16:$E$19,0),MATCH(V$1,'Key Metrics'!$E$16:$M$16,0))</f>
        <v>60000</v>
      </c>
      <c r="W2" s="9">
        <f>IF($H2&gt;I2, MIN($H2-I2, J2-I2)*INDEX('Key Metrics'!$E$16:$N$19,MATCH($E2,'Key Metrics'!$E$16:$E$19,0),MATCH(W$1,'Key Metrics'!$E$16:$M$16,0)),0)</f>
        <v>21250</v>
      </c>
      <c r="X2" s="9">
        <f>IF($H2&gt;J2, MIN($H2-J2, K2-J2)*INDEX('Key Metrics'!$E$16:$N$19,MATCH($E2,'Key Metrics'!$E$16:$E$19,0),MATCH(X$1,'Key Metrics'!$E$16:$M$16,0)),0)</f>
        <v>23441.4</v>
      </c>
      <c r="Y2" s="9">
        <f>IF($H2&gt;K2, MIN($H2-K2, L2-K2)*INDEX('Key Metrics'!$E$16:$N$19,MATCH($E2,'Key Metrics'!$E$16:$E$19,0),MATCH(Y$1,'Key Metrics'!$E$16:$M$16,0)),0)</f>
        <v>0</v>
      </c>
      <c r="Z2" s="9">
        <f>IF($H2&gt;L2,($H2-L2)*INDEX('Key Metrics'!$E$16:$N$19,MATCH($E2,'Key Metrics'!$E$16:$E$19,0),MATCH(Z$1,'Key Metrics'!$E$16:$M$16,0)),0)</f>
        <v>0</v>
      </c>
      <c r="AA2" s="9">
        <f t="shared" ref="AA2:AA65" si="8">SUM(V2:Z2)</f>
        <v>104691.4</v>
      </c>
      <c r="AB2" s="9">
        <f t="shared" ref="AB2:AB65" si="9">M2+AA2</f>
        <v>104692.884414</v>
      </c>
    </row>
    <row r="3" spans="1:28" x14ac:dyDescent="0.55000000000000004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COUNTIF(deals_closed!$D$2:$D$20001,Calculations!B405)</f>
        <v>20</v>
      </c>
      <c r="H3" s="7">
        <f>SUMIF(deals_closed!$D:$D,Calculations!B405,deals_closed!$C:$C)</f>
        <v>763688</v>
      </c>
      <c r="I3" s="5">
        <f>VLOOKUP(E3,'2018_commission_structure'!$A$1:$I$4,9,FALSE)</f>
        <v>600000</v>
      </c>
      <c r="J3" s="9">
        <f t="shared" si="1"/>
        <v>750000</v>
      </c>
      <c r="K3" s="10">
        <f t="shared" si="2"/>
        <v>900000</v>
      </c>
      <c r="L3" s="9">
        <f t="shared" si="3"/>
        <v>1200000</v>
      </c>
      <c r="M3" s="8">
        <f t="shared" si="4"/>
        <v>1.2728133333333334</v>
      </c>
      <c r="N3" t="str">
        <f t="shared" si="5"/>
        <v>125-150%</v>
      </c>
      <c r="O3" s="9">
        <f>MIN($H3,$I3)*INDEX('2018_commission_structure'!$A$1:$I$4,MATCH($E3,'2018_commission_structure'!$A$1:$A$4,0),MATCH(O$1,'2018_commission_structure'!$A$1:$I$1,0))</f>
        <v>78000</v>
      </c>
      <c r="P3" s="9">
        <f>IF(H3&gt;I3, MIN(H3-I3, J3-I3)*INDEX('2018_commission_structure'!$A$1:$I$4,MATCH($E3,'2018_commission_structure'!$A$1:$A$4,0),MATCH(P$1,'2018_commission_structure'!$A$1:$I$1,0)),0)</f>
        <v>25500.000000000004</v>
      </c>
      <c r="Q3" s="9">
        <f>IF($H3&gt;J3, MIN($H3-J3, K3-J3)*INDEX('2018_commission_structure'!$A$1:$I$4,MATCH($E3,'2018_commission_structure'!$A$1:$A$4,0),MATCH(Q$1,'2018_commission_structure'!$A$1:$I$1,0)),0)</f>
        <v>2874.48</v>
      </c>
      <c r="R3" s="9">
        <f>IF($H3&gt;K3, MIN($H3-K3, L3-K3)*INDEX('2018_commission_structure'!$A$1:$I$4,MATCH($E3,'2018_commission_structure'!$A$1:$A$4,0),MATCH(R$1,'2018_commission_structure'!$A$1:$I$1,0)),0)</f>
        <v>0</v>
      </c>
      <c r="S3" s="9">
        <f>IF(H3&gt;L3,(H3-L3)*INDEX('2018_commission_structure'!$A$1:$I$4,MATCH($E3,'2018_commission_structure'!$A$1:$A$4,0),MATCH(S$1,'2018_commission_structure'!$A$1:$I$1,0)),0)</f>
        <v>0</v>
      </c>
      <c r="T3" s="9">
        <f t="shared" si="6"/>
        <v>106374.48</v>
      </c>
      <c r="U3" s="9">
        <f t="shared" si="7"/>
        <v>173455.47999999998</v>
      </c>
      <c r="V3" s="9">
        <f>MIN($I3,$H3)*INDEX('Key Metrics'!$E$16:$N$19,MATCH($E3,'Key Metrics'!$E$16:$E$19,0),MATCH(V$1,'Key Metrics'!$E$16:$M$16,0))</f>
        <v>90000</v>
      </c>
      <c r="W3" s="9">
        <f>IF($H3&gt;I3, MIN($H3-I3, J3-I3)*INDEX('Key Metrics'!$E$16:$N$19,MATCH($E3,'Key Metrics'!$E$16:$E$19,0),MATCH(W$1,'Key Metrics'!$E$16:$M$16,0)),0)</f>
        <v>27000</v>
      </c>
      <c r="X3" s="9">
        <f>IF($H3&gt;J3, MIN($H3-J3, K3-J3)*INDEX('Key Metrics'!$E$16:$N$19,MATCH($E3,'Key Metrics'!$E$16:$E$19,0),MATCH(X$1,'Key Metrics'!$E$16:$M$16,0)),0)</f>
        <v>3422</v>
      </c>
      <c r="Y3" s="9">
        <f>IF($H3&gt;K3, MIN($H3-K3, L3-K3)*INDEX('Key Metrics'!$E$16:$N$19,MATCH($E3,'Key Metrics'!$E$16:$E$19,0),MATCH(Y$1,'Key Metrics'!$E$16:$M$16,0)),0)</f>
        <v>0</v>
      </c>
      <c r="Z3" s="9">
        <f>IF($H3&gt;L3,($H3-L3)*INDEX('Key Metrics'!$E$16:$N$19,MATCH($E3,'Key Metrics'!$E$16:$E$19,0),MATCH(Z$1,'Key Metrics'!$E$16:$M$16,0)),0)</f>
        <v>0</v>
      </c>
      <c r="AA3" s="9">
        <f t="shared" si="8"/>
        <v>120422</v>
      </c>
      <c r="AB3" s="9">
        <f t="shared" si="9"/>
        <v>120423.27281333333</v>
      </c>
    </row>
    <row r="4" spans="1:28" x14ac:dyDescent="0.55000000000000004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COUNTIF(deals_closed!$D$2:$D$20001,Calculations!B476)</f>
        <v>17</v>
      </c>
      <c r="H4" s="7">
        <f>SUMIF(deals_closed!$D:$D,Calculations!B476,deals_closed!$C:$C)</f>
        <v>602144</v>
      </c>
      <c r="I4" s="5">
        <f>VLOOKUP(E4,'2018_commission_structure'!$A$1:$I$4,9,FALSE)</f>
        <v>750000</v>
      </c>
      <c r="J4" s="9">
        <f t="shared" si="1"/>
        <v>937500</v>
      </c>
      <c r="K4" s="10">
        <f t="shared" si="2"/>
        <v>1125000</v>
      </c>
      <c r="L4" s="9">
        <f t="shared" si="3"/>
        <v>1500000</v>
      </c>
      <c r="M4" s="8">
        <f t="shared" si="4"/>
        <v>0.80285866666666672</v>
      </c>
      <c r="N4" t="str">
        <f t="shared" si="5"/>
        <v>0-100%</v>
      </c>
      <c r="O4" s="9">
        <f>MIN($H4,$I4)*INDEX('2018_commission_structure'!$A$1:$I$4,MATCH($E4,'2018_commission_structure'!$A$1:$A$4,0),MATCH(O$1,'2018_commission_structure'!$A$1:$I$1,0))</f>
        <v>90321.599999999991</v>
      </c>
      <c r="P4" s="9">
        <f>IF(H4&gt;I4, MIN(H4-I4, J4-I4)*INDEX('2018_commission_structure'!$A$1:$I$4,MATCH($E4,'2018_commission_structure'!$A$1:$A$4,0),MATCH(P$1,'2018_commission_structure'!$A$1:$I$1,0)),0)</f>
        <v>0</v>
      </c>
      <c r="Q4" s="9">
        <f>IF($H4&gt;J4, MIN($H4-J4, K4-J4)*INDEX('2018_commission_structure'!$A$1:$I$4,MATCH($E4,'2018_commission_structure'!$A$1:$A$4,0),MATCH(Q$1,'2018_commission_structure'!$A$1:$I$1,0)),0)</f>
        <v>0</v>
      </c>
      <c r="R4" s="9">
        <f>IF($H4&gt;K4, MIN($H4-K4, L4-K4)*INDEX('2018_commission_structure'!$A$1:$I$4,MATCH($E4,'2018_commission_structure'!$A$1:$A$4,0),MATCH(R$1,'2018_commission_structure'!$A$1:$I$1,0)),0)</f>
        <v>0</v>
      </c>
      <c r="S4" s="9">
        <f>IF(H4&gt;L4,(H4-L4)*INDEX('2018_commission_structure'!$A$1:$I$4,MATCH($E4,'2018_commission_structure'!$A$1:$A$4,0),MATCH(S$1,'2018_commission_structure'!$A$1:$I$1,0)),0)</f>
        <v>0</v>
      </c>
      <c r="T4" s="9">
        <f t="shared" si="6"/>
        <v>90321.599999999991</v>
      </c>
      <c r="U4" s="9">
        <f t="shared" si="7"/>
        <v>179961.59999999998</v>
      </c>
      <c r="V4" s="9">
        <f>MIN($I4,$H4)*INDEX('Key Metrics'!$E$16:$N$19,MATCH($E4,'Key Metrics'!$E$16:$E$19,0),MATCH(V$1,'Key Metrics'!$E$16:$M$16,0))</f>
        <v>90321.599999999991</v>
      </c>
      <c r="W4" s="9">
        <f>IF($H4&gt;I4, MIN($H4-I4, J4-I4)*INDEX('Key Metrics'!$E$16:$N$19,MATCH($E4,'Key Metrics'!$E$16:$E$19,0),MATCH(W$1,'Key Metrics'!$E$16:$M$16,0)),0)</f>
        <v>0</v>
      </c>
      <c r="X4" s="9">
        <f>IF($H4&gt;J4, MIN($H4-J4, K4-J4)*INDEX('Key Metrics'!$E$16:$N$19,MATCH($E4,'Key Metrics'!$E$16:$E$19,0),MATCH(X$1,'Key Metrics'!$E$16:$M$16,0)),0)</f>
        <v>0</v>
      </c>
      <c r="Y4" s="9">
        <f>IF($H4&gt;K4, MIN($H4-K4, L4-K4)*INDEX('Key Metrics'!$E$16:$N$19,MATCH($E4,'Key Metrics'!$E$16:$E$19,0),MATCH(Y$1,'Key Metrics'!$E$16:$M$16,0)),0)</f>
        <v>0</v>
      </c>
      <c r="Z4" s="9">
        <f>IF($H4&gt;L4,($H4-L4)*INDEX('Key Metrics'!$E$16:$N$19,MATCH($E4,'Key Metrics'!$E$16:$E$19,0),MATCH(Z$1,'Key Metrics'!$E$16:$M$16,0)),0)</f>
        <v>0</v>
      </c>
      <c r="AA4" s="9">
        <f t="shared" si="8"/>
        <v>90321.599999999991</v>
      </c>
      <c r="AB4" s="9">
        <f t="shared" si="9"/>
        <v>90322.402858666654</v>
      </c>
    </row>
    <row r="5" spans="1:28" x14ac:dyDescent="0.55000000000000004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COUNTIF(deals_closed!$D$2:$D$20001,Calculations!B125)</f>
        <v>19</v>
      </c>
      <c r="H5" s="7">
        <f>SUMIF(deals_closed!$D:$D,Calculations!B125,deals_closed!$C:$C)</f>
        <v>686292</v>
      </c>
      <c r="I5" s="5">
        <f>VLOOKUP(E5,'2018_commission_structure'!$A$1:$I$4,9,FALSE)</f>
        <v>500000</v>
      </c>
      <c r="J5" s="9">
        <f t="shared" si="1"/>
        <v>625000</v>
      </c>
      <c r="K5" s="10">
        <f t="shared" si="2"/>
        <v>750000</v>
      </c>
      <c r="L5" s="9">
        <f t="shared" si="3"/>
        <v>1000000</v>
      </c>
      <c r="M5" s="8">
        <f t="shared" si="4"/>
        <v>1.372584</v>
      </c>
      <c r="N5" t="str">
        <f t="shared" si="5"/>
        <v>125-150%</v>
      </c>
      <c r="O5" s="9">
        <f>MIN($H5,$I5)*INDEX('2018_commission_structure'!$A$1:$I$4,MATCH($E5,'2018_commission_structure'!$A$1:$A$4,0),MATCH(O$1,'2018_commission_structure'!$A$1:$I$1,0))</f>
        <v>50000</v>
      </c>
      <c r="P5" s="9">
        <f>IF(H5&gt;I5, MIN(H5-I5, J5-I5)*INDEX('2018_commission_structure'!$A$1:$I$4,MATCH($E5,'2018_commission_structure'!$A$1:$A$4,0),MATCH(P$1,'2018_commission_structure'!$A$1:$I$1,0)),0)</f>
        <v>18750</v>
      </c>
      <c r="Q5" s="9">
        <f>IF($H5&gt;J5, MIN($H5-J5, K5-J5)*INDEX('2018_commission_structure'!$A$1:$I$4,MATCH($E5,'2018_commission_structure'!$A$1:$A$4,0),MATCH(Q$1,'2018_commission_structure'!$A$1:$I$1,0)),0)</f>
        <v>11032.56</v>
      </c>
      <c r="R5" s="9">
        <f>IF($H5&gt;K5, MIN($H5-K5, L5-K5)*INDEX('2018_commission_structure'!$A$1:$I$4,MATCH($E5,'2018_commission_structure'!$A$1:$A$4,0),MATCH(R$1,'2018_commission_structure'!$A$1:$I$1,0)),0)</f>
        <v>0</v>
      </c>
      <c r="S5" s="9">
        <f>IF(H5&gt;L5,(H5-L5)*INDEX('2018_commission_structure'!$A$1:$I$4,MATCH($E5,'2018_commission_structure'!$A$1:$A$4,0),MATCH(S$1,'2018_commission_structure'!$A$1:$I$1,0)),0)</f>
        <v>0</v>
      </c>
      <c r="T5" s="9">
        <f t="shared" si="6"/>
        <v>79782.559999999998</v>
      </c>
      <c r="U5" s="9">
        <f t="shared" si="7"/>
        <v>121584.56</v>
      </c>
      <c r="V5" s="9">
        <f>MIN($I5,$H5)*INDEX('Key Metrics'!$E$16:$N$19,MATCH($E5,'Key Metrics'!$E$16:$E$19,0),MATCH(V$1,'Key Metrics'!$E$16:$M$16,0))</f>
        <v>60000</v>
      </c>
      <c r="W5" s="9">
        <f>IF($H5&gt;I5, MIN($H5-I5, J5-I5)*INDEX('Key Metrics'!$E$16:$N$19,MATCH($E5,'Key Metrics'!$E$16:$E$19,0),MATCH(W$1,'Key Metrics'!$E$16:$M$16,0)),0)</f>
        <v>21250</v>
      </c>
      <c r="X5" s="9">
        <f>IF($H5&gt;J5, MIN($H5-J5, K5-J5)*INDEX('Key Metrics'!$E$16:$N$19,MATCH($E5,'Key Metrics'!$E$16:$E$19,0),MATCH(X$1,'Key Metrics'!$E$16:$M$16,0)),0)</f>
        <v>12258.400000000001</v>
      </c>
      <c r="Y5" s="9">
        <f>IF($H5&gt;K5, MIN($H5-K5, L5-K5)*INDEX('Key Metrics'!$E$16:$N$19,MATCH($E5,'Key Metrics'!$E$16:$E$19,0),MATCH(Y$1,'Key Metrics'!$E$16:$M$16,0)),0)</f>
        <v>0</v>
      </c>
      <c r="Z5" s="9">
        <f>IF($H5&gt;L5,($H5-L5)*INDEX('Key Metrics'!$E$16:$N$19,MATCH($E5,'Key Metrics'!$E$16:$E$19,0),MATCH(Z$1,'Key Metrics'!$E$16:$M$16,0)),0)</f>
        <v>0</v>
      </c>
      <c r="AA5" s="9">
        <f t="shared" si="8"/>
        <v>93508.4</v>
      </c>
      <c r="AB5" s="9">
        <f t="shared" si="9"/>
        <v>93509.772583999991</v>
      </c>
    </row>
    <row r="6" spans="1:28" x14ac:dyDescent="0.55000000000000004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COUNTIF(deals_closed!$D$2:$D$20001,Calculations!B160)</f>
        <v>18</v>
      </c>
      <c r="H6" s="7">
        <f>SUMIF(deals_closed!$D:$D,Calculations!B160,deals_closed!$C:$C)</f>
        <v>517010</v>
      </c>
      <c r="I6" s="5">
        <f>VLOOKUP(E6,'2018_commission_structure'!$A$1:$I$4,9,FALSE)</f>
        <v>500000</v>
      </c>
      <c r="J6" s="9">
        <f t="shared" si="1"/>
        <v>625000</v>
      </c>
      <c r="K6" s="10">
        <f t="shared" si="2"/>
        <v>750000</v>
      </c>
      <c r="L6" s="9">
        <f t="shared" si="3"/>
        <v>1000000</v>
      </c>
      <c r="M6" s="8">
        <f t="shared" si="4"/>
        <v>1.0340199999999999</v>
      </c>
      <c r="N6" t="str">
        <f t="shared" si="5"/>
        <v>100-125%</v>
      </c>
      <c r="O6" s="9">
        <f>MIN($H6,$I6)*INDEX('2018_commission_structure'!$A$1:$I$4,MATCH($E6,'2018_commission_structure'!$A$1:$A$4,0),MATCH(O$1,'2018_commission_structure'!$A$1:$I$1,0))</f>
        <v>50000</v>
      </c>
      <c r="P6" s="9">
        <f>IF(H6&gt;I6, MIN(H6-I6, J6-I6)*INDEX('2018_commission_structure'!$A$1:$I$4,MATCH($E6,'2018_commission_structure'!$A$1:$A$4,0),MATCH(P$1,'2018_commission_structure'!$A$1:$I$1,0)),0)</f>
        <v>2551.5</v>
      </c>
      <c r="Q6" s="9">
        <f>IF($H6&gt;J6, MIN($H6-J6, K6-J6)*INDEX('2018_commission_structure'!$A$1:$I$4,MATCH($E6,'2018_commission_structure'!$A$1:$A$4,0),MATCH(Q$1,'2018_commission_structure'!$A$1:$I$1,0)),0)</f>
        <v>0</v>
      </c>
      <c r="R6" s="9">
        <f>IF($H6&gt;K6, MIN($H6-K6, L6-K6)*INDEX('2018_commission_structure'!$A$1:$I$4,MATCH($E6,'2018_commission_structure'!$A$1:$A$4,0),MATCH(R$1,'2018_commission_structure'!$A$1:$I$1,0)),0)</f>
        <v>0</v>
      </c>
      <c r="S6" s="9">
        <f>IF(H6&gt;L6,(H6-L6)*INDEX('2018_commission_structure'!$A$1:$I$4,MATCH($E6,'2018_commission_structure'!$A$1:$A$4,0),MATCH(S$1,'2018_commission_structure'!$A$1:$I$1,0)),0)</f>
        <v>0</v>
      </c>
      <c r="T6" s="9">
        <f t="shared" si="6"/>
        <v>52551.5</v>
      </c>
      <c r="U6" s="9">
        <f t="shared" si="7"/>
        <v>99024.5</v>
      </c>
      <c r="V6" s="9">
        <f>MIN($I6,$H6)*INDEX('Key Metrics'!$E$16:$N$19,MATCH($E6,'Key Metrics'!$E$16:$E$19,0),MATCH(V$1,'Key Metrics'!$E$16:$M$16,0))</f>
        <v>60000</v>
      </c>
      <c r="W6" s="9">
        <f>IF($H6&gt;I6, MIN($H6-I6, J6-I6)*INDEX('Key Metrics'!$E$16:$N$19,MATCH($E6,'Key Metrics'!$E$16:$E$19,0),MATCH(W$1,'Key Metrics'!$E$16:$M$16,0)),0)</f>
        <v>2891.7000000000003</v>
      </c>
      <c r="X6" s="9">
        <f>IF($H6&gt;J6, MIN($H6-J6, K6-J6)*INDEX('Key Metrics'!$E$16:$N$19,MATCH($E6,'Key Metrics'!$E$16:$E$19,0),MATCH(X$1,'Key Metrics'!$E$16:$M$16,0)),0)</f>
        <v>0</v>
      </c>
      <c r="Y6" s="9">
        <f>IF($H6&gt;K6, MIN($H6-K6, L6-K6)*INDEX('Key Metrics'!$E$16:$N$19,MATCH($E6,'Key Metrics'!$E$16:$E$19,0),MATCH(Y$1,'Key Metrics'!$E$16:$M$16,0)),0)</f>
        <v>0</v>
      </c>
      <c r="Z6" s="9">
        <f>IF($H6&gt;L6,($H6-L6)*INDEX('Key Metrics'!$E$16:$N$19,MATCH($E6,'Key Metrics'!$E$16:$E$19,0),MATCH(Z$1,'Key Metrics'!$E$16:$M$16,0)),0)</f>
        <v>0</v>
      </c>
      <c r="AA6" s="9">
        <f t="shared" si="8"/>
        <v>62891.7</v>
      </c>
      <c r="AB6" s="9">
        <f t="shared" si="9"/>
        <v>62892.734019999996</v>
      </c>
    </row>
    <row r="7" spans="1:28" x14ac:dyDescent="0.55000000000000004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COUNTIF(deals_closed!$D$2:$D$20001,Calculations!B237)</f>
        <v>18</v>
      </c>
      <c r="H7" s="7">
        <f>SUMIF(deals_closed!$D:$D,Calculations!B237,deals_closed!$C:$C)</f>
        <v>725779</v>
      </c>
      <c r="I7" s="5">
        <f>VLOOKUP(E7,'2018_commission_structure'!$A$1:$I$4,9,FALSE)</f>
        <v>750000</v>
      </c>
      <c r="J7" s="9">
        <f t="shared" si="1"/>
        <v>937500</v>
      </c>
      <c r="K7" s="10">
        <f t="shared" si="2"/>
        <v>1125000</v>
      </c>
      <c r="L7" s="9">
        <f t="shared" si="3"/>
        <v>1500000</v>
      </c>
      <c r="M7" s="8">
        <f t="shared" si="4"/>
        <v>0.96770533333333331</v>
      </c>
      <c r="N7" t="str">
        <f t="shared" si="5"/>
        <v>0-100%</v>
      </c>
      <c r="O7" s="9">
        <f>MIN($H7,$I7)*INDEX('2018_commission_structure'!$A$1:$I$4,MATCH($E7,'2018_commission_structure'!$A$1:$A$4,0),MATCH(O$1,'2018_commission_structure'!$A$1:$I$1,0))</f>
        <v>108866.84999999999</v>
      </c>
      <c r="P7" s="9">
        <f>IF(H7&gt;I7, MIN(H7-I7, J7-I7)*INDEX('2018_commission_structure'!$A$1:$I$4,MATCH($E7,'2018_commission_structure'!$A$1:$A$4,0),MATCH(P$1,'2018_commission_structure'!$A$1:$I$1,0)),0)</f>
        <v>0</v>
      </c>
      <c r="Q7" s="9">
        <f>IF($H7&gt;J7, MIN($H7-J7, K7-J7)*INDEX('2018_commission_structure'!$A$1:$I$4,MATCH($E7,'2018_commission_structure'!$A$1:$A$4,0),MATCH(Q$1,'2018_commission_structure'!$A$1:$I$1,0)),0)</f>
        <v>0</v>
      </c>
      <c r="R7" s="9">
        <f>IF($H7&gt;K7, MIN($H7-K7, L7-K7)*INDEX('2018_commission_structure'!$A$1:$I$4,MATCH($E7,'2018_commission_structure'!$A$1:$A$4,0),MATCH(R$1,'2018_commission_structure'!$A$1:$I$1,0)),0)</f>
        <v>0</v>
      </c>
      <c r="S7" s="9">
        <f>IF(H7&gt;L7,(H7-L7)*INDEX('2018_commission_structure'!$A$1:$I$4,MATCH($E7,'2018_commission_structure'!$A$1:$A$4,0),MATCH(S$1,'2018_commission_structure'!$A$1:$I$1,0)),0)</f>
        <v>0</v>
      </c>
      <c r="T7" s="9">
        <f t="shared" si="6"/>
        <v>108866.84999999999</v>
      </c>
      <c r="U7" s="9">
        <f t="shared" si="7"/>
        <v>211044.84999999998</v>
      </c>
      <c r="V7" s="9">
        <f>MIN($I7,$H7)*INDEX('Key Metrics'!$E$16:$N$19,MATCH($E7,'Key Metrics'!$E$16:$E$19,0),MATCH(V$1,'Key Metrics'!$E$16:$M$16,0))</f>
        <v>108866.84999999999</v>
      </c>
      <c r="W7" s="9">
        <f>IF($H7&gt;I7, MIN($H7-I7, J7-I7)*INDEX('Key Metrics'!$E$16:$N$19,MATCH($E7,'Key Metrics'!$E$16:$E$19,0),MATCH(W$1,'Key Metrics'!$E$16:$M$16,0)),0)</f>
        <v>0</v>
      </c>
      <c r="X7" s="9">
        <f>IF($H7&gt;J7, MIN($H7-J7, K7-J7)*INDEX('Key Metrics'!$E$16:$N$19,MATCH($E7,'Key Metrics'!$E$16:$E$19,0),MATCH(X$1,'Key Metrics'!$E$16:$M$16,0)),0)</f>
        <v>0</v>
      </c>
      <c r="Y7" s="9">
        <f>IF($H7&gt;K7, MIN($H7-K7, L7-K7)*INDEX('Key Metrics'!$E$16:$N$19,MATCH($E7,'Key Metrics'!$E$16:$E$19,0),MATCH(Y$1,'Key Metrics'!$E$16:$M$16,0)),0)</f>
        <v>0</v>
      </c>
      <c r="Z7" s="9">
        <f>IF($H7&gt;L7,($H7-L7)*INDEX('Key Metrics'!$E$16:$N$19,MATCH($E7,'Key Metrics'!$E$16:$E$19,0),MATCH(Z$1,'Key Metrics'!$E$16:$M$16,0)),0)</f>
        <v>0</v>
      </c>
      <c r="AA7" s="9">
        <f t="shared" si="8"/>
        <v>108866.84999999999</v>
      </c>
      <c r="AB7" s="9">
        <f t="shared" si="9"/>
        <v>108867.81770533332</v>
      </c>
    </row>
    <row r="8" spans="1:28" x14ac:dyDescent="0.55000000000000004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COUNTIF(deals_closed!$D$2:$D$20001,Calculations!B452)</f>
        <v>26</v>
      </c>
      <c r="H8" s="7">
        <f>SUMIF(deals_closed!$D:$D,Calculations!B452,deals_closed!$C:$C)</f>
        <v>924420</v>
      </c>
      <c r="I8" s="5">
        <f>VLOOKUP(E8,'2018_commission_structure'!$A$1:$I$4,9,FALSE)</f>
        <v>500000</v>
      </c>
      <c r="J8" s="9">
        <f t="shared" si="1"/>
        <v>625000</v>
      </c>
      <c r="K8" s="10">
        <f t="shared" si="2"/>
        <v>750000</v>
      </c>
      <c r="L8" s="9">
        <f t="shared" si="3"/>
        <v>1000000</v>
      </c>
      <c r="M8" s="8">
        <f t="shared" si="4"/>
        <v>1.84884</v>
      </c>
      <c r="N8" t="str">
        <f t="shared" si="5"/>
        <v>150-200%</v>
      </c>
      <c r="O8" s="9">
        <f>MIN($H8,$I8)*INDEX('2018_commission_structure'!$A$1:$I$4,MATCH($E8,'2018_commission_structure'!$A$1:$A$4,0),MATCH(O$1,'2018_commission_structure'!$A$1:$I$1,0))</f>
        <v>50000</v>
      </c>
      <c r="P8" s="9">
        <f>IF(H8&gt;I8, MIN(H8-I8, J8-I8)*INDEX('2018_commission_structure'!$A$1:$I$4,MATCH($E8,'2018_commission_structure'!$A$1:$A$4,0),MATCH(P$1,'2018_commission_structure'!$A$1:$I$1,0)),0)</f>
        <v>18750</v>
      </c>
      <c r="Q8" s="9">
        <f>IF($H8&gt;J8, MIN($H8-J8, K8-J8)*INDEX('2018_commission_structure'!$A$1:$I$4,MATCH($E8,'2018_commission_structure'!$A$1:$A$4,0),MATCH(Q$1,'2018_commission_structure'!$A$1:$I$1,0)),0)</f>
        <v>22500</v>
      </c>
      <c r="R8" s="9">
        <f>IF($H8&gt;K8, MIN($H8-K8, L8-K8)*INDEX('2018_commission_structure'!$A$1:$I$4,MATCH($E8,'2018_commission_structure'!$A$1:$A$4,0),MATCH(R$1,'2018_commission_structure'!$A$1:$I$1,0)),0)</f>
        <v>38372.400000000001</v>
      </c>
      <c r="S8" s="9">
        <f>IF(H8&gt;L8,(H8-L8)*INDEX('2018_commission_structure'!$A$1:$I$4,MATCH($E8,'2018_commission_structure'!$A$1:$A$4,0),MATCH(S$1,'2018_commission_structure'!$A$1:$I$1,0)),0)</f>
        <v>0</v>
      </c>
      <c r="T8" s="9">
        <f t="shared" si="6"/>
        <v>129622.39999999999</v>
      </c>
      <c r="U8" s="9">
        <f t="shared" si="7"/>
        <v>186578.4</v>
      </c>
      <c r="V8" s="9">
        <f>MIN($I8,$H8)*INDEX('Key Metrics'!$E$16:$N$19,MATCH($E8,'Key Metrics'!$E$16:$E$19,0),MATCH(V$1,'Key Metrics'!$E$16:$M$16,0))</f>
        <v>60000</v>
      </c>
      <c r="W8" s="9">
        <f>IF($H8&gt;I8, MIN($H8-I8, J8-I8)*INDEX('Key Metrics'!$E$16:$N$19,MATCH($E8,'Key Metrics'!$E$16:$E$19,0),MATCH(W$1,'Key Metrics'!$E$16:$M$16,0)),0)</f>
        <v>21250</v>
      </c>
      <c r="X8" s="9">
        <f>IF($H8&gt;J8, MIN($H8-J8, K8-J8)*INDEX('Key Metrics'!$E$16:$N$19,MATCH($E8,'Key Metrics'!$E$16:$E$19,0),MATCH(X$1,'Key Metrics'!$E$16:$M$16,0)),0)</f>
        <v>25000</v>
      </c>
      <c r="Y8" s="9">
        <f>IF($H8&gt;K8, MIN($H8-K8, L8-K8)*INDEX('Key Metrics'!$E$16:$N$19,MATCH($E8,'Key Metrics'!$E$16:$E$19,0),MATCH(Y$1,'Key Metrics'!$E$16:$M$16,0)),0)</f>
        <v>38372.400000000001</v>
      </c>
      <c r="Z8" s="9">
        <f>IF($H8&gt;L8,($H8-L8)*INDEX('Key Metrics'!$E$16:$N$19,MATCH($E8,'Key Metrics'!$E$16:$E$19,0),MATCH(Z$1,'Key Metrics'!$E$16:$M$16,0)),0)</f>
        <v>0</v>
      </c>
      <c r="AA8" s="9">
        <f t="shared" si="8"/>
        <v>144622.39999999999</v>
      </c>
      <c r="AB8" s="9">
        <f t="shared" si="9"/>
        <v>144624.24883999999</v>
      </c>
    </row>
    <row r="9" spans="1:28" x14ac:dyDescent="0.55000000000000004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COUNTIF(deals_closed!$D$2:$D$20001,Calculations!B414)</f>
        <v>22</v>
      </c>
      <c r="H9" s="7">
        <f>SUMIF(deals_closed!$D:$D,Calculations!B414,deals_closed!$C:$C)</f>
        <v>781150</v>
      </c>
      <c r="I9" s="5">
        <f>VLOOKUP(E9,'2018_commission_structure'!$A$1:$I$4,9,FALSE)</f>
        <v>750000</v>
      </c>
      <c r="J9" s="9">
        <f t="shared" si="1"/>
        <v>937500</v>
      </c>
      <c r="K9" s="10">
        <f t="shared" si="2"/>
        <v>1125000</v>
      </c>
      <c r="L9" s="9">
        <f t="shared" si="3"/>
        <v>1500000</v>
      </c>
      <c r="M9" s="8">
        <f t="shared" si="4"/>
        <v>1.0415333333333334</v>
      </c>
      <c r="N9" t="str">
        <f t="shared" si="5"/>
        <v>100-125%</v>
      </c>
      <c r="O9" s="9">
        <f>MIN($H9,$I9)*INDEX('2018_commission_structure'!$A$1:$I$4,MATCH($E9,'2018_commission_structure'!$A$1:$A$4,0),MATCH(O$1,'2018_commission_structure'!$A$1:$I$1,0))</f>
        <v>112500</v>
      </c>
      <c r="P9" s="9">
        <f>IF(H9&gt;I9, MIN(H9-I9, J9-I9)*INDEX('2018_commission_structure'!$A$1:$I$4,MATCH($E9,'2018_commission_structure'!$A$1:$A$4,0),MATCH(P$1,'2018_commission_structure'!$A$1:$I$1,0)),0)</f>
        <v>5918.5</v>
      </c>
      <c r="Q9" s="9">
        <f>IF($H9&gt;J9, MIN($H9-J9, K9-J9)*INDEX('2018_commission_structure'!$A$1:$I$4,MATCH($E9,'2018_commission_structure'!$A$1:$A$4,0),MATCH(Q$1,'2018_commission_structure'!$A$1:$I$1,0)),0)</f>
        <v>0</v>
      </c>
      <c r="R9" s="9">
        <f>IF($H9&gt;K9, MIN($H9-K9, L9-K9)*INDEX('2018_commission_structure'!$A$1:$I$4,MATCH($E9,'2018_commission_structure'!$A$1:$A$4,0),MATCH(R$1,'2018_commission_structure'!$A$1:$I$1,0)),0)</f>
        <v>0</v>
      </c>
      <c r="S9" s="9">
        <f>IF(H9&gt;L9,(H9-L9)*INDEX('2018_commission_structure'!$A$1:$I$4,MATCH($E9,'2018_commission_structure'!$A$1:$A$4,0),MATCH(S$1,'2018_commission_structure'!$A$1:$I$1,0)),0)</f>
        <v>0</v>
      </c>
      <c r="T9" s="9">
        <f t="shared" si="6"/>
        <v>118418.5</v>
      </c>
      <c r="U9" s="9">
        <f t="shared" si="7"/>
        <v>206941.5</v>
      </c>
      <c r="V9" s="9">
        <f>MIN($I9,$H9)*INDEX('Key Metrics'!$E$16:$N$19,MATCH($E9,'Key Metrics'!$E$16:$E$19,0),MATCH(V$1,'Key Metrics'!$E$16:$M$16,0))</f>
        <v>112500</v>
      </c>
      <c r="W9" s="9">
        <f>IF($H9&gt;I9, MIN($H9-I9, J9-I9)*INDEX('Key Metrics'!$E$16:$N$19,MATCH($E9,'Key Metrics'!$E$16:$E$19,0),MATCH(W$1,'Key Metrics'!$E$16:$M$16,0)),0)</f>
        <v>6853</v>
      </c>
      <c r="X9" s="9">
        <f>IF($H9&gt;J9, MIN($H9-J9, K9-J9)*INDEX('Key Metrics'!$E$16:$N$19,MATCH($E9,'Key Metrics'!$E$16:$E$19,0),MATCH(X$1,'Key Metrics'!$E$16:$M$16,0)),0)</f>
        <v>0</v>
      </c>
      <c r="Y9" s="9">
        <f>IF($H9&gt;K9, MIN($H9-K9, L9-K9)*INDEX('Key Metrics'!$E$16:$N$19,MATCH($E9,'Key Metrics'!$E$16:$E$19,0),MATCH(Y$1,'Key Metrics'!$E$16:$M$16,0)),0)</f>
        <v>0</v>
      </c>
      <c r="Z9" s="9">
        <f>IF($H9&gt;L9,($H9-L9)*INDEX('Key Metrics'!$E$16:$N$19,MATCH($E9,'Key Metrics'!$E$16:$E$19,0),MATCH(Z$1,'Key Metrics'!$E$16:$M$16,0)),0)</f>
        <v>0</v>
      </c>
      <c r="AA9" s="9">
        <f t="shared" si="8"/>
        <v>119353</v>
      </c>
      <c r="AB9" s="9">
        <f t="shared" si="9"/>
        <v>119354.04153333334</v>
      </c>
    </row>
    <row r="10" spans="1:28" x14ac:dyDescent="0.55000000000000004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COUNTIF(deals_closed!$D$2:$D$20001,Calculations!B949)</f>
        <v>30</v>
      </c>
      <c r="H10" s="7">
        <f>SUMIF(deals_closed!$D:$D,Calculations!B949,deals_closed!$C:$C)</f>
        <v>1096136</v>
      </c>
      <c r="I10" s="5">
        <f>VLOOKUP(E10,'2018_commission_structure'!$A$1:$I$4,9,FALSE)</f>
        <v>750000</v>
      </c>
      <c r="J10" s="9">
        <f t="shared" si="1"/>
        <v>937500</v>
      </c>
      <c r="K10" s="10">
        <f t="shared" si="2"/>
        <v>1125000</v>
      </c>
      <c r="L10" s="9">
        <f t="shared" si="3"/>
        <v>1500000</v>
      </c>
      <c r="M10" s="8">
        <f t="shared" si="4"/>
        <v>1.4615146666666667</v>
      </c>
      <c r="N10" t="str">
        <f t="shared" si="5"/>
        <v>125-150%</v>
      </c>
      <c r="O10" s="9">
        <f>MIN($H10,$I10)*INDEX('2018_commission_structure'!$A$1:$I$4,MATCH($E10,'2018_commission_structure'!$A$1:$A$4,0),MATCH(O$1,'2018_commission_structure'!$A$1:$I$1,0))</f>
        <v>112500</v>
      </c>
      <c r="P10" s="9">
        <f>IF(H10&gt;I10, MIN(H10-I10, J10-I10)*INDEX('2018_commission_structure'!$A$1:$I$4,MATCH($E10,'2018_commission_structure'!$A$1:$A$4,0),MATCH(P$1,'2018_commission_structure'!$A$1:$I$1,0)),0)</f>
        <v>35625</v>
      </c>
      <c r="Q10" s="9">
        <f>IF($H10&gt;J10, MIN($H10-J10, K10-J10)*INDEX('2018_commission_structure'!$A$1:$I$4,MATCH($E10,'2018_commission_structure'!$A$1:$A$4,0),MATCH(Q$1,'2018_commission_structure'!$A$1:$I$1,0)),0)</f>
        <v>36486.28</v>
      </c>
      <c r="R10" s="9">
        <f>IF($H10&gt;K10, MIN($H10-K10, L10-K10)*INDEX('2018_commission_structure'!$A$1:$I$4,MATCH($E10,'2018_commission_structure'!$A$1:$A$4,0),MATCH(R$1,'2018_commission_structure'!$A$1:$I$1,0)),0)</f>
        <v>0</v>
      </c>
      <c r="S10" s="9">
        <f>IF(H10&gt;L10,(H10-L10)*INDEX('2018_commission_structure'!$A$1:$I$4,MATCH($E10,'2018_commission_structure'!$A$1:$A$4,0),MATCH(S$1,'2018_commission_structure'!$A$1:$I$1,0)),0)</f>
        <v>0</v>
      </c>
      <c r="T10" s="9">
        <f t="shared" si="6"/>
        <v>184611.28</v>
      </c>
      <c r="U10" s="9">
        <f t="shared" si="7"/>
        <v>268077.28000000003</v>
      </c>
      <c r="V10" s="9">
        <f>MIN($I10,$H10)*INDEX('Key Metrics'!$E$16:$N$19,MATCH($E10,'Key Metrics'!$E$16:$E$19,0),MATCH(V$1,'Key Metrics'!$E$16:$M$16,0))</f>
        <v>112500</v>
      </c>
      <c r="W10" s="9">
        <f>IF($H10&gt;I10, MIN($H10-I10, J10-I10)*INDEX('Key Metrics'!$E$16:$N$19,MATCH($E10,'Key Metrics'!$E$16:$E$19,0),MATCH(W$1,'Key Metrics'!$E$16:$M$16,0)),0)</f>
        <v>41250</v>
      </c>
      <c r="X10" s="9">
        <f>IF($H10&gt;J10, MIN($H10-J10, K10-J10)*INDEX('Key Metrics'!$E$16:$N$19,MATCH($E10,'Key Metrics'!$E$16:$E$19,0),MATCH(X$1,'Key Metrics'!$E$16:$M$16,0)),0)</f>
        <v>39659</v>
      </c>
      <c r="Y10" s="9">
        <f>IF($H10&gt;K10, MIN($H10-K10, L10-K10)*INDEX('Key Metrics'!$E$16:$N$19,MATCH($E10,'Key Metrics'!$E$16:$E$19,0),MATCH(Y$1,'Key Metrics'!$E$16:$M$16,0)),0)</f>
        <v>0</v>
      </c>
      <c r="Z10" s="9">
        <f>IF($H10&gt;L10,($H10-L10)*INDEX('Key Metrics'!$E$16:$N$19,MATCH($E10,'Key Metrics'!$E$16:$E$19,0),MATCH(Z$1,'Key Metrics'!$E$16:$M$16,0)),0)</f>
        <v>0</v>
      </c>
      <c r="AA10" s="9">
        <f t="shared" si="8"/>
        <v>193409</v>
      </c>
      <c r="AB10" s="9">
        <f t="shared" si="9"/>
        <v>193410.46151466668</v>
      </c>
    </row>
    <row r="11" spans="1:28" x14ac:dyDescent="0.55000000000000004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COUNTIF(deals_closed!$D$2:$D$20001,Calculations!B704)</f>
        <v>23</v>
      </c>
      <c r="H11" s="7">
        <f>SUMIF(deals_closed!$D:$D,Calculations!B704,deals_closed!$C:$C)</f>
        <v>896729</v>
      </c>
      <c r="I11" s="5">
        <f>VLOOKUP(E11,'2018_commission_structure'!$A$1:$I$4,9,FALSE)</f>
        <v>500000</v>
      </c>
      <c r="J11" s="9">
        <f t="shared" si="1"/>
        <v>625000</v>
      </c>
      <c r="K11" s="10">
        <f t="shared" si="2"/>
        <v>750000</v>
      </c>
      <c r="L11" s="9">
        <f t="shared" si="3"/>
        <v>1000000</v>
      </c>
      <c r="M11" s="8">
        <f t="shared" si="4"/>
        <v>1.793458</v>
      </c>
      <c r="N11" t="str">
        <f t="shared" si="5"/>
        <v>150-200%</v>
      </c>
      <c r="O11" s="9">
        <f>MIN($H11,$I11)*INDEX('2018_commission_structure'!$A$1:$I$4,MATCH($E11,'2018_commission_structure'!$A$1:$A$4,0),MATCH(O$1,'2018_commission_structure'!$A$1:$I$1,0))</f>
        <v>50000</v>
      </c>
      <c r="P11" s="9">
        <f>IF(H11&gt;I11, MIN(H11-I11, J11-I11)*INDEX('2018_commission_structure'!$A$1:$I$4,MATCH($E11,'2018_commission_structure'!$A$1:$A$4,0),MATCH(P$1,'2018_commission_structure'!$A$1:$I$1,0)),0)</f>
        <v>18750</v>
      </c>
      <c r="Q11" s="9">
        <f>IF($H11&gt;J11, MIN($H11-J11, K11-J11)*INDEX('2018_commission_structure'!$A$1:$I$4,MATCH($E11,'2018_commission_structure'!$A$1:$A$4,0),MATCH(Q$1,'2018_commission_structure'!$A$1:$I$1,0)),0)</f>
        <v>22500</v>
      </c>
      <c r="R11" s="9">
        <f>IF($H11&gt;K11, MIN($H11-K11, L11-K11)*INDEX('2018_commission_structure'!$A$1:$I$4,MATCH($E11,'2018_commission_structure'!$A$1:$A$4,0),MATCH(R$1,'2018_commission_structure'!$A$1:$I$1,0)),0)</f>
        <v>32280.38</v>
      </c>
      <c r="S11" s="9">
        <f>IF(H11&gt;L11,(H11-L11)*INDEX('2018_commission_structure'!$A$1:$I$4,MATCH($E11,'2018_commission_structure'!$A$1:$A$4,0),MATCH(S$1,'2018_commission_structure'!$A$1:$I$1,0)),0)</f>
        <v>0</v>
      </c>
      <c r="T11" s="9">
        <f t="shared" si="6"/>
        <v>123530.38</v>
      </c>
      <c r="U11" s="9">
        <f t="shared" si="7"/>
        <v>165420.38</v>
      </c>
      <c r="V11" s="9">
        <f>MIN($I11,$H11)*INDEX('Key Metrics'!$E$16:$N$19,MATCH($E11,'Key Metrics'!$E$16:$E$19,0),MATCH(V$1,'Key Metrics'!$E$16:$M$16,0))</f>
        <v>60000</v>
      </c>
      <c r="W11" s="9">
        <f>IF($H11&gt;I11, MIN($H11-I11, J11-I11)*INDEX('Key Metrics'!$E$16:$N$19,MATCH($E11,'Key Metrics'!$E$16:$E$19,0),MATCH(W$1,'Key Metrics'!$E$16:$M$16,0)),0)</f>
        <v>21250</v>
      </c>
      <c r="X11" s="9">
        <f>IF($H11&gt;J11, MIN($H11-J11, K11-J11)*INDEX('Key Metrics'!$E$16:$N$19,MATCH($E11,'Key Metrics'!$E$16:$E$19,0),MATCH(X$1,'Key Metrics'!$E$16:$M$16,0)),0)</f>
        <v>25000</v>
      </c>
      <c r="Y11" s="9">
        <f>IF($H11&gt;K11, MIN($H11-K11, L11-K11)*INDEX('Key Metrics'!$E$16:$N$19,MATCH($E11,'Key Metrics'!$E$16:$E$19,0),MATCH(Y$1,'Key Metrics'!$E$16:$M$16,0)),0)</f>
        <v>32280.38</v>
      </c>
      <c r="Z11" s="9">
        <f>IF($H11&gt;L11,($H11-L11)*INDEX('Key Metrics'!$E$16:$N$19,MATCH($E11,'Key Metrics'!$E$16:$E$19,0),MATCH(Z$1,'Key Metrics'!$E$16:$M$16,0)),0)</f>
        <v>0</v>
      </c>
      <c r="AA11" s="9">
        <f t="shared" si="8"/>
        <v>138530.38</v>
      </c>
      <c r="AB11" s="9">
        <f t="shared" si="9"/>
        <v>138532.173458</v>
      </c>
    </row>
    <row r="12" spans="1:28" x14ac:dyDescent="0.55000000000000004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COUNTIF(deals_closed!$D$2:$D$20001,Calculations!B475)</f>
        <v>22</v>
      </c>
      <c r="H12" s="7">
        <f>SUMIF(deals_closed!$D:$D,Calculations!B475,deals_closed!$C:$C)</f>
        <v>736143</v>
      </c>
      <c r="I12" s="5">
        <f>VLOOKUP(E12,'2018_commission_structure'!$A$1:$I$4,9,FALSE)</f>
        <v>500000</v>
      </c>
      <c r="J12" s="9">
        <f t="shared" si="1"/>
        <v>625000</v>
      </c>
      <c r="K12" s="10">
        <f t="shared" si="2"/>
        <v>750000</v>
      </c>
      <c r="L12" s="9">
        <f t="shared" si="3"/>
        <v>1000000</v>
      </c>
      <c r="M12" s="8">
        <f t="shared" si="4"/>
        <v>1.472286</v>
      </c>
      <c r="N12" t="str">
        <f t="shared" si="5"/>
        <v>125-150%</v>
      </c>
      <c r="O12" s="9">
        <f>MIN($H12,$I12)*INDEX('2018_commission_structure'!$A$1:$I$4,MATCH($E12,'2018_commission_structure'!$A$1:$A$4,0),MATCH(O$1,'2018_commission_structure'!$A$1:$I$1,0))</f>
        <v>50000</v>
      </c>
      <c r="P12" s="9">
        <f>IF(H12&gt;I12, MIN(H12-I12, J12-I12)*INDEX('2018_commission_structure'!$A$1:$I$4,MATCH($E12,'2018_commission_structure'!$A$1:$A$4,0),MATCH(P$1,'2018_commission_structure'!$A$1:$I$1,0)),0)</f>
        <v>18750</v>
      </c>
      <c r="Q12" s="9">
        <f>IF($H12&gt;J12, MIN($H12-J12, K12-J12)*INDEX('2018_commission_structure'!$A$1:$I$4,MATCH($E12,'2018_commission_structure'!$A$1:$A$4,0),MATCH(Q$1,'2018_commission_structure'!$A$1:$I$1,0)),0)</f>
        <v>20005.739999999998</v>
      </c>
      <c r="R12" s="9">
        <f>IF($H12&gt;K12, MIN($H12-K12, L12-K12)*INDEX('2018_commission_structure'!$A$1:$I$4,MATCH($E12,'2018_commission_structure'!$A$1:$A$4,0),MATCH(R$1,'2018_commission_structure'!$A$1:$I$1,0)),0)</f>
        <v>0</v>
      </c>
      <c r="S12" s="9">
        <f>IF(H12&gt;L12,(H12-L12)*INDEX('2018_commission_structure'!$A$1:$I$4,MATCH($E12,'2018_commission_structure'!$A$1:$A$4,0),MATCH(S$1,'2018_commission_structure'!$A$1:$I$1,0)),0)</f>
        <v>0</v>
      </c>
      <c r="T12" s="9">
        <f t="shared" si="6"/>
        <v>88755.739999999991</v>
      </c>
      <c r="U12" s="9">
        <f t="shared" si="7"/>
        <v>129535.73999999999</v>
      </c>
      <c r="V12" s="9">
        <f>MIN($I12,$H12)*INDEX('Key Metrics'!$E$16:$N$19,MATCH($E12,'Key Metrics'!$E$16:$E$19,0),MATCH(V$1,'Key Metrics'!$E$16:$M$16,0))</f>
        <v>60000</v>
      </c>
      <c r="W12" s="9">
        <f>IF($H12&gt;I12, MIN($H12-I12, J12-I12)*INDEX('Key Metrics'!$E$16:$N$19,MATCH($E12,'Key Metrics'!$E$16:$E$19,0),MATCH(W$1,'Key Metrics'!$E$16:$M$16,0)),0)</f>
        <v>21250</v>
      </c>
      <c r="X12" s="9">
        <f>IF($H12&gt;J12, MIN($H12-J12, K12-J12)*INDEX('Key Metrics'!$E$16:$N$19,MATCH($E12,'Key Metrics'!$E$16:$E$19,0),MATCH(X$1,'Key Metrics'!$E$16:$M$16,0)),0)</f>
        <v>22228.600000000002</v>
      </c>
      <c r="Y12" s="9">
        <f>IF($H12&gt;K12, MIN($H12-K12, L12-K12)*INDEX('Key Metrics'!$E$16:$N$19,MATCH($E12,'Key Metrics'!$E$16:$E$19,0),MATCH(Y$1,'Key Metrics'!$E$16:$M$16,0)),0)</f>
        <v>0</v>
      </c>
      <c r="Z12" s="9">
        <f>IF($H12&gt;L12,($H12-L12)*INDEX('Key Metrics'!$E$16:$N$19,MATCH($E12,'Key Metrics'!$E$16:$E$19,0),MATCH(Z$1,'Key Metrics'!$E$16:$M$16,0)),0)</f>
        <v>0</v>
      </c>
      <c r="AA12" s="9">
        <f t="shared" si="8"/>
        <v>103478.6</v>
      </c>
      <c r="AB12" s="9">
        <f t="shared" si="9"/>
        <v>103480.07228600001</v>
      </c>
    </row>
    <row r="13" spans="1:28" x14ac:dyDescent="0.55000000000000004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COUNTIF(deals_closed!$D$2:$D$20001,Calculations!B616)</f>
        <v>19</v>
      </c>
      <c r="H13" s="7">
        <f>SUMIF(deals_closed!$D:$D,Calculations!B616,deals_closed!$C:$C)</f>
        <v>677458</v>
      </c>
      <c r="I13" s="5">
        <f>VLOOKUP(E13,'2018_commission_structure'!$A$1:$I$4,9,FALSE)</f>
        <v>600000</v>
      </c>
      <c r="J13" s="9">
        <f t="shared" si="1"/>
        <v>750000</v>
      </c>
      <c r="K13" s="10">
        <f t="shared" si="2"/>
        <v>900000</v>
      </c>
      <c r="L13" s="9">
        <f t="shared" si="3"/>
        <v>1200000</v>
      </c>
      <c r="M13" s="8">
        <f t="shared" si="4"/>
        <v>1.1290966666666666</v>
      </c>
      <c r="N13" t="str">
        <f t="shared" si="5"/>
        <v>100-125%</v>
      </c>
      <c r="O13" s="9">
        <f>MIN($H13,$I13)*INDEX('2018_commission_structure'!$A$1:$I$4,MATCH($E13,'2018_commission_structure'!$A$1:$A$4,0),MATCH(O$1,'2018_commission_structure'!$A$1:$I$1,0))</f>
        <v>78000</v>
      </c>
      <c r="P13" s="9">
        <f>IF(H13&gt;I13, MIN(H13-I13, J13-I13)*INDEX('2018_commission_structure'!$A$1:$I$4,MATCH($E13,'2018_commission_structure'!$A$1:$A$4,0),MATCH(P$1,'2018_commission_structure'!$A$1:$I$1,0)),0)</f>
        <v>13167.86</v>
      </c>
      <c r="Q13" s="9">
        <f>IF($H13&gt;J13, MIN($H13-J13, K13-J13)*INDEX('2018_commission_structure'!$A$1:$I$4,MATCH($E13,'2018_commission_structure'!$A$1:$A$4,0),MATCH(Q$1,'2018_commission_structure'!$A$1:$I$1,0)),0)</f>
        <v>0</v>
      </c>
      <c r="R13" s="9">
        <f>IF($H13&gt;K13, MIN($H13-K13, L13-K13)*INDEX('2018_commission_structure'!$A$1:$I$4,MATCH($E13,'2018_commission_structure'!$A$1:$A$4,0),MATCH(R$1,'2018_commission_structure'!$A$1:$I$1,0)),0)</f>
        <v>0</v>
      </c>
      <c r="S13" s="9">
        <f>IF(H13&gt;L13,(H13-L13)*INDEX('2018_commission_structure'!$A$1:$I$4,MATCH($E13,'2018_commission_structure'!$A$1:$A$4,0),MATCH(S$1,'2018_commission_structure'!$A$1:$I$1,0)),0)</f>
        <v>0</v>
      </c>
      <c r="T13" s="9">
        <f t="shared" si="6"/>
        <v>91167.86</v>
      </c>
      <c r="U13" s="9">
        <f t="shared" si="7"/>
        <v>145559.85999999999</v>
      </c>
      <c r="V13" s="9">
        <f>MIN($I13,$H13)*INDEX('Key Metrics'!$E$16:$N$19,MATCH($E13,'Key Metrics'!$E$16:$E$19,0),MATCH(V$1,'Key Metrics'!$E$16:$M$16,0))</f>
        <v>90000</v>
      </c>
      <c r="W13" s="9">
        <f>IF($H13&gt;I13, MIN($H13-I13, J13-I13)*INDEX('Key Metrics'!$E$16:$N$19,MATCH($E13,'Key Metrics'!$E$16:$E$19,0),MATCH(W$1,'Key Metrics'!$E$16:$M$16,0)),0)</f>
        <v>13942.439999999999</v>
      </c>
      <c r="X13" s="9">
        <f>IF($H13&gt;J13, MIN($H13-J13, K13-J13)*INDEX('Key Metrics'!$E$16:$N$19,MATCH($E13,'Key Metrics'!$E$16:$E$19,0),MATCH(X$1,'Key Metrics'!$E$16:$M$16,0)),0)</f>
        <v>0</v>
      </c>
      <c r="Y13" s="9">
        <f>IF($H13&gt;K13, MIN($H13-K13, L13-K13)*INDEX('Key Metrics'!$E$16:$N$19,MATCH($E13,'Key Metrics'!$E$16:$E$19,0),MATCH(Y$1,'Key Metrics'!$E$16:$M$16,0)),0)</f>
        <v>0</v>
      </c>
      <c r="Z13" s="9">
        <f>IF($H13&gt;L13,($H13-L13)*INDEX('Key Metrics'!$E$16:$N$19,MATCH($E13,'Key Metrics'!$E$16:$E$19,0),MATCH(Z$1,'Key Metrics'!$E$16:$M$16,0)),0)</f>
        <v>0</v>
      </c>
      <c r="AA13" s="9">
        <f t="shared" si="8"/>
        <v>103942.44</v>
      </c>
      <c r="AB13" s="9">
        <f t="shared" si="9"/>
        <v>103943.56909666667</v>
      </c>
    </row>
    <row r="14" spans="1:28" x14ac:dyDescent="0.55000000000000004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COUNTIF(deals_closed!$D$2:$D$20001,Calculations!B219)</f>
        <v>16</v>
      </c>
      <c r="H14" s="7">
        <f>SUMIF(deals_closed!$D:$D,Calculations!B219,deals_closed!$C:$C)</f>
        <v>593010</v>
      </c>
      <c r="I14" s="5">
        <f>VLOOKUP(E14,'2018_commission_structure'!$A$1:$I$4,9,FALSE)</f>
        <v>500000</v>
      </c>
      <c r="J14" s="9">
        <f t="shared" si="1"/>
        <v>625000</v>
      </c>
      <c r="K14" s="10">
        <f t="shared" si="2"/>
        <v>750000</v>
      </c>
      <c r="L14" s="9">
        <f t="shared" si="3"/>
        <v>1000000</v>
      </c>
      <c r="M14" s="8">
        <f t="shared" si="4"/>
        <v>1.1860200000000001</v>
      </c>
      <c r="N14" t="str">
        <f t="shared" si="5"/>
        <v>100-125%</v>
      </c>
      <c r="O14" s="9">
        <f>MIN($H14,$I14)*INDEX('2018_commission_structure'!$A$1:$I$4,MATCH($E14,'2018_commission_structure'!$A$1:$A$4,0),MATCH(O$1,'2018_commission_structure'!$A$1:$I$1,0))</f>
        <v>50000</v>
      </c>
      <c r="P14" s="9">
        <f>IF(H14&gt;I14, MIN(H14-I14, J14-I14)*INDEX('2018_commission_structure'!$A$1:$I$4,MATCH($E14,'2018_commission_structure'!$A$1:$A$4,0),MATCH(P$1,'2018_commission_structure'!$A$1:$I$1,0)),0)</f>
        <v>13951.5</v>
      </c>
      <c r="Q14" s="9">
        <f>IF($H14&gt;J14, MIN($H14-J14, K14-J14)*INDEX('2018_commission_structure'!$A$1:$I$4,MATCH($E14,'2018_commission_structure'!$A$1:$A$4,0),MATCH(Q$1,'2018_commission_structure'!$A$1:$I$1,0)),0)</f>
        <v>0</v>
      </c>
      <c r="R14" s="9">
        <f>IF($H14&gt;K14, MIN($H14-K14, L14-K14)*INDEX('2018_commission_structure'!$A$1:$I$4,MATCH($E14,'2018_commission_structure'!$A$1:$A$4,0),MATCH(R$1,'2018_commission_structure'!$A$1:$I$1,0)),0)</f>
        <v>0</v>
      </c>
      <c r="S14" s="9">
        <f>IF(H14&gt;L14,(H14-L14)*INDEX('2018_commission_structure'!$A$1:$I$4,MATCH($E14,'2018_commission_structure'!$A$1:$A$4,0),MATCH(S$1,'2018_commission_structure'!$A$1:$I$1,0)),0)</f>
        <v>0</v>
      </c>
      <c r="T14" s="9">
        <f t="shared" si="6"/>
        <v>63951.5</v>
      </c>
      <c r="U14" s="9">
        <f t="shared" si="7"/>
        <v>119271.5</v>
      </c>
      <c r="V14" s="9">
        <f>MIN($I14,$H14)*INDEX('Key Metrics'!$E$16:$N$19,MATCH($E14,'Key Metrics'!$E$16:$E$19,0),MATCH(V$1,'Key Metrics'!$E$16:$M$16,0))</f>
        <v>60000</v>
      </c>
      <c r="W14" s="9">
        <f>IF($H14&gt;I14, MIN($H14-I14, J14-I14)*INDEX('Key Metrics'!$E$16:$N$19,MATCH($E14,'Key Metrics'!$E$16:$E$19,0),MATCH(W$1,'Key Metrics'!$E$16:$M$16,0)),0)</f>
        <v>15811.7</v>
      </c>
      <c r="X14" s="9">
        <f>IF($H14&gt;J14, MIN($H14-J14, K14-J14)*INDEX('Key Metrics'!$E$16:$N$19,MATCH($E14,'Key Metrics'!$E$16:$E$19,0),MATCH(X$1,'Key Metrics'!$E$16:$M$16,0)),0)</f>
        <v>0</v>
      </c>
      <c r="Y14" s="9">
        <f>IF($H14&gt;K14, MIN($H14-K14, L14-K14)*INDEX('Key Metrics'!$E$16:$N$19,MATCH($E14,'Key Metrics'!$E$16:$E$19,0),MATCH(Y$1,'Key Metrics'!$E$16:$M$16,0)),0)</f>
        <v>0</v>
      </c>
      <c r="Z14" s="9">
        <f>IF($H14&gt;L14,($H14-L14)*INDEX('Key Metrics'!$E$16:$N$19,MATCH($E14,'Key Metrics'!$E$16:$E$19,0),MATCH(Z$1,'Key Metrics'!$E$16:$M$16,0)),0)</f>
        <v>0</v>
      </c>
      <c r="AA14" s="9">
        <f t="shared" si="8"/>
        <v>75811.7</v>
      </c>
      <c r="AB14" s="9">
        <f t="shared" si="9"/>
        <v>75812.886019999991</v>
      </c>
    </row>
    <row r="15" spans="1:28" x14ac:dyDescent="0.55000000000000004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COUNTIF(deals_closed!$D$2:$D$20001,Calculations!B673)</f>
        <v>23</v>
      </c>
      <c r="H15" s="7">
        <f>SUMIF(deals_closed!$D:$D,Calculations!B673,deals_closed!$C:$C)</f>
        <v>644872</v>
      </c>
      <c r="I15" s="5">
        <f>VLOOKUP(E15,'2018_commission_structure'!$A$1:$I$4,9,FALSE)</f>
        <v>750000</v>
      </c>
      <c r="J15" s="9">
        <f t="shared" si="1"/>
        <v>937500</v>
      </c>
      <c r="K15" s="10">
        <f t="shared" si="2"/>
        <v>1125000</v>
      </c>
      <c r="L15" s="9">
        <f t="shared" si="3"/>
        <v>1500000</v>
      </c>
      <c r="M15" s="8">
        <f t="shared" si="4"/>
        <v>0.85982933333333333</v>
      </c>
      <c r="N15" t="str">
        <f t="shared" si="5"/>
        <v>0-100%</v>
      </c>
      <c r="O15" s="9">
        <f>MIN($H15,$I15)*INDEX('2018_commission_structure'!$A$1:$I$4,MATCH($E15,'2018_commission_structure'!$A$1:$A$4,0),MATCH(O$1,'2018_commission_structure'!$A$1:$I$1,0))</f>
        <v>96730.8</v>
      </c>
      <c r="P15" s="9">
        <f>IF(H15&gt;I15, MIN(H15-I15, J15-I15)*INDEX('2018_commission_structure'!$A$1:$I$4,MATCH($E15,'2018_commission_structure'!$A$1:$A$4,0),MATCH(P$1,'2018_commission_structure'!$A$1:$I$1,0)),0)</f>
        <v>0</v>
      </c>
      <c r="Q15" s="9">
        <f>IF($H15&gt;J15, MIN($H15-J15, K15-J15)*INDEX('2018_commission_structure'!$A$1:$I$4,MATCH($E15,'2018_commission_structure'!$A$1:$A$4,0),MATCH(Q$1,'2018_commission_structure'!$A$1:$I$1,0)),0)</f>
        <v>0</v>
      </c>
      <c r="R15" s="9">
        <f>IF($H15&gt;K15, MIN($H15-K15, L15-K15)*INDEX('2018_commission_structure'!$A$1:$I$4,MATCH($E15,'2018_commission_structure'!$A$1:$A$4,0),MATCH(R$1,'2018_commission_structure'!$A$1:$I$1,0)),0)</f>
        <v>0</v>
      </c>
      <c r="S15" s="9">
        <f>IF(H15&gt;L15,(H15-L15)*INDEX('2018_commission_structure'!$A$1:$I$4,MATCH($E15,'2018_commission_structure'!$A$1:$A$4,0),MATCH(S$1,'2018_commission_structure'!$A$1:$I$1,0)),0)</f>
        <v>0</v>
      </c>
      <c r="T15" s="9">
        <f t="shared" si="6"/>
        <v>96730.8</v>
      </c>
      <c r="U15" s="9">
        <f t="shared" si="7"/>
        <v>182000.8</v>
      </c>
      <c r="V15" s="9">
        <f>MIN($I15,$H15)*INDEX('Key Metrics'!$E$16:$N$19,MATCH($E15,'Key Metrics'!$E$16:$E$19,0),MATCH(V$1,'Key Metrics'!$E$16:$M$16,0))</f>
        <v>96730.8</v>
      </c>
      <c r="W15" s="9">
        <f>IF($H15&gt;I15, MIN($H15-I15, J15-I15)*INDEX('Key Metrics'!$E$16:$N$19,MATCH($E15,'Key Metrics'!$E$16:$E$19,0),MATCH(W$1,'Key Metrics'!$E$16:$M$16,0)),0)</f>
        <v>0</v>
      </c>
      <c r="X15" s="9">
        <f>IF($H15&gt;J15, MIN($H15-J15, K15-J15)*INDEX('Key Metrics'!$E$16:$N$19,MATCH($E15,'Key Metrics'!$E$16:$E$19,0),MATCH(X$1,'Key Metrics'!$E$16:$M$16,0)),0)</f>
        <v>0</v>
      </c>
      <c r="Y15" s="9">
        <f>IF($H15&gt;K15, MIN($H15-K15, L15-K15)*INDEX('Key Metrics'!$E$16:$N$19,MATCH($E15,'Key Metrics'!$E$16:$E$19,0),MATCH(Y$1,'Key Metrics'!$E$16:$M$16,0)),0)</f>
        <v>0</v>
      </c>
      <c r="Z15" s="9">
        <f>IF($H15&gt;L15,($H15-L15)*INDEX('Key Metrics'!$E$16:$N$19,MATCH($E15,'Key Metrics'!$E$16:$E$19,0),MATCH(Z$1,'Key Metrics'!$E$16:$M$16,0)),0)</f>
        <v>0</v>
      </c>
      <c r="AA15" s="9">
        <f t="shared" si="8"/>
        <v>96730.8</v>
      </c>
      <c r="AB15" s="9">
        <f t="shared" si="9"/>
        <v>96731.659829333337</v>
      </c>
    </row>
    <row r="16" spans="1:28" x14ac:dyDescent="0.55000000000000004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COUNTIF(deals_closed!$D$2:$D$20001,Calculations!B418)</f>
        <v>19</v>
      </c>
      <c r="H16" s="7">
        <f>SUMIF(deals_closed!$D:$D,Calculations!B418,deals_closed!$C:$C)</f>
        <v>666454</v>
      </c>
      <c r="I16" s="5">
        <f>VLOOKUP(E16,'2018_commission_structure'!$A$1:$I$4,9,FALSE)</f>
        <v>750000</v>
      </c>
      <c r="J16" s="9">
        <f t="shared" si="1"/>
        <v>937500</v>
      </c>
      <c r="K16" s="10">
        <f t="shared" si="2"/>
        <v>1125000</v>
      </c>
      <c r="L16" s="9">
        <f t="shared" si="3"/>
        <v>1500000</v>
      </c>
      <c r="M16" s="8">
        <f t="shared" si="4"/>
        <v>0.88860533333333336</v>
      </c>
      <c r="N16" t="str">
        <f t="shared" si="5"/>
        <v>0-100%</v>
      </c>
      <c r="O16" s="9">
        <f>MIN($H16,$I16)*INDEX('2018_commission_structure'!$A$1:$I$4,MATCH($E16,'2018_commission_structure'!$A$1:$A$4,0),MATCH(O$1,'2018_commission_structure'!$A$1:$I$1,0))</f>
        <v>99968.099999999991</v>
      </c>
      <c r="P16" s="9">
        <f>IF(H16&gt;I16, MIN(H16-I16, J16-I16)*INDEX('2018_commission_structure'!$A$1:$I$4,MATCH($E16,'2018_commission_structure'!$A$1:$A$4,0),MATCH(P$1,'2018_commission_structure'!$A$1:$I$1,0)),0)</f>
        <v>0</v>
      </c>
      <c r="Q16" s="9">
        <f>IF($H16&gt;J16, MIN($H16-J16, K16-J16)*INDEX('2018_commission_structure'!$A$1:$I$4,MATCH($E16,'2018_commission_structure'!$A$1:$A$4,0),MATCH(Q$1,'2018_commission_structure'!$A$1:$I$1,0)),0)</f>
        <v>0</v>
      </c>
      <c r="R16" s="9">
        <f>IF($H16&gt;K16, MIN($H16-K16, L16-K16)*INDEX('2018_commission_structure'!$A$1:$I$4,MATCH($E16,'2018_commission_structure'!$A$1:$A$4,0),MATCH(R$1,'2018_commission_structure'!$A$1:$I$1,0)),0)</f>
        <v>0</v>
      </c>
      <c r="S16" s="9">
        <f>IF(H16&gt;L16,(H16-L16)*INDEX('2018_commission_structure'!$A$1:$I$4,MATCH($E16,'2018_commission_structure'!$A$1:$A$4,0),MATCH(S$1,'2018_commission_structure'!$A$1:$I$1,0)),0)</f>
        <v>0</v>
      </c>
      <c r="T16" s="9">
        <f t="shared" si="6"/>
        <v>99968.099999999991</v>
      </c>
      <c r="U16" s="9">
        <f t="shared" si="7"/>
        <v>197505.09999999998</v>
      </c>
      <c r="V16" s="9">
        <f>MIN($I16,$H16)*INDEX('Key Metrics'!$E$16:$N$19,MATCH($E16,'Key Metrics'!$E$16:$E$19,0),MATCH(V$1,'Key Metrics'!$E$16:$M$16,0))</f>
        <v>99968.099999999991</v>
      </c>
      <c r="W16" s="9">
        <f>IF($H16&gt;I16, MIN($H16-I16, J16-I16)*INDEX('Key Metrics'!$E$16:$N$19,MATCH($E16,'Key Metrics'!$E$16:$E$19,0),MATCH(W$1,'Key Metrics'!$E$16:$M$16,0)),0)</f>
        <v>0</v>
      </c>
      <c r="X16" s="9">
        <f>IF($H16&gt;J16, MIN($H16-J16, K16-J16)*INDEX('Key Metrics'!$E$16:$N$19,MATCH($E16,'Key Metrics'!$E$16:$E$19,0),MATCH(X$1,'Key Metrics'!$E$16:$M$16,0)),0)</f>
        <v>0</v>
      </c>
      <c r="Y16" s="9">
        <f>IF($H16&gt;K16, MIN($H16-K16, L16-K16)*INDEX('Key Metrics'!$E$16:$N$19,MATCH($E16,'Key Metrics'!$E$16:$E$19,0),MATCH(Y$1,'Key Metrics'!$E$16:$M$16,0)),0)</f>
        <v>0</v>
      </c>
      <c r="Z16" s="9">
        <f>IF($H16&gt;L16,($H16-L16)*INDEX('Key Metrics'!$E$16:$N$19,MATCH($E16,'Key Metrics'!$E$16:$E$19,0),MATCH(Z$1,'Key Metrics'!$E$16:$M$16,0)),0)</f>
        <v>0</v>
      </c>
      <c r="AA16" s="9">
        <f t="shared" si="8"/>
        <v>99968.099999999991</v>
      </c>
      <c r="AB16" s="9">
        <f t="shared" si="9"/>
        <v>99968.988605333318</v>
      </c>
    </row>
    <row r="17" spans="1:28" x14ac:dyDescent="0.55000000000000004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COUNTIF(deals_closed!$D$2:$D$20001,Calculations!B851)</f>
        <v>18</v>
      </c>
      <c r="H17" s="7">
        <f>SUMIF(deals_closed!$D:$D,Calculations!B851,deals_closed!$C:$C)</f>
        <v>605849</v>
      </c>
      <c r="I17" s="5">
        <f>VLOOKUP(E17,'2018_commission_structure'!$A$1:$I$4,9,FALSE)</f>
        <v>500000</v>
      </c>
      <c r="J17" s="9">
        <f t="shared" si="1"/>
        <v>625000</v>
      </c>
      <c r="K17" s="10">
        <f t="shared" si="2"/>
        <v>750000</v>
      </c>
      <c r="L17" s="9">
        <f t="shared" si="3"/>
        <v>1000000</v>
      </c>
      <c r="M17" s="8">
        <f t="shared" si="4"/>
        <v>1.2116979999999999</v>
      </c>
      <c r="N17" t="str">
        <f t="shared" si="5"/>
        <v>100-125%</v>
      </c>
      <c r="O17" s="9">
        <f>MIN($H17,$I17)*INDEX('2018_commission_structure'!$A$1:$I$4,MATCH($E17,'2018_commission_structure'!$A$1:$A$4,0),MATCH(O$1,'2018_commission_structure'!$A$1:$I$1,0))</f>
        <v>50000</v>
      </c>
      <c r="P17" s="9">
        <f>IF(H17&gt;I17, MIN(H17-I17, J17-I17)*INDEX('2018_commission_structure'!$A$1:$I$4,MATCH($E17,'2018_commission_structure'!$A$1:$A$4,0),MATCH(P$1,'2018_commission_structure'!$A$1:$I$1,0)),0)</f>
        <v>15877.349999999999</v>
      </c>
      <c r="Q17" s="9">
        <f>IF($H17&gt;J17, MIN($H17-J17, K17-J17)*INDEX('2018_commission_structure'!$A$1:$I$4,MATCH($E17,'2018_commission_structure'!$A$1:$A$4,0),MATCH(Q$1,'2018_commission_structure'!$A$1:$I$1,0)),0)</f>
        <v>0</v>
      </c>
      <c r="R17" s="9">
        <f>IF($H17&gt;K17, MIN($H17-K17, L17-K17)*INDEX('2018_commission_structure'!$A$1:$I$4,MATCH($E17,'2018_commission_structure'!$A$1:$A$4,0),MATCH(R$1,'2018_commission_structure'!$A$1:$I$1,0)),0)</f>
        <v>0</v>
      </c>
      <c r="S17" s="9">
        <f>IF(H17&gt;L17,(H17-L17)*INDEX('2018_commission_structure'!$A$1:$I$4,MATCH($E17,'2018_commission_structure'!$A$1:$A$4,0),MATCH(S$1,'2018_commission_structure'!$A$1:$I$1,0)),0)</f>
        <v>0</v>
      </c>
      <c r="T17" s="9">
        <f t="shared" si="6"/>
        <v>65877.350000000006</v>
      </c>
      <c r="U17" s="9">
        <f t="shared" si="7"/>
        <v>101156.35</v>
      </c>
      <c r="V17" s="9">
        <f>MIN($I17,$H17)*INDEX('Key Metrics'!$E$16:$N$19,MATCH($E17,'Key Metrics'!$E$16:$E$19,0),MATCH(V$1,'Key Metrics'!$E$16:$M$16,0))</f>
        <v>60000</v>
      </c>
      <c r="W17" s="9">
        <f>IF($H17&gt;I17, MIN($H17-I17, J17-I17)*INDEX('Key Metrics'!$E$16:$N$19,MATCH($E17,'Key Metrics'!$E$16:$E$19,0),MATCH(W$1,'Key Metrics'!$E$16:$M$16,0)),0)</f>
        <v>17994.330000000002</v>
      </c>
      <c r="X17" s="9">
        <f>IF($H17&gt;J17, MIN($H17-J17, K17-J17)*INDEX('Key Metrics'!$E$16:$N$19,MATCH($E17,'Key Metrics'!$E$16:$E$19,0),MATCH(X$1,'Key Metrics'!$E$16:$M$16,0)),0)</f>
        <v>0</v>
      </c>
      <c r="Y17" s="9">
        <f>IF($H17&gt;K17, MIN($H17-K17, L17-K17)*INDEX('Key Metrics'!$E$16:$N$19,MATCH($E17,'Key Metrics'!$E$16:$E$19,0),MATCH(Y$1,'Key Metrics'!$E$16:$M$16,0)),0)</f>
        <v>0</v>
      </c>
      <c r="Z17" s="9">
        <f>IF($H17&gt;L17,($H17-L17)*INDEX('Key Metrics'!$E$16:$N$19,MATCH($E17,'Key Metrics'!$E$16:$E$19,0),MATCH(Z$1,'Key Metrics'!$E$16:$M$16,0)),0)</f>
        <v>0</v>
      </c>
      <c r="AA17" s="9">
        <f t="shared" si="8"/>
        <v>77994.33</v>
      </c>
      <c r="AB17" s="9">
        <f t="shared" si="9"/>
        <v>77995.541698000001</v>
      </c>
    </row>
    <row r="18" spans="1:28" x14ac:dyDescent="0.55000000000000004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COUNTIF(deals_closed!$D$2:$D$20001,Calculations!B633)</f>
        <v>19</v>
      </c>
      <c r="H18" s="7">
        <f>SUMIF(deals_closed!$D:$D,Calculations!B633,deals_closed!$C:$C)</f>
        <v>648303</v>
      </c>
      <c r="I18" s="5">
        <f>VLOOKUP(E18,'2018_commission_structure'!$A$1:$I$4,9,FALSE)</f>
        <v>600000</v>
      </c>
      <c r="J18" s="9">
        <f t="shared" si="1"/>
        <v>750000</v>
      </c>
      <c r="K18" s="10">
        <f t="shared" si="2"/>
        <v>900000</v>
      </c>
      <c r="L18" s="9">
        <f t="shared" si="3"/>
        <v>1200000</v>
      </c>
      <c r="M18" s="8">
        <f t="shared" si="4"/>
        <v>1.080505</v>
      </c>
      <c r="N18" t="str">
        <f t="shared" si="5"/>
        <v>100-125%</v>
      </c>
      <c r="O18" s="9">
        <f>MIN($H18,$I18)*INDEX('2018_commission_structure'!$A$1:$I$4,MATCH($E18,'2018_commission_structure'!$A$1:$A$4,0),MATCH(O$1,'2018_commission_structure'!$A$1:$I$1,0))</f>
        <v>78000</v>
      </c>
      <c r="P18" s="9">
        <f>IF(H18&gt;I18, MIN(H18-I18, J18-I18)*INDEX('2018_commission_structure'!$A$1:$I$4,MATCH($E18,'2018_commission_structure'!$A$1:$A$4,0),MATCH(P$1,'2018_commission_structure'!$A$1:$I$1,0)),0)</f>
        <v>8211.51</v>
      </c>
      <c r="Q18" s="9">
        <f>IF($H18&gt;J18, MIN($H18-J18, K18-J18)*INDEX('2018_commission_structure'!$A$1:$I$4,MATCH($E18,'2018_commission_structure'!$A$1:$A$4,0),MATCH(Q$1,'2018_commission_structure'!$A$1:$I$1,0)),0)</f>
        <v>0</v>
      </c>
      <c r="R18" s="9">
        <f>IF($H18&gt;K18, MIN($H18-K18, L18-K18)*INDEX('2018_commission_structure'!$A$1:$I$4,MATCH($E18,'2018_commission_structure'!$A$1:$A$4,0),MATCH(R$1,'2018_commission_structure'!$A$1:$I$1,0)),0)</f>
        <v>0</v>
      </c>
      <c r="S18" s="9">
        <f>IF(H18&gt;L18,(H18-L18)*INDEX('2018_commission_structure'!$A$1:$I$4,MATCH($E18,'2018_commission_structure'!$A$1:$A$4,0),MATCH(S$1,'2018_commission_structure'!$A$1:$I$1,0)),0)</f>
        <v>0</v>
      </c>
      <c r="T18" s="9">
        <f t="shared" si="6"/>
        <v>86211.51</v>
      </c>
      <c r="U18" s="9">
        <f t="shared" si="7"/>
        <v>149822.51</v>
      </c>
      <c r="V18" s="9">
        <f>MIN($I18,$H18)*INDEX('Key Metrics'!$E$16:$N$19,MATCH($E18,'Key Metrics'!$E$16:$E$19,0),MATCH(V$1,'Key Metrics'!$E$16:$M$16,0))</f>
        <v>90000</v>
      </c>
      <c r="W18" s="9">
        <f>IF($H18&gt;I18, MIN($H18-I18, J18-I18)*INDEX('Key Metrics'!$E$16:$N$19,MATCH($E18,'Key Metrics'!$E$16:$E$19,0),MATCH(W$1,'Key Metrics'!$E$16:$M$16,0)),0)</f>
        <v>8694.5399999999991</v>
      </c>
      <c r="X18" s="9">
        <f>IF($H18&gt;J18, MIN($H18-J18, K18-J18)*INDEX('Key Metrics'!$E$16:$N$19,MATCH($E18,'Key Metrics'!$E$16:$E$19,0),MATCH(X$1,'Key Metrics'!$E$16:$M$16,0)),0)</f>
        <v>0</v>
      </c>
      <c r="Y18" s="9">
        <f>IF($H18&gt;K18, MIN($H18-K18, L18-K18)*INDEX('Key Metrics'!$E$16:$N$19,MATCH($E18,'Key Metrics'!$E$16:$E$19,0),MATCH(Y$1,'Key Metrics'!$E$16:$M$16,0)),0)</f>
        <v>0</v>
      </c>
      <c r="Z18" s="9">
        <f>IF($H18&gt;L18,($H18-L18)*INDEX('Key Metrics'!$E$16:$N$19,MATCH($E18,'Key Metrics'!$E$16:$E$19,0),MATCH(Z$1,'Key Metrics'!$E$16:$M$16,0)),0)</f>
        <v>0</v>
      </c>
      <c r="AA18" s="9">
        <f t="shared" si="8"/>
        <v>98694.54</v>
      </c>
      <c r="AB18" s="9">
        <f t="shared" si="9"/>
        <v>98695.620504999999</v>
      </c>
    </row>
    <row r="19" spans="1:28" x14ac:dyDescent="0.55000000000000004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COUNTIF(deals_closed!$D$2:$D$20001,Calculations!B918)</f>
        <v>21</v>
      </c>
      <c r="H19" s="7">
        <f>SUMIF(deals_closed!$D:$D,Calculations!B918,deals_closed!$C:$C)</f>
        <v>707829</v>
      </c>
      <c r="I19" s="5">
        <f>VLOOKUP(E19,'2018_commission_structure'!$A$1:$I$4,9,FALSE)</f>
        <v>750000</v>
      </c>
      <c r="J19" s="9">
        <f t="shared" si="1"/>
        <v>937500</v>
      </c>
      <c r="K19" s="10">
        <f t="shared" si="2"/>
        <v>1125000</v>
      </c>
      <c r="L19" s="9">
        <f t="shared" si="3"/>
        <v>1500000</v>
      </c>
      <c r="M19" s="8">
        <f t="shared" si="4"/>
        <v>0.94377200000000006</v>
      </c>
      <c r="N19" t="str">
        <f t="shared" si="5"/>
        <v>0-100%</v>
      </c>
      <c r="O19" s="9">
        <f>MIN($H19,$I19)*INDEX('2018_commission_structure'!$A$1:$I$4,MATCH($E19,'2018_commission_structure'!$A$1:$A$4,0),MATCH(O$1,'2018_commission_structure'!$A$1:$I$1,0))</f>
        <v>106174.34999999999</v>
      </c>
      <c r="P19" s="9">
        <f>IF(H19&gt;I19, MIN(H19-I19, J19-I19)*INDEX('2018_commission_structure'!$A$1:$I$4,MATCH($E19,'2018_commission_structure'!$A$1:$A$4,0),MATCH(P$1,'2018_commission_structure'!$A$1:$I$1,0)),0)</f>
        <v>0</v>
      </c>
      <c r="Q19" s="9">
        <f>IF($H19&gt;J19, MIN($H19-J19, K19-J19)*INDEX('2018_commission_structure'!$A$1:$I$4,MATCH($E19,'2018_commission_structure'!$A$1:$A$4,0),MATCH(Q$1,'2018_commission_structure'!$A$1:$I$1,0)),0)</f>
        <v>0</v>
      </c>
      <c r="R19" s="9">
        <f>IF($H19&gt;K19, MIN($H19-K19, L19-K19)*INDEX('2018_commission_structure'!$A$1:$I$4,MATCH($E19,'2018_commission_structure'!$A$1:$A$4,0),MATCH(R$1,'2018_commission_structure'!$A$1:$I$1,0)),0)</f>
        <v>0</v>
      </c>
      <c r="S19" s="9">
        <f>IF(H19&gt;L19,(H19-L19)*INDEX('2018_commission_structure'!$A$1:$I$4,MATCH($E19,'2018_commission_structure'!$A$1:$A$4,0),MATCH(S$1,'2018_commission_structure'!$A$1:$I$1,0)),0)</f>
        <v>0</v>
      </c>
      <c r="T19" s="9">
        <f t="shared" si="6"/>
        <v>106174.34999999999</v>
      </c>
      <c r="U19" s="9">
        <f t="shared" si="7"/>
        <v>188327.34999999998</v>
      </c>
      <c r="V19" s="9">
        <f>MIN($I19,$H19)*INDEX('Key Metrics'!$E$16:$N$19,MATCH($E19,'Key Metrics'!$E$16:$E$19,0),MATCH(V$1,'Key Metrics'!$E$16:$M$16,0))</f>
        <v>106174.34999999999</v>
      </c>
      <c r="W19" s="9">
        <f>IF($H19&gt;I19, MIN($H19-I19, J19-I19)*INDEX('Key Metrics'!$E$16:$N$19,MATCH($E19,'Key Metrics'!$E$16:$E$19,0),MATCH(W$1,'Key Metrics'!$E$16:$M$16,0)),0)</f>
        <v>0</v>
      </c>
      <c r="X19" s="9">
        <f>IF($H19&gt;J19, MIN($H19-J19, K19-J19)*INDEX('Key Metrics'!$E$16:$N$19,MATCH($E19,'Key Metrics'!$E$16:$E$19,0),MATCH(X$1,'Key Metrics'!$E$16:$M$16,0)),0)</f>
        <v>0</v>
      </c>
      <c r="Y19" s="9">
        <f>IF($H19&gt;K19, MIN($H19-K19, L19-K19)*INDEX('Key Metrics'!$E$16:$N$19,MATCH($E19,'Key Metrics'!$E$16:$E$19,0),MATCH(Y$1,'Key Metrics'!$E$16:$M$16,0)),0)</f>
        <v>0</v>
      </c>
      <c r="Z19" s="9">
        <f>IF($H19&gt;L19,($H19-L19)*INDEX('Key Metrics'!$E$16:$N$19,MATCH($E19,'Key Metrics'!$E$16:$E$19,0),MATCH(Z$1,'Key Metrics'!$E$16:$M$16,0)),0)</f>
        <v>0</v>
      </c>
      <c r="AA19" s="9">
        <f t="shared" si="8"/>
        <v>106174.34999999999</v>
      </c>
      <c r="AB19" s="9">
        <f t="shared" si="9"/>
        <v>106175.29377199999</v>
      </c>
    </row>
    <row r="20" spans="1:28" x14ac:dyDescent="0.55000000000000004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COUNTIF(deals_closed!$D$2:$D$20001,Calculations!B5)</f>
        <v>25</v>
      </c>
      <c r="H20" s="7">
        <f>SUMIF(deals_closed!$D:$D,Calculations!B5,deals_closed!$C:$C)</f>
        <v>919261</v>
      </c>
      <c r="I20" s="5">
        <f>VLOOKUP(E20,'2018_commission_structure'!$A$1:$I$4,9,FALSE)</f>
        <v>750000</v>
      </c>
      <c r="J20" s="9">
        <f t="shared" si="1"/>
        <v>937500</v>
      </c>
      <c r="K20" s="10">
        <f t="shared" si="2"/>
        <v>1125000</v>
      </c>
      <c r="L20" s="9">
        <f t="shared" si="3"/>
        <v>1500000</v>
      </c>
      <c r="M20" s="8">
        <f t="shared" si="4"/>
        <v>1.2256813333333334</v>
      </c>
      <c r="N20" t="str">
        <f t="shared" si="5"/>
        <v>100-125%</v>
      </c>
      <c r="O20" s="9">
        <f>MIN($H20,$I20)*INDEX('2018_commission_structure'!$A$1:$I$4,MATCH($E20,'2018_commission_structure'!$A$1:$A$4,0),MATCH(O$1,'2018_commission_structure'!$A$1:$I$1,0))</f>
        <v>112500</v>
      </c>
      <c r="P20" s="9">
        <f>IF(H20&gt;I20, MIN(H20-I20, J20-I20)*INDEX('2018_commission_structure'!$A$1:$I$4,MATCH($E20,'2018_commission_structure'!$A$1:$A$4,0),MATCH(P$1,'2018_commission_structure'!$A$1:$I$1,0)),0)</f>
        <v>32159.59</v>
      </c>
      <c r="Q20" s="9">
        <f>IF($H20&gt;J20, MIN($H20-J20, K20-J20)*INDEX('2018_commission_structure'!$A$1:$I$4,MATCH($E20,'2018_commission_structure'!$A$1:$A$4,0),MATCH(Q$1,'2018_commission_structure'!$A$1:$I$1,0)),0)</f>
        <v>0</v>
      </c>
      <c r="R20" s="9">
        <f>IF($H20&gt;K20, MIN($H20-K20, L20-K20)*INDEX('2018_commission_structure'!$A$1:$I$4,MATCH($E20,'2018_commission_structure'!$A$1:$A$4,0),MATCH(R$1,'2018_commission_structure'!$A$1:$I$1,0)),0)</f>
        <v>0</v>
      </c>
      <c r="S20" s="9">
        <f>IF(H20&gt;L20,(H20-L20)*INDEX('2018_commission_structure'!$A$1:$I$4,MATCH($E20,'2018_commission_structure'!$A$1:$A$4,0),MATCH(S$1,'2018_commission_structure'!$A$1:$I$1,0)),0)</f>
        <v>0</v>
      </c>
      <c r="T20" s="9">
        <f t="shared" si="6"/>
        <v>144659.59</v>
      </c>
      <c r="U20" s="9">
        <f t="shared" si="7"/>
        <v>250280.59</v>
      </c>
      <c r="V20" s="9">
        <f>MIN($I20,$H20)*INDEX('Key Metrics'!$E$16:$N$19,MATCH($E20,'Key Metrics'!$E$16:$E$19,0),MATCH(V$1,'Key Metrics'!$E$16:$M$16,0))</f>
        <v>112500</v>
      </c>
      <c r="W20" s="9">
        <f>IF($H20&gt;I20, MIN($H20-I20, J20-I20)*INDEX('Key Metrics'!$E$16:$N$19,MATCH($E20,'Key Metrics'!$E$16:$E$19,0),MATCH(W$1,'Key Metrics'!$E$16:$M$16,0)),0)</f>
        <v>37237.42</v>
      </c>
      <c r="X20" s="9">
        <f>IF($H20&gt;J20, MIN($H20-J20, K20-J20)*INDEX('Key Metrics'!$E$16:$N$19,MATCH($E20,'Key Metrics'!$E$16:$E$19,0),MATCH(X$1,'Key Metrics'!$E$16:$M$16,0)),0)</f>
        <v>0</v>
      </c>
      <c r="Y20" s="9">
        <f>IF($H20&gt;K20, MIN($H20-K20, L20-K20)*INDEX('Key Metrics'!$E$16:$N$19,MATCH($E20,'Key Metrics'!$E$16:$E$19,0),MATCH(Y$1,'Key Metrics'!$E$16:$M$16,0)),0)</f>
        <v>0</v>
      </c>
      <c r="Z20" s="9">
        <f>IF($H20&gt;L20,($H20-L20)*INDEX('Key Metrics'!$E$16:$N$19,MATCH($E20,'Key Metrics'!$E$16:$E$19,0),MATCH(Z$1,'Key Metrics'!$E$16:$M$16,0)),0)</f>
        <v>0</v>
      </c>
      <c r="AA20" s="9">
        <f t="shared" si="8"/>
        <v>149737.41999999998</v>
      </c>
      <c r="AB20" s="9">
        <f t="shared" si="9"/>
        <v>149738.64568133332</v>
      </c>
    </row>
    <row r="21" spans="1:28" x14ac:dyDescent="0.55000000000000004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COUNTIF(deals_closed!$D$2:$D$20001,Calculations!B864)</f>
        <v>25</v>
      </c>
      <c r="H21" s="7">
        <f>SUMIF(deals_closed!$D:$D,Calculations!B864,deals_closed!$C:$C)</f>
        <v>833825</v>
      </c>
      <c r="I21" s="5">
        <f>VLOOKUP(E21,'2018_commission_structure'!$A$1:$I$4,9,FALSE)</f>
        <v>750000</v>
      </c>
      <c r="J21" s="9">
        <f t="shared" si="1"/>
        <v>937500</v>
      </c>
      <c r="K21" s="10">
        <f t="shared" si="2"/>
        <v>1125000</v>
      </c>
      <c r="L21" s="9">
        <f t="shared" si="3"/>
        <v>1500000</v>
      </c>
      <c r="M21" s="8">
        <f t="shared" si="4"/>
        <v>1.1117666666666666</v>
      </c>
      <c r="N21" t="str">
        <f t="shared" si="5"/>
        <v>100-125%</v>
      </c>
      <c r="O21" s="9">
        <f>MIN($H21,$I21)*INDEX('2018_commission_structure'!$A$1:$I$4,MATCH($E21,'2018_commission_structure'!$A$1:$A$4,0),MATCH(O$1,'2018_commission_structure'!$A$1:$I$1,0))</f>
        <v>112500</v>
      </c>
      <c r="P21" s="9">
        <f>IF(H21&gt;I21, MIN(H21-I21, J21-I21)*INDEX('2018_commission_structure'!$A$1:$I$4,MATCH($E21,'2018_commission_structure'!$A$1:$A$4,0),MATCH(P$1,'2018_commission_structure'!$A$1:$I$1,0)),0)</f>
        <v>15926.75</v>
      </c>
      <c r="Q21" s="9">
        <f>IF($H21&gt;J21, MIN($H21-J21, K21-J21)*INDEX('2018_commission_structure'!$A$1:$I$4,MATCH($E21,'2018_commission_structure'!$A$1:$A$4,0),MATCH(Q$1,'2018_commission_structure'!$A$1:$I$1,0)),0)</f>
        <v>0</v>
      </c>
      <c r="R21" s="9">
        <f>IF($H21&gt;K21, MIN($H21-K21, L21-K21)*INDEX('2018_commission_structure'!$A$1:$I$4,MATCH($E21,'2018_commission_structure'!$A$1:$A$4,0),MATCH(R$1,'2018_commission_structure'!$A$1:$I$1,0)),0)</f>
        <v>0</v>
      </c>
      <c r="S21" s="9">
        <f>IF(H21&gt;L21,(H21-L21)*INDEX('2018_commission_structure'!$A$1:$I$4,MATCH($E21,'2018_commission_structure'!$A$1:$A$4,0),MATCH(S$1,'2018_commission_structure'!$A$1:$I$1,0)),0)</f>
        <v>0</v>
      </c>
      <c r="T21" s="9">
        <f t="shared" si="6"/>
        <v>128426.75</v>
      </c>
      <c r="U21" s="9">
        <f t="shared" si="7"/>
        <v>233328.75</v>
      </c>
      <c r="V21" s="9">
        <f>MIN($I21,$H21)*INDEX('Key Metrics'!$E$16:$N$19,MATCH($E21,'Key Metrics'!$E$16:$E$19,0),MATCH(V$1,'Key Metrics'!$E$16:$M$16,0))</f>
        <v>112500</v>
      </c>
      <c r="W21" s="9">
        <f>IF($H21&gt;I21, MIN($H21-I21, J21-I21)*INDEX('Key Metrics'!$E$16:$N$19,MATCH($E21,'Key Metrics'!$E$16:$E$19,0),MATCH(W$1,'Key Metrics'!$E$16:$M$16,0)),0)</f>
        <v>18441.5</v>
      </c>
      <c r="X21" s="9">
        <f>IF($H21&gt;J21, MIN($H21-J21, K21-J21)*INDEX('Key Metrics'!$E$16:$N$19,MATCH($E21,'Key Metrics'!$E$16:$E$19,0),MATCH(X$1,'Key Metrics'!$E$16:$M$16,0)),0)</f>
        <v>0</v>
      </c>
      <c r="Y21" s="9">
        <f>IF($H21&gt;K21, MIN($H21-K21, L21-K21)*INDEX('Key Metrics'!$E$16:$N$19,MATCH($E21,'Key Metrics'!$E$16:$E$19,0),MATCH(Y$1,'Key Metrics'!$E$16:$M$16,0)),0)</f>
        <v>0</v>
      </c>
      <c r="Z21" s="9">
        <f>IF($H21&gt;L21,($H21-L21)*INDEX('Key Metrics'!$E$16:$N$19,MATCH($E21,'Key Metrics'!$E$16:$E$19,0),MATCH(Z$1,'Key Metrics'!$E$16:$M$16,0)),0)</f>
        <v>0</v>
      </c>
      <c r="AA21" s="9">
        <f t="shared" si="8"/>
        <v>130941.5</v>
      </c>
      <c r="AB21" s="9">
        <f t="shared" si="9"/>
        <v>130942.61176666667</v>
      </c>
    </row>
    <row r="22" spans="1:28" x14ac:dyDescent="0.55000000000000004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COUNTIF(deals_closed!$D$2:$D$20001,Calculations!B488)</f>
        <v>16</v>
      </c>
      <c r="H22" s="7">
        <f>SUMIF(deals_closed!$D:$D,Calculations!B488,deals_closed!$C:$C)</f>
        <v>535073</v>
      </c>
      <c r="I22" s="5">
        <f>VLOOKUP(E22,'2018_commission_structure'!$A$1:$I$4,9,FALSE)</f>
        <v>750000</v>
      </c>
      <c r="J22" s="9">
        <f t="shared" si="1"/>
        <v>937500</v>
      </c>
      <c r="K22" s="10">
        <f t="shared" si="2"/>
        <v>1125000</v>
      </c>
      <c r="L22" s="9">
        <f t="shared" si="3"/>
        <v>1500000</v>
      </c>
      <c r="M22" s="8">
        <f t="shared" si="4"/>
        <v>0.71343066666666666</v>
      </c>
      <c r="N22" t="str">
        <f t="shared" si="5"/>
        <v>0-100%</v>
      </c>
      <c r="O22" s="9">
        <f>MIN($H22,$I22)*INDEX('2018_commission_structure'!$A$1:$I$4,MATCH($E22,'2018_commission_structure'!$A$1:$A$4,0),MATCH(O$1,'2018_commission_structure'!$A$1:$I$1,0))</f>
        <v>80260.95</v>
      </c>
      <c r="P22" s="9">
        <f>IF(H22&gt;I22, MIN(H22-I22, J22-I22)*INDEX('2018_commission_structure'!$A$1:$I$4,MATCH($E22,'2018_commission_structure'!$A$1:$A$4,0),MATCH(P$1,'2018_commission_structure'!$A$1:$I$1,0)),0)</f>
        <v>0</v>
      </c>
      <c r="Q22" s="9">
        <f>IF($H22&gt;J22, MIN($H22-J22, K22-J22)*INDEX('2018_commission_structure'!$A$1:$I$4,MATCH($E22,'2018_commission_structure'!$A$1:$A$4,0),MATCH(Q$1,'2018_commission_structure'!$A$1:$I$1,0)),0)</f>
        <v>0</v>
      </c>
      <c r="R22" s="9">
        <f>IF($H22&gt;K22, MIN($H22-K22, L22-K22)*INDEX('2018_commission_structure'!$A$1:$I$4,MATCH($E22,'2018_commission_structure'!$A$1:$A$4,0),MATCH(R$1,'2018_commission_structure'!$A$1:$I$1,0)),0)</f>
        <v>0</v>
      </c>
      <c r="S22" s="9">
        <f>IF(H22&gt;L22,(H22-L22)*INDEX('2018_commission_structure'!$A$1:$I$4,MATCH($E22,'2018_commission_structure'!$A$1:$A$4,0),MATCH(S$1,'2018_commission_structure'!$A$1:$I$1,0)),0)</f>
        <v>0</v>
      </c>
      <c r="T22" s="9">
        <f t="shared" si="6"/>
        <v>80260.95</v>
      </c>
      <c r="U22" s="9">
        <f t="shared" si="7"/>
        <v>190991.95</v>
      </c>
      <c r="V22" s="9">
        <f>MIN($I22,$H22)*INDEX('Key Metrics'!$E$16:$N$19,MATCH($E22,'Key Metrics'!$E$16:$E$19,0),MATCH(V$1,'Key Metrics'!$E$16:$M$16,0))</f>
        <v>80260.95</v>
      </c>
      <c r="W22" s="9">
        <f>IF($H22&gt;I22, MIN($H22-I22, J22-I22)*INDEX('Key Metrics'!$E$16:$N$19,MATCH($E22,'Key Metrics'!$E$16:$E$19,0),MATCH(W$1,'Key Metrics'!$E$16:$M$16,0)),0)</f>
        <v>0</v>
      </c>
      <c r="X22" s="9">
        <f>IF($H22&gt;J22, MIN($H22-J22, K22-J22)*INDEX('Key Metrics'!$E$16:$N$19,MATCH($E22,'Key Metrics'!$E$16:$E$19,0),MATCH(X$1,'Key Metrics'!$E$16:$M$16,0)),0)</f>
        <v>0</v>
      </c>
      <c r="Y22" s="9">
        <f>IF($H22&gt;K22, MIN($H22-K22, L22-K22)*INDEX('Key Metrics'!$E$16:$N$19,MATCH($E22,'Key Metrics'!$E$16:$E$19,0),MATCH(Y$1,'Key Metrics'!$E$16:$M$16,0)),0)</f>
        <v>0</v>
      </c>
      <c r="Z22" s="9">
        <f>IF($H22&gt;L22,($H22-L22)*INDEX('Key Metrics'!$E$16:$N$19,MATCH($E22,'Key Metrics'!$E$16:$E$19,0),MATCH(Z$1,'Key Metrics'!$E$16:$M$16,0)),0)</f>
        <v>0</v>
      </c>
      <c r="AA22" s="9">
        <f t="shared" si="8"/>
        <v>80260.95</v>
      </c>
      <c r="AB22" s="9">
        <f t="shared" si="9"/>
        <v>80261.663430666667</v>
      </c>
    </row>
    <row r="23" spans="1:28" x14ac:dyDescent="0.55000000000000004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COUNTIF(deals_closed!$D$2:$D$20001,Calculations!B436)</f>
        <v>28</v>
      </c>
      <c r="H23" s="7">
        <f>SUMIF(deals_closed!$D:$D,Calculations!B436,deals_closed!$C:$C)</f>
        <v>1002125</v>
      </c>
      <c r="I23" s="5">
        <f>VLOOKUP(E23,'2018_commission_structure'!$A$1:$I$4,9,FALSE)</f>
        <v>750000</v>
      </c>
      <c r="J23" s="9">
        <f t="shared" si="1"/>
        <v>937500</v>
      </c>
      <c r="K23" s="10">
        <f t="shared" si="2"/>
        <v>1125000</v>
      </c>
      <c r="L23" s="9">
        <f t="shared" si="3"/>
        <v>1500000</v>
      </c>
      <c r="M23" s="8">
        <f t="shared" si="4"/>
        <v>1.3361666666666667</v>
      </c>
      <c r="N23" t="str">
        <f t="shared" si="5"/>
        <v>125-150%</v>
      </c>
      <c r="O23" s="9">
        <f>MIN($H23,$I23)*INDEX('2018_commission_structure'!$A$1:$I$4,MATCH($E23,'2018_commission_structure'!$A$1:$A$4,0),MATCH(O$1,'2018_commission_structure'!$A$1:$I$1,0))</f>
        <v>112500</v>
      </c>
      <c r="P23" s="9">
        <f>IF(H23&gt;I23, MIN(H23-I23, J23-I23)*INDEX('2018_commission_structure'!$A$1:$I$4,MATCH($E23,'2018_commission_structure'!$A$1:$A$4,0),MATCH(P$1,'2018_commission_structure'!$A$1:$I$1,0)),0)</f>
        <v>35625</v>
      </c>
      <c r="Q23" s="9">
        <f>IF($H23&gt;J23, MIN($H23-J23, K23-J23)*INDEX('2018_commission_structure'!$A$1:$I$4,MATCH($E23,'2018_commission_structure'!$A$1:$A$4,0),MATCH(Q$1,'2018_commission_structure'!$A$1:$I$1,0)),0)</f>
        <v>14863.75</v>
      </c>
      <c r="R23" s="9">
        <f>IF($H23&gt;K23, MIN($H23-K23, L23-K23)*INDEX('2018_commission_structure'!$A$1:$I$4,MATCH($E23,'2018_commission_structure'!$A$1:$A$4,0),MATCH(R$1,'2018_commission_structure'!$A$1:$I$1,0)),0)</f>
        <v>0</v>
      </c>
      <c r="S23" s="9">
        <f>IF(H23&gt;L23,(H23-L23)*INDEX('2018_commission_structure'!$A$1:$I$4,MATCH($E23,'2018_commission_structure'!$A$1:$A$4,0),MATCH(S$1,'2018_commission_structure'!$A$1:$I$1,0)),0)</f>
        <v>0</v>
      </c>
      <c r="T23" s="9">
        <f t="shared" si="6"/>
        <v>162988.75</v>
      </c>
      <c r="U23" s="9">
        <f t="shared" si="7"/>
        <v>285467.75</v>
      </c>
      <c r="V23" s="9">
        <f>MIN($I23,$H23)*INDEX('Key Metrics'!$E$16:$N$19,MATCH($E23,'Key Metrics'!$E$16:$E$19,0),MATCH(V$1,'Key Metrics'!$E$16:$M$16,0))</f>
        <v>112500</v>
      </c>
      <c r="W23" s="9">
        <f>IF($H23&gt;I23, MIN($H23-I23, J23-I23)*INDEX('Key Metrics'!$E$16:$N$19,MATCH($E23,'Key Metrics'!$E$16:$E$19,0),MATCH(W$1,'Key Metrics'!$E$16:$M$16,0)),0)</f>
        <v>41250</v>
      </c>
      <c r="X23" s="9">
        <f>IF($H23&gt;J23, MIN($H23-J23, K23-J23)*INDEX('Key Metrics'!$E$16:$N$19,MATCH($E23,'Key Metrics'!$E$16:$E$19,0),MATCH(X$1,'Key Metrics'!$E$16:$M$16,0)),0)</f>
        <v>16156.25</v>
      </c>
      <c r="Y23" s="9">
        <f>IF($H23&gt;K23, MIN($H23-K23, L23-K23)*INDEX('Key Metrics'!$E$16:$N$19,MATCH($E23,'Key Metrics'!$E$16:$E$19,0),MATCH(Y$1,'Key Metrics'!$E$16:$M$16,0)),0)</f>
        <v>0</v>
      </c>
      <c r="Z23" s="9">
        <f>IF($H23&gt;L23,($H23-L23)*INDEX('Key Metrics'!$E$16:$N$19,MATCH($E23,'Key Metrics'!$E$16:$E$19,0),MATCH(Z$1,'Key Metrics'!$E$16:$M$16,0)),0)</f>
        <v>0</v>
      </c>
      <c r="AA23" s="9">
        <f t="shared" si="8"/>
        <v>169906.25</v>
      </c>
      <c r="AB23" s="9">
        <f t="shared" si="9"/>
        <v>169907.58616666668</v>
      </c>
    </row>
    <row r="24" spans="1:28" x14ac:dyDescent="0.55000000000000004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COUNTIF(deals_closed!$D$2:$D$20001,Calculations!B541)</f>
        <v>16</v>
      </c>
      <c r="H24" s="7">
        <f>SUMIF(deals_closed!$D:$D,Calculations!B541,deals_closed!$C:$C)</f>
        <v>627760</v>
      </c>
      <c r="I24" s="5">
        <f>VLOOKUP(E24,'2018_commission_structure'!$A$1:$I$4,9,FALSE)</f>
        <v>750000</v>
      </c>
      <c r="J24" s="9">
        <f t="shared" si="1"/>
        <v>937500</v>
      </c>
      <c r="K24" s="10">
        <f t="shared" si="2"/>
        <v>1125000</v>
      </c>
      <c r="L24" s="9">
        <f t="shared" si="3"/>
        <v>1500000</v>
      </c>
      <c r="M24" s="8">
        <f t="shared" si="4"/>
        <v>0.83701333333333339</v>
      </c>
      <c r="N24" t="str">
        <f t="shared" si="5"/>
        <v>0-100%</v>
      </c>
      <c r="O24" s="9">
        <f>MIN($H24,$I24)*INDEX('2018_commission_structure'!$A$1:$I$4,MATCH($E24,'2018_commission_structure'!$A$1:$A$4,0),MATCH(O$1,'2018_commission_structure'!$A$1:$I$1,0))</f>
        <v>94164</v>
      </c>
      <c r="P24" s="9">
        <f>IF(H24&gt;I24, MIN(H24-I24, J24-I24)*INDEX('2018_commission_structure'!$A$1:$I$4,MATCH($E24,'2018_commission_structure'!$A$1:$A$4,0),MATCH(P$1,'2018_commission_structure'!$A$1:$I$1,0)),0)</f>
        <v>0</v>
      </c>
      <c r="Q24" s="9">
        <f>IF($H24&gt;J24, MIN($H24-J24, K24-J24)*INDEX('2018_commission_structure'!$A$1:$I$4,MATCH($E24,'2018_commission_structure'!$A$1:$A$4,0),MATCH(Q$1,'2018_commission_structure'!$A$1:$I$1,0)),0)</f>
        <v>0</v>
      </c>
      <c r="R24" s="9">
        <f>IF($H24&gt;K24, MIN($H24-K24, L24-K24)*INDEX('2018_commission_structure'!$A$1:$I$4,MATCH($E24,'2018_commission_structure'!$A$1:$A$4,0),MATCH(R$1,'2018_commission_structure'!$A$1:$I$1,0)),0)</f>
        <v>0</v>
      </c>
      <c r="S24" s="9">
        <f>IF(H24&gt;L24,(H24-L24)*INDEX('2018_commission_structure'!$A$1:$I$4,MATCH($E24,'2018_commission_structure'!$A$1:$A$4,0),MATCH(S$1,'2018_commission_structure'!$A$1:$I$1,0)),0)</f>
        <v>0</v>
      </c>
      <c r="T24" s="9">
        <f t="shared" si="6"/>
        <v>94164</v>
      </c>
      <c r="U24" s="9">
        <f t="shared" si="7"/>
        <v>206262</v>
      </c>
      <c r="V24" s="9">
        <f>MIN($I24,$H24)*INDEX('Key Metrics'!$E$16:$N$19,MATCH($E24,'Key Metrics'!$E$16:$E$19,0),MATCH(V$1,'Key Metrics'!$E$16:$M$16,0))</f>
        <v>94164</v>
      </c>
      <c r="W24" s="9">
        <f>IF($H24&gt;I24, MIN($H24-I24, J24-I24)*INDEX('Key Metrics'!$E$16:$N$19,MATCH($E24,'Key Metrics'!$E$16:$E$19,0),MATCH(W$1,'Key Metrics'!$E$16:$M$16,0)),0)</f>
        <v>0</v>
      </c>
      <c r="X24" s="9">
        <f>IF($H24&gt;J24, MIN($H24-J24, K24-J24)*INDEX('Key Metrics'!$E$16:$N$19,MATCH($E24,'Key Metrics'!$E$16:$E$19,0),MATCH(X$1,'Key Metrics'!$E$16:$M$16,0)),0)</f>
        <v>0</v>
      </c>
      <c r="Y24" s="9">
        <f>IF($H24&gt;K24, MIN($H24-K24, L24-K24)*INDEX('Key Metrics'!$E$16:$N$19,MATCH($E24,'Key Metrics'!$E$16:$E$19,0),MATCH(Y$1,'Key Metrics'!$E$16:$M$16,0)),0)</f>
        <v>0</v>
      </c>
      <c r="Z24" s="9">
        <f>IF($H24&gt;L24,($H24-L24)*INDEX('Key Metrics'!$E$16:$N$19,MATCH($E24,'Key Metrics'!$E$16:$E$19,0),MATCH(Z$1,'Key Metrics'!$E$16:$M$16,0)),0)</f>
        <v>0</v>
      </c>
      <c r="AA24" s="9">
        <f t="shared" si="8"/>
        <v>94164</v>
      </c>
      <c r="AB24" s="9">
        <f t="shared" si="9"/>
        <v>94164.837013333337</v>
      </c>
    </row>
    <row r="25" spans="1:28" x14ac:dyDescent="0.55000000000000004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COUNTIF(deals_closed!$D$2:$D$20001,Calculations!B151)</f>
        <v>20</v>
      </c>
      <c r="H25" s="7">
        <f>SUMIF(deals_closed!$D:$D,Calculations!B151,deals_closed!$C:$C)</f>
        <v>671623</v>
      </c>
      <c r="I25" s="5">
        <f>VLOOKUP(E25,'2018_commission_structure'!$A$1:$I$4,9,FALSE)</f>
        <v>750000</v>
      </c>
      <c r="J25" s="9">
        <f t="shared" si="1"/>
        <v>937500</v>
      </c>
      <c r="K25" s="10">
        <f t="shared" si="2"/>
        <v>1125000</v>
      </c>
      <c r="L25" s="9">
        <f t="shared" si="3"/>
        <v>1500000</v>
      </c>
      <c r="M25" s="8">
        <f t="shared" si="4"/>
        <v>0.89549733333333337</v>
      </c>
      <c r="N25" t="str">
        <f t="shared" si="5"/>
        <v>0-100%</v>
      </c>
      <c r="O25" s="9">
        <f>MIN($H25,$I25)*INDEX('2018_commission_structure'!$A$1:$I$4,MATCH($E25,'2018_commission_structure'!$A$1:$A$4,0),MATCH(O$1,'2018_commission_structure'!$A$1:$I$1,0))</f>
        <v>100743.45</v>
      </c>
      <c r="P25" s="9">
        <f>IF(H25&gt;I25, MIN(H25-I25, J25-I25)*INDEX('2018_commission_structure'!$A$1:$I$4,MATCH($E25,'2018_commission_structure'!$A$1:$A$4,0),MATCH(P$1,'2018_commission_structure'!$A$1:$I$1,0)),0)</f>
        <v>0</v>
      </c>
      <c r="Q25" s="9">
        <f>IF($H25&gt;J25, MIN($H25-J25, K25-J25)*INDEX('2018_commission_structure'!$A$1:$I$4,MATCH($E25,'2018_commission_structure'!$A$1:$A$4,0),MATCH(Q$1,'2018_commission_structure'!$A$1:$I$1,0)),0)</f>
        <v>0</v>
      </c>
      <c r="R25" s="9">
        <f>IF($H25&gt;K25, MIN($H25-K25, L25-K25)*INDEX('2018_commission_structure'!$A$1:$I$4,MATCH($E25,'2018_commission_structure'!$A$1:$A$4,0),MATCH(R$1,'2018_commission_structure'!$A$1:$I$1,0)),0)</f>
        <v>0</v>
      </c>
      <c r="S25" s="9">
        <f>IF(H25&gt;L25,(H25-L25)*INDEX('2018_commission_structure'!$A$1:$I$4,MATCH($E25,'2018_commission_structure'!$A$1:$A$4,0),MATCH(S$1,'2018_commission_structure'!$A$1:$I$1,0)),0)</f>
        <v>0</v>
      </c>
      <c r="T25" s="9">
        <f t="shared" si="6"/>
        <v>100743.45</v>
      </c>
      <c r="U25" s="9">
        <f t="shared" si="7"/>
        <v>215315.45</v>
      </c>
      <c r="V25" s="9">
        <f>MIN($I25,$H25)*INDEX('Key Metrics'!$E$16:$N$19,MATCH($E25,'Key Metrics'!$E$16:$E$19,0),MATCH(V$1,'Key Metrics'!$E$16:$M$16,0))</f>
        <v>100743.45</v>
      </c>
      <c r="W25" s="9">
        <f>IF($H25&gt;I25, MIN($H25-I25, J25-I25)*INDEX('Key Metrics'!$E$16:$N$19,MATCH($E25,'Key Metrics'!$E$16:$E$19,0),MATCH(W$1,'Key Metrics'!$E$16:$M$16,0)),0)</f>
        <v>0</v>
      </c>
      <c r="X25" s="9">
        <f>IF($H25&gt;J25, MIN($H25-J25, K25-J25)*INDEX('Key Metrics'!$E$16:$N$19,MATCH($E25,'Key Metrics'!$E$16:$E$19,0),MATCH(X$1,'Key Metrics'!$E$16:$M$16,0)),0)</f>
        <v>0</v>
      </c>
      <c r="Y25" s="9">
        <f>IF($H25&gt;K25, MIN($H25-K25, L25-K25)*INDEX('Key Metrics'!$E$16:$N$19,MATCH($E25,'Key Metrics'!$E$16:$E$19,0),MATCH(Y$1,'Key Metrics'!$E$16:$M$16,0)),0)</f>
        <v>0</v>
      </c>
      <c r="Z25" s="9">
        <f>IF($H25&gt;L25,($H25-L25)*INDEX('Key Metrics'!$E$16:$N$19,MATCH($E25,'Key Metrics'!$E$16:$E$19,0),MATCH(Z$1,'Key Metrics'!$E$16:$M$16,0)),0)</f>
        <v>0</v>
      </c>
      <c r="AA25" s="9">
        <f t="shared" si="8"/>
        <v>100743.45</v>
      </c>
      <c r="AB25" s="9">
        <f t="shared" si="9"/>
        <v>100744.34549733333</v>
      </c>
    </row>
    <row r="26" spans="1:28" x14ac:dyDescent="0.55000000000000004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COUNTIF(deals_closed!$D$2:$D$20001,Calculations!B647)</f>
        <v>17</v>
      </c>
      <c r="H26" s="7">
        <f>SUMIF(deals_closed!$D:$D,Calculations!B647,deals_closed!$C:$C)</f>
        <v>561478</v>
      </c>
      <c r="I26" s="5">
        <f>VLOOKUP(E26,'2018_commission_structure'!$A$1:$I$4,9,FALSE)</f>
        <v>500000</v>
      </c>
      <c r="J26" s="9">
        <f t="shared" si="1"/>
        <v>625000</v>
      </c>
      <c r="K26" s="10">
        <f t="shared" si="2"/>
        <v>750000</v>
      </c>
      <c r="L26" s="9">
        <f t="shared" si="3"/>
        <v>1000000</v>
      </c>
      <c r="M26" s="8">
        <f t="shared" si="4"/>
        <v>1.1229560000000001</v>
      </c>
      <c r="N26" t="str">
        <f t="shared" si="5"/>
        <v>100-125%</v>
      </c>
      <c r="O26" s="9">
        <f>MIN($H26,$I26)*INDEX('2018_commission_structure'!$A$1:$I$4,MATCH($E26,'2018_commission_structure'!$A$1:$A$4,0),MATCH(O$1,'2018_commission_structure'!$A$1:$I$1,0))</f>
        <v>50000</v>
      </c>
      <c r="P26" s="9">
        <f>IF(H26&gt;I26, MIN(H26-I26, J26-I26)*INDEX('2018_commission_structure'!$A$1:$I$4,MATCH($E26,'2018_commission_structure'!$A$1:$A$4,0),MATCH(P$1,'2018_commission_structure'!$A$1:$I$1,0)),0)</f>
        <v>9221.6999999999989</v>
      </c>
      <c r="Q26" s="9">
        <f>IF($H26&gt;J26, MIN($H26-J26, K26-J26)*INDEX('2018_commission_structure'!$A$1:$I$4,MATCH($E26,'2018_commission_structure'!$A$1:$A$4,0),MATCH(Q$1,'2018_commission_structure'!$A$1:$I$1,0)),0)</f>
        <v>0</v>
      </c>
      <c r="R26" s="9">
        <f>IF($H26&gt;K26, MIN($H26-K26, L26-K26)*INDEX('2018_commission_structure'!$A$1:$I$4,MATCH($E26,'2018_commission_structure'!$A$1:$A$4,0),MATCH(R$1,'2018_commission_structure'!$A$1:$I$1,0)),0)</f>
        <v>0</v>
      </c>
      <c r="S26" s="9">
        <f>IF(H26&gt;L26,(H26-L26)*INDEX('2018_commission_structure'!$A$1:$I$4,MATCH($E26,'2018_commission_structure'!$A$1:$A$4,0),MATCH(S$1,'2018_commission_structure'!$A$1:$I$1,0)),0)</f>
        <v>0</v>
      </c>
      <c r="T26" s="9">
        <f t="shared" si="6"/>
        <v>59221.7</v>
      </c>
      <c r="U26" s="9">
        <f t="shared" si="7"/>
        <v>102748.7</v>
      </c>
      <c r="V26" s="9">
        <f>MIN($I26,$H26)*INDEX('Key Metrics'!$E$16:$N$19,MATCH($E26,'Key Metrics'!$E$16:$E$19,0),MATCH(V$1,'Key Metrics'!$E$16:$M$16,0))</f>
        <v>60000</v>
      </c>
      <c r="W26" s="9">
        <f>IF($H26&gt;I26, MIN($H26-I26, J26-I26)*INDEX('Key Metrics'!$E$16:$N$19,MATCH($E26,'Key Metrics'!$E$16:$E$19,0),MATCH(W$1,'Key Metrics'!$E$16:$M$16,0)),0)</f>
        <v>10451.26</v>
      </c>
      <c r="X26" s="9">
        <f>IF($H26&gt;J26, MIN($H26-J26, K26-J26)*INDEX('Key Metrics'!$E$16:$N$19,MATCH($E26,'Key Metrics'!$E$16:$E$19,0),MATCH(X$1,'Key Metrics'!$E$16:$M$16,0)),0)</f>
        <v>0</v>
      </c>
      <c r="Y26" s="9">
        <f>IF($H26&gt;K26, MIN($H26-K26, L26-K26)*INDEX('Key Metrics'!$E$16:$N$19,MATCH($E26,'Key Metrics'!$E$16:$E$19,0),MATCH(Y$1,'Key Metrics'!$E$16:$M$16,0)),0)</f>
        <v>0</v>
      </c>
      <c r="Z26" s="9">
        <f>IF($H26&gt;L26,($H26-L26)*INDEX('Key Metrics'!$E$16:$N$19,MATCH($E26,'Key Metrics'!$E$16:$E$19,0),MATCH(Z$1,'Key Metrics'!$E$16:$M$16,0)),0)</f>
        <v>0</v>
      </c>
      <c r="AA26" s="9">
        <f t="shared" si="8"/>
        <v>70451.259999999995</v>
      </c>
      <c r="AB26" s="9">
        <f t="shared" si="9"/>
        <v>70452.382956000001</v>
      </c>
    </row>
    <row r="27" spans="1:28" x14ac:dyDescent="0.55000000000000004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COUNTIF(deals_closed!$D$2:$D$20001,Calculations!B522)</f>
        <v>15</v>
      </c>
      <c r="H27" s="7">
        <f>SUMIF(deals_closed!$D:$D,Calculations!B522,deals_closed!$C:$C)</f>
        <v>588871</v>
      </c>
      <c r="I27" s="5">
        <f>VLOOKUP(E27,'2018_commission_structure'!$A$1:$I$4,9,FALSE)</f>
        <v>500000</v>
      </c>
      <c r="J27" s="9">
        <f t="shared" si="1"/>
        <v>625000</v>
      </c>
      <c r="K27" s="10">
        <f t="shared" si="2"/>
        <v>750000</v>
      </c>
      <c r="L27" s="9">
        <f t="shared" si="3"/>
        <v>1000000</v>
      </c>
      <c r="M27" s="8">
        <f t="shared" si="4"/>
        <v>1.1777420000000001</v>
      </c>
      <c r="N27" t="str">
        <f t="shared" si="5"/>
        <v>100-125%</v>
      </c>
      <c r="O27" s="9">
        <f>MIN($H27,$I27)*INDEX('2018_commission_structure'!$A$1:$I$4,MATCH($E27,'2018_commission_structure'!$A$1:$A$4,0),MATCH(O$1,'2018_commission_structure'!$A$1:$I$1,0))</f>
        <v>50000</v>
      </c>
      <c r="P27" s="9">
        <f>IF(H27&gt;I27, MIN(H27-I27, J27-I27)*INDEX('2018_commission_structure'!$A$1:$I$4,MATCH($E27,'2018_commission_structure'!$A$1:$A$4,0),MATCH(P$1,'2018_commission_structure'!$A$1:$I$1,0)),0)</f>
        <v>13330.65</v>
      </c>
      <c r="Q27" s="9">
        <f>IF($H27&gt;J27, MIN($H27-J27, K27-J27)*INDEX('2018_commission_structure'!$A$1:$I$4,MATCH($E27,'2018_commission_structure'!$A$1:$A$4,0),MATCH(Q$1,'2018_commission_structure'!$A$1:$I$1,0)),0)</f>
        <v>0</v>
      </c>
      <c r="R27" s="9">
        <f>IF($H27&gt;K27, MIN($H27-K27, L27-K27)*INDEX('2018_commission_structure'!$A$1:$I$4,MATCH($E27,'2018_commission_structure'!$A$1:$A$4,0),MATCH(R$1,'2018_commission_structure'!$A$1:$I$1,0)),0)</f>
        <v>0</v>
      </c>
      <c r="S27" s="9">
        <f>IF(H27&gt;L27,(H27-L27)*INDEX('2018_commission_structure'!$A$1:$I$4,MATCH($E27,'2018_commission_structure'!$A$1:$A$4,0),MATCH(S$1,'2018_commission_structure'!$A$1:$I$1,0)),0)</f>
        <v>0</v>
      </c>
      <c r="T27" s="9">
        <f t="shared" si="6"/>
        <v>63330.65</v>
      </c>
      <c r="U27" s="9">
        <f t="shared" si="7"/>
        <v>112786.65</v>
      </c>
      <c r="V27" s="9">
        <f>MIN($I27,$H27)*INDEX('Key Metrics'!$E$16:$N$19,MATCH($E27,'Key Metrics'!$E$16:$E$19,0),MATCH(V$1,'Key Metrics'!$E$16:$M$16,0))</f>
        <v>60000</v>
      </c>
      <c r="W27" s="9">
        <f>IF($H27&gt;I27, MIN($H27-I27, J27-I27)*INDEX('Key Metrics'!$E$16:$N$19,MATCH($E27,'Key Metrics'!$E$16:$E$19,0),MATCH(W$1,'Key Metrics'!$E$16:$M$16,0)),0)</f>
        <v>15108.070000000002</v>
      </c>
      <c r="X27" s="9">
        <f>IF($H27&gt;J27, MIN($H27-J27, K27-J27)*INDEX('Key Metrics'!$E$16:$N$19,MATCH($E27,'Key Metrics'!$E$16:$E$19,0),MATCH(X$1,'Key Metrics'!$E$16:$M$16,0)),0)</f>
        <v>0</v>
      </c>
      <c r="Y27" s="9">
        <f>IF($H27&gt;K27, MIN($H27-K27, L27-K27)*INDEX('Key Metrics'!$E$16:$N$19,MATCH($E27,'Key Metrics'!$E$16:$E$19,0),MATCH(Y$1,'Key Metrics'!$E$16:$M$16,0)),0)</f>
        <v>0</v>
      </c>
      <c r="Z27" s="9">
        <f>IF($H27&gt;L27,($H27-L27)*INDEX('Key Metrics'!$E$16:$N$19,MATCH($E27,'Key Metrics'!$E$16:$E$19,0),MATCH(Z$1,'Key Metrics'!$E$16:$M$16,0)),0)</f>
        <v>0</v>
      </c>
      <c r="AA27" s="9">
        <f t="shared" si="8"/>
        <v>75108.070000000007</v>
      </c>
      <c r="AB27" s="9">
        <f t="shared" si="9"/>
        <v>75109.247742000007</v>
      </c>
    </row>
    <row r="28" spans="1:28" x14ac:dyDescent="0.55000000000000004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COUNTIF(deals_closed!$D$2:$D$20001,Calculations!B381)</f>
        <v>21</v>
      </c>
      <c r="H28" s="7">
        <f>SUMIF(deals_closed!$D:$D,Calculations!B381,deals_closed!$C:$C)</f>
        <v>762478</v>
      </c>
      <c r="I28" s="5">
        <f>VLOOKUP(E28,'2018_commission_structure'!$A$1:$I$4,9,FALSE)</f>
        <v>750000</v>
      </c>
      <c r="J28" s="9">
        <f t="shared" si="1"/>
        <v>937500</v>
      </c>
      <c r="K28" s="10">
        <f t="shared" si="2"/>
        <v>1125000</v>
      </c>
      <c r="L28" s="9">
        <f t="shared" si="3"/>
        <v>1500000</v>
      </c>
      <c r="M28" s="8">
        <f t="shared" si="4"/>
        <v>1.0166373333333334</v>
      </c>
      <c r="N28" t="str">
        <f t="shared" si="5"/>
        <v>100-125%</v>
      </c>
      <c r="O28" s="9">
        <f>MIN($H28,$I28)*INDEX('2018_commission_structure'!$A$1:$I$4,MATCH($E28,'2018_commission_structure'!$A$1:$A$4,0),MATCH(O$1,'2018_commission_structure'!$A$1:$I$1,0))</f>
        <v>112500</v>
      </c>
      <c r="P28" s="9">
        <f>IF(H28&gt;I28, MIN(H28-I28, J28-I28)*INDEX('2018_commission_structure'!$A$1:$I$4,MATCH($E28,'2018_commission_structure'!$A$1:$A$4,0),MATCH(P$1,'2018_commission_structure'!$A$1:$I$1,0)),0)</f>
        <v>2370.8200000000002</v>
      </c>
      <c r="Q28" s="9">
        <f>IF($H28&gt;J28, MIN($H28-J28, K28-J28)*INDEX('2018_commission_structure'!$A$1:$I$4,MATCH($E28,'2018_commission_structure'!$A$1:$A$4,0),MATCH(Q$1,'2018_commission_structure'!$A$1:$I$1,0)),0)</f>
        <v>0</v>
      </c>
      <c r="R28" s="9">
        <f>IF($H28&gt;K28, MIN($H28-K28, L28-K28)*INDEX('2018_commission_structure'!$A$1:$I$4,MATCH($E28,'2018_commission_structure'!$A$1:$A$4,0),MATCH(R$1,'2018_commission_structure'!$A$1:$I$1,0)),0)</f>
        <v>0</v>
      </c>
      <c r="S28" s="9">
        <f>IF(H28&gt;L28,(H28-L28)*INDEX('2018_commission_structure'!$A$1:$I$4,MATCH($E28,'2018_commission_structure'!$A$1:$A$4,0),MATCH(S$1,'2018_commission_structure'!$A$1:$I$1,0)),0)</f>
        <v>0</v>
      </c>
      <c r="T28" s="9">
        <f t="shared" si="6"/>
        <v>114870.82</v>
      </c>
      <c r="U28" s="9">
        <f t="shared" si="7"/>
        <v>206293.82</v>
      </c>
      <c r="V28" s="9">
        <f>MIN($I28,$H28)*INDEX('Key Metrics'!$E$16:$N$19,MATCH($E28,'Key Metrics'!$E$16:$E$19,0),MATCH(V$1,'Key Metrics'!$E$16:$M$16,0))</f>
        <v>112500</v>
      </c>
      <c r="W28" s="9">
        <f>IF($H28&gt;I28, MIN($H28-I28, J28-I28)*INDEX('Key Metrics'!$E$16:$N$19,MATCH($E28,'Key Metrics'!$E$16:$E$19,0),MATCH(W$1,'Key Metrics'!$E$16:$M$16,0)),0)</f>
        <v>2745.16</v>
      </c>
      <c r="X28" s="9">
        <f>IF($H28&gt;J28, MIN($H28-J28, K28-J28)*INDEX('Key Metrics'!$E$16:$N$19,MATCH($E28,'Key Metrics'!$E$16:$E$19,0),MATCH(X$1,'Key Metrics'!$E$16:$M$16,0)),0)</f>
        <v>0</v>
      </c>
      <c r="Y28" s="9">
        <f>IF($H28&gt;K28, MIN($H28-K28, L28-K28)*INDEX('Key Metrics'!$E$16:$N$19,MATCH($E28,'Key Metrics'!$E$16:$E$19,0),MATCH(Y$1,'Key Metrics'!$E$16:$M$16,0)),0)</f>
        <v>0</v>
      </c>
      <c r="Z28" s="9">
        <f>IF($H28&gt;L28,($H28-L28)*INDEX('Key Metrics'!$E$16:$N$19,MATCH($E28,'Key Metrics'!$E$16:$E$19,0),MATCH(Z$1,'Key Metrics'!$E$16:$M$16,0)),0)</f>
        <v>0</v>
      </c>
      <c r="AA28" s="9">
        <f t="shared" si="8"/>
        <v>115245.16</v>
      </c>
      <c r="AB28" s="9">
        <f t="shared" si="9"/>
        <v>115246.17663733334</v>
      </c>
    </row>
    <row r="29" spans="1:28" x14ac:dyDescent="0.55000000000000004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COUNTIF(deals_closed!$D$2:$D$20001,Calculations!B605)</f>
        <v>13</v>
      </c>
      <c r="H29" s="7">
        <f>SUMIF(deals_closed!$D:$D,Calculations!B605,deals_closed!$C:$C)</f>
        <v>523769</v>
      </c>
      <c r="I29" s="5">
        <f>VLOOKUP(E29,'2018_commission_structure'!$A$1:$I$4,9,FALSE)</f>
        <v>500000</v>
      </c>
      <c r="J29" s="9">
        <f t="shared" si="1"/>
        <v>625000</v>
      </c>
      <c r="K29" s="10">
        <f t="shared" si="2"/>
        <v>750000</v>
      </c>
      <c r="L29" s="9">
        <f t="shared" si="3"/>
        <v>1000000</v>
      </c>
      <c r="M29" s="8">
        <f t="shared" si="4"/>
        <v>1.0475380000000001</v>
      </c>
      <c r="N29" t="str">
        <f t="shared" si="5"/>
        <v>100-125%</v>
      </c>
      <c r="O29" s="9">
        <f>MIN($H29,$I29)*INDEX('2018_commission_structure'!$A$1:$I$4,MATCH($E29,'2018_commission_structure'!$A$1:$A$4,0),MATCH(O$1,'2018_commission_structure'!$A$1:$I$1,0))</f>
        <v>50000</v>
      </c>
      <c r="P29" s="9">
        <f>IF(H29&gt;I29, MIN(H29-I29, J29-I29)*INDEX('2018_commission_structure'!$A$1:$I$4,MATCH($E29,'2018_commission_structure'!$A$1:$A$4,0),MATCH(P$1,'2018_commission_structure'!$A$1:$I$1,0)),0)</f>
        <v>3565.35</v>
      </c>
      <c r="Q29" s="9">
        <f>IF($H29&gt;J29, MIN($H29-J29, K29-J29)*INDEX('2018_commission_structure'!$A$1:$I$4,MATCH($E29,'2018_commission_structure'!$A$1:$A$4,0),MATCH(Q$1,'2018_commission_structure'!$A$1:$I$1,0)),0)</f>
        <v>0</v>
      </c>
      <c r="R29" s="9">
        <f>IF($H29&gt;K29, MIN($H29-K29, L29-K29)*INDEX('2018_commission_structure'!$A$1:$I$4,MATCH($E29,'2018_commission_structure'!$A$1:$A$4,0),MATCH(R$1,'2018_commission_structure'!$A$1:$I$1,0)),0)</f>
        <v>0</v>
      </c>
      <c r="S29" s="9">
        <f>IF(H29&gt;L29,(H29-L29)*INDEX('2018_commission_structure'!$A$1:$I$4,MATCH($E29,'2018_commission_structure'!$A$1:$A$4,0),MATCH(S$1,'2018_commission_structure'!$A$1:$I$1,0)),0)</f>
        <v>0</v>
      </c>
      <c r="T29" s="9">
        <f t="shared" si="6"/>
        <v>53565.35</v>
      </c>
      <c r="U29" s="9">
        <f t="shared" si="7"/>
        <v>116139.35</v>
      </c>
      <c r="V29" s="9">
        <f>MIN($I29,$H29)*INDEX('Key Metrics'!$E$16:$N$19,MATCH($E29,'Key Metrics'!$E$16:$E$19,0),MATCH(V$1,'Key Metrics'!$E$16:$M$16,0))</f>
        <v>60000</v>
      </c>
      <c r="W29" s="9">
        <f>IF($H29&gt;I29, MIN($H29-I29, J29-I29)*INDEX('Key Metrics'!$E$16:$N$19,MATCH($E29,'Key Metrics'!$E$16:$E$19,0),MATCH(W$1,'Key Metrics'!$E$16:$M$16,0)),0)</f>
        <v>4040.7300000000005</v>
      </c>
      <c r="X29" s="9">
        <f>IF($H29&gt;J29, MIN($H29-J29, K29-J29)*INDEX('Key Metrics'!$E$16:$N$19,MATCH($E29,'Key Metrics'!$E$16:$E$19,0),MATCH(X$1,'Key Metrics'!$E$16:$M$16,0)),0)</f>
        <v>0</v>
      </c>
      <c r="Y29" s="9">
        <f>IF($H29&gt;K29, MIN($H29-K29, L29-K29)*INDEX('Key Metrics'!$E$16:$N$19,MATCH($E29,'Key Metrics'!$E$16:$E$19,0),MATCH(Y$1,'Key Metrics'!$E$16:$M$16,0)),0)</f>
        <v>0</v>
      </c>
      <c r="Z29" s="9">
        <f>IF($H29&gt;L29,($H29-L29)*INDEX('Key Metrics'!$E$16:$N$19,MATCH($E29,'Key Metrics'!$E$16:$E$19,0),MATCH(Z$1,'Key Metrics'!$E$16:$M$16,0)),0)</f>
        <v>0</v>
      </c>
      <c r="AA29" s="9">
        <f t="shared" si="8"/>
        <v>64040.73</v>
      </c>
      <c r="AB29" s="9">
        <f t="shared" si="9"/>
        <v>64041.777538000002</v>
      </c>
    </row>
    <row r="30" spans="1:28" x14ac:dyDescent="0.55000000000000004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COUNTIF(deals_closed!$D$2:$D$20001,Calculations!B11)</f>
        <v>21</v>
      </c>
      <c r="H30" s="7">
        <f>SUMIF(deals_closed!$D:$D,Calculations!B11,deals_closed!$C:$C)</f>
        <v>645183</v>
      </c>
      <c r="I30" s="5">
        <f>VLOOKUP(E30,'2018_commission_structure'!$A$1:$I$4,9,FALSE)</f>
        <v>750000</v>
      </c>
      <c r="J30" s="9">
        <f t="shared" si="1"/>
        <v>937500</v>
      </c>
      <c r="K30" s="10">
        <f t="shared" si="2"/>
        <v>1125000</v>
      </c>
      <c r="L30" s="9">
        <f t="shared" si="3"/>
        <v>1500000</v>
      </c>
      <c r="M30" s="8">
        <f t="shared" si="4"/>
        <v>0.86024400000000001</v>
      </c>
      <c r="N30" t="str">
        <f t="shared" si="5"/>
        <v>0-100%</v>
      </c>
      <c r="O30" s="9">
        <f>MIN($H30,$I30)*INDEX('2018_commission_structure'!$A$1:$I$4,MATCH($E30,'2018_commission_structure'!$A$1:$A$4,0),MATCH(O$1,'2018_commission_structure'!$A$1:$I$1,0))</f>
        <v>96777.45</v>
      </c>
      <c r="P30" s="9">
        <f>IF(H30&gt;I30, MIN(H30-I30, J30-I30)*INDEX('2018_commission_structure'!$A$1:$I$4,MATCH($E30,'2018_commission_structure'!$A$1:$A$4,0),MATCH(P$1,'2018_commission_structure'!$A$1:$I$1,0)),0)</f>
        <v>0</v>
      </c>
      <c r="Q30" s="9">
        <f>IF($H30&gt;J30, MIN($H30-J30, K30-J30)*INDEX('2018_commission_structure'!$A$1:$I$4,MATCH($E30,'2018_commission_structure'!$A$1:$A$4,0),MATCH(Q$1,'2018_commission_structure'!$A$1:$I$1,0)),0)</f>
        <v>0</v>
      </c>
      <c r="R30" s="9">
        <f>IF($H30&gt;K30, MIN($H30-K30, L30-K30)*INDEX('2018_commission_structure'!$A$1:$I$4,MATCH($E30,'2018_commission_structure'!$A$1:$A$4,0),MATCH(R$1,'2018_commission_structure'!$A$1:$I$1,0)),0)</f>
        <v>0</v>
      </c>
      <c r="S30" s="9">
        <f>IF(H30&gt;L30,(H30-L30)*INDEX('2018_commission_structure'!$A$1:$I$4,MATCH($E30,'2018_commission_structure'!$A$1:$A$4,0),MATCH(S$1,'2018_commission_structure'!$A$1:$I$1,0)),0)</f>
        <v>0</v>
      </c>
      <c r="T30" s="9">
        <f t="shared" si="6"/>
        <v>96777.45</v>
      </c>
      <c r="U30" s="9">
        <f t="shared" si="7"/>
        <v>216505.45</v>
      </c>
      <c r="V30" s="9">
        <f>MIN($I30,$H30)*INDEX('Key Metrics'!$E$16:$N$19,MATCH($E30,'Key Metrics'!$E$16:$E$19,0),MATCH(V$1,'Key Metrics'!$E$16:$M$16,0))</f>
        <v>96777.45</v>
      </c>
      <c r="W30" s="9">
        <f>IF($H30&gt;I30, MIN($H30-I30, J30-I30)*INDEX('Key Metrics'!$E$16:$N$19,MATCH($E30,'Key Metrics'!$E$16:$E$19,0),MATCH(W$1,'Key Metrics'!$E$16:$M$16,0)),0)</f>
        <v>0</v>
      </c>
      <c r="X30" s="9">
        <f>IF($H30&gt;J30, MIN($H30-J30, K30-J30)*INDEX('Key Metrics'!$E$16:$N$19,MATCH($E30,'Key Metrics'!$E$16:$E$19,0),MATCH(X$1,'Key Metrics'!$E$16:$M$16,0)),0)</f>
        <v>0</v>
      </c>
      <c r="Y30" s="9">
        <f>IF($H30&gt;K30, MIN($H30-K30, L30-K30)*INDEX('Key Metrics'!$E$16:$N$19,MATCH($E30,'Key Metrics'!$E$16:$E$19,0),MATCH(Y$1,'Key Metrics'!$E$16:$M$16,0)),0)</f>
        <v>0</v>
      </c>
      <c r="Z30" s="9">
        <f>IF($H30&gt;L30,($H30-L30)*INDEX('Key Metrics'!$E$16:$N$19,MATCH($E30,'Key Metrics'!$E$16:$E$19,0),MATCH(Z$1,'Key Metrics'!$E$16:$M$16,0)),0)</f>
        <v>0</v>
      </c>
      <c r="AA30" s="9">
        <f t="shared" si="8"/>
        <v>96777.45</v>
      </c>
      <c r="AB30" s="9">
        <f t="shared" si="9"/>
        <v>96778.310243999993</v>
      </c>
    </row>
    <row r="31" spans="1:28" x14ac:dyDescent="0.55000000000000004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COUNTIF(deals_closed!$D$2:$D$20001,Calculations!B232)</f>
        <v>29</v>
      </c>
      <c r="H31" s="7">
        <f>SUMIF(deals_closed!$D:$D,Calculations!B232,deals_closed!$C:$C)</f>
        <v>997332</v>
      </c>
      <c r="I31" s="5">
        <f>VLOOKUP(E31,'2018_commission_structure'!$A$1:$I$4,9,FALSE)</f>
        <v>750000</v>
      </c>
      <c r="J31" s="9">
        <f t="shared" si="1"/>
        <v>937500</v>
      </c>
      <c r="K31" s="10">
        <f t="shared" si="2"/>
        <v>1125000</v>
      </c>
      <c r="L31" s="9">
        <f t="shared" si="3"/>
        <v>1500000</v>
      </c>
      <c r="M31" s="8">
        <f t="shared" si="4"/>
        <v>1.3297760000000001</v>
      </c>
      <c r="N31" t="str">
        <f t="shared" si="5"/>
        <v>125-150%</v>
      </c>
      <c r="O31" s="9">
        <f>MIN($H31,$I31)*INDEX('2018_commission_structure'!$A$1:$I$4,MATCH($E31,'2018_commission_structure'!$A$1:$A$4,0),MATCH(O$1,'2018_commission_structure'!$A$1:$I$1,0))</f>
        <v>112500</v>
      </c>
      <c r="P31" s="9">
        <f>IF(H31&gt;I31, MIN(H31-I31, J31-I31)*INDEX('2018_commission_structure'!$A$1:$I$4,MATCH($E31,'2018_commission_structure'!$A$1:$A$4,0),MATCH(P$1,'2018_commission_structure'!$A$1:$I$1,0)),0)</f>
        <v>35625</v>
      </c>
      <c r="Q31" s="9">
        <f>IF($H31&gt;J31, MIN($H31-J31, K31-J31)*INDEX('2018_commission_structure'!$A$1:$I$4,MATCH($E31,'2018_commission_structure'!$A$1:$A$4,0),MATCH(Q$1,'2018_commission_structure'!$A$1:$I$1,0)),0)</f>
        <v>13761.36</v>
      </c>
      <c r="R31" s="9">
        <f>IF($H31&gt;K31, MIN($H31-K31, L31-K31)*INDEX('2018_commission_structure'!$A$1:$I$4,MATCH($E31,'2018_commission_structure'!$A$1:$A$4,0),MATCH(R$1,'2018_commission_structure'!$A$1:$I$1,0)),0)</f>
        <v>0</v>
      </c>
      <c r="S31" s="9">
        <f>IF(H31&gt;L31,(H31-L31)*INDEX('2018_commission_structure'!$A$1:$I$4,MATCH($E31,'2018_commission_structure'!$A$1:$A$4,0),MATCH(S$1,'2018_commission_structure'!$A$1:$I$1,0)),0)</f>
        <v>0</v>
      </c>
      <c r="T31" s="9">
        <f t="shared" si="6"/>
        <v>161886.35999999999</v>
      </c>
      <c r="U31" s="9">
        <f t="shared" si="7"/>
        <v>276609.36</v>
      </c>
      <c r="V31" s="9">
        <f>MIN($I31,$H31)*INDEX('Key Metrics'!$E$16:$N$19,MATCH($E31,'Key Metrics'!$E$16:$E$19,0),MATCH(V$1,'Key Metrics'!$E$16:$M$16,0))</f>
        <v>112500</v>
      </c>
      <c r="W31" s="9">
        <f>IF($H31&gt;I31, MIN($H31-I31, J31-I31)*INDEX('Key Metrics'!$E$16:$N$19,MATCH($E31,'Key Metrics'!$E$16:$E$19,0),MATCH(W$1,'Key Metrics'!$E$16:$M$16,0)),0)</f>
        <v>41250</v>
      </c>
      <c r="X31" s="9">
        <f>IF($H31&gt;J31, MIN($H31-J31, K31-J31)*INDEX('Key Metrics'!$E$16:$N$19,MATCH($E31,'Key Metrics'!$E$16:$E$19,0),MATCH(X$1,'Key Metrics'!$E$16:$M$16,0)),0)</f>
        <v>14958</v>
      </c>
      <c r="Y31" s="9">
        <f>IF($H31&gt;K31, MIN($H31-K31, L31-K31)*INDEX('Key Metrics'!$E$16:$N$19,MATCH($E31,'Key Metrics'!$E$16:$E$19,0),MATCH(Y$1,'Key Metrics'!$E$16:$M$16,0)),0)</f>
        <v>0</v>
      </c>
      <c r="Z31" s="9">
        <f>IF($H31&gt;L31,($H31-L31)*INDEX('Key Metrics'!$E$16:$N$19,MATCH($E31,'Key Metrics'!$E$16:$E$19,0),MATCH(Z$1,'Key Metrics'!$E$16:$M$16,0)),0)</f>
        <v>0</v>
      </c>
      <c r="AA31" s="9">
        <f t="shared" si="8"/>
        <v>168708</v>
      </c>
      <c r="AB31" s="9">
        <f t="shared" si="9"/>
        <v>168709.329776</v>
      </c>
    </row>
    <row r="32" spans="1:28" x14ac:dyDescent="0.55000000000000004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COUNTIF(deals_closed!$D$2:$D$20001,Calculations!B423)</f>
        <v>25</v>
      </c>
      <c r="H32" s="7">
        <f>SUMIF(deals_closed!$D:$D,Calculations!B423,deals_closed!$C:$C)</f>
        <v>1063967</v>
      </c>
      <c r="I32" s="5">
        <f>VLOOKUP(E32,'2018_commission_structure'!$A$1:$I$4,9,FALSE)</f>
        <v>500000</v>
      </c>
      <c r="J32" s="9">
        <f t="shared" si="1"/>
        <v>625000</v>
      </c>
      <c r="K32" s="10">
        <f t="shared" si="2"/>
        <v>750000</v>
      </c>
      <c r="L32" s="9">
        <f t="shared" si="3"/>
        <v>1000000</v>
      </c>
      <c r="M32" s="8">
        <f t="shared" si="4"/>
        <v>2.1279340000000002</v>
      </c>
      <c r="N32" t="str">
        <f t="shared" si="5"/>
        <v>&gt;200%</v>
      </c>
      <c r="O32" s="9">
        <f>MIN($H32,$I32)*INDEX('2018_commission_structure'!$A$1:$I$4,MATCH($E32,'2018_commission_structure'!$A$1:$A$4,0),MATCH(O$1,'2018_commission_structure'!$A$1:$I$1,0))</f>
        <v>50000</v>
      </c>
      <c r="P32" s="9">
        <f>IF(H32&gt;I32, MIN(H32-I32, J32-I32)*INDEX('2018_commission_structure'!$A$1:$I$4,MATCH($E32,'2018_commission_structure'!$A$1:$A$4,0),MATCH(P$1,'2018_commission_structure'!$A$1:$I$1,0)),0)</f>
        <v>18750</v>
      </c>
      <c r="Q32" s="9">
        <f>IF($H32&gt;J32, MIN($H32-J32, K32-J32)*INDEX('2018_commission_structure'!$A$1:$I$4,MATCH($E32,'2018_commission_structure'!$A$1:$A$4,0),MATCH(Q$1,'2018_commission_structure'!$A$1:$I$1,0)),0)</f>
        <v>22500</v>
      </c>
      <c r="R32" s="9">
        <f>IF($H32&gt;K32, MIN($H32-K32, L32-K32)*INDEX('2018_commission_structure'!$A$1:$I$4,MATCH($E32,'2018_commission_structure'!$A$1:$A$4,0),MATCH(R$1,'2018_commission_structure'!$A$1:$I$1,0)),0)</f>
        <v>55000</v>
      </c>
      <c r="S32" s="9">
        <f>IF(H32&gt;L32,(H32-L32)*INDEX('2018_commission_structure'!$A$1:$I$4,MATCH($E32,'2018_commission_structure'!$A$1:$A$4,0),MATCH(S$1,'2018_commission_structure'!$A$1:$I$1,0)),0)</f>
        <v>6396.7000000000007</v>
      </c>
      <c r="T32" s="9">
        <f t="shared" si="6"/>
        <v>152646.70000000001</v>
      </c>
      <c r="U32" s="9">
        <f t="shared" si="7"/>
        <v>217048.7</v>
      </c>
      <c r="V32" s="9">
        <f>MIN($I32,$H32)*INDEX('Key Metrics'!$E$16:$N$19,MATCH($E32,'Key Metrics'!$E$16:$E$19,0),MATCH(V$1,'Key Metrics'!$E$16:$M$16,0))</f>
        <v>60000</v>
      </c>
      <c r="W32" s="9">
        <f>IF($H32&gt;I32, MIN($H32-I32, J32-I32)*INDEX('Key Metrics'!$E$16:$N$19,MATCH($E32,'Key Metrics'!$E$16:$E$19,0),MATCH(W$1,'Key Metrics'!$E$16:$M$16,0)),0)</f>
        <v>21250</v>
      </c>
      <c r="X32" s="9">
        <f>IF($H32&gt;J32, MIN($H32-J32, K32-J32)*INDEX('Key Metrics'!$E$16:$N$19,MATCH($E32,'Key Metrics'!$E$16:$E$19,0),MATCH(X$1,'Key Metrics'!$E$16:$M$16,0)),0)</f>
        <v>25000</v>
      </c>
      <c r="Y32" s="9">
        <f>IF($H32&gt;K32, MIN($H32-K32, L32-K32)*INDEX('Key Metrics'!$E$16:$N$19,MATCH($E32,'Key Metrics'!$E$16:$E$19,0),MATCH(Y$1,'Key Metrics'!$E$16:$M$16,0)),0)</f>
        <v>55000</v>
      </c>
      <c r="Z32" s="9">
        <f>IF($H32&gt;L32,($H32-L32)*INDEX('Key Metrics'!$E$16:$N$19,MATCH($E32,'Key Metrics'!$E$16:$E$19,0),MATCH(Z$1,'Key Metrics'!$E$16:$M$16,0)),0)</f>
        <v>6396.7000000000007</v>
      </c>
      <c r="AA32" s="9">
        <f t="shared" si="8"/>
        <v>167646.70000000001</v>
      </c>
      <c r="AB32" s="9">
        <f t="shared" si="9"/>
        <v>167648.827934</v>
      </c>
    </row>
    <row r="33" spans="1:28" x14ac:dyDescent="0.55000000000000004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COUNTIF(deals_closed!$D$2:$D$20001,Calculations!B911)</f>
        <v>20</v>
      </c>
      <c r="H33" s="7">
        <f>SUMIF(deals_closed!$D:$D,Calculations!B911,deals_closed!$C:$C)</f>
        <v>722680</v>
      </c>
      <c r="I33" s="5">
        <f>VLOOKUP(E33,'2018_commission_structure'!$A$1:$I$4,9,FALSE)</f>
        <v>600000</v>
      </c>
      <c r="J33" s="9">
        <f t="shared" si="1"/>
        <v>750000</v>
      </c>
      <c r="K33" s="10">
        <f t="shared" si="2"/>
        <v>900000</v>
      </c>
      <c r="L33" s="9">
        <f t="shared" si="3"/>
        <v>1200000</v>
      </c>
      <c r="M33" s="8">
        <f t="shared" si="4"/>
        <v>1.2044666666666666</v>
      </c>
      <c r="N33" t="str">
        <f t="shared" si="5"/>
        <v>100-125%</v>
      </c>
      <c r="O33" s="9">
        <f>MIN($H33,$I33)*INDEX('2018_commission_structure'!$A$1:$I$4,MATCH($E33,'2018_commission_structure'!$A$1:$A$4,0),MATCH(O$1,'2018_commission_structure'!$A$1:$I$1,0))</f>
        <v>78000</v>
      </c>
      <c r="P33" s="9">
        <f>IF(H33&gt;I33, MIN(H33-I33, J33-I33)*INDEX('2018_commission_structure'!$A$1:$I$4,MATCH($E33,'2018_commission_structure'!$A$1:$A$4,0),MATCH(P$1,'2018_commission_structure'!$A$1:$I$1,0)),0)</f>
        <v>20855.600000000002</v>
      </c>
      <c r="Q33" s="9">
        <f>IF($H33&gt;J33, MIN($H33-J33, K33-J33)*INDEX('2018_commission_structure'!$A$1:$I$4,MATCH($E33,'2018_commission_structure'!$A$1:$A$4,0),MATCH(Q$1,'2018_commission_structure'!$A$1:$I$1,0)),0)</f>
        <v>0</v>
      </c>
      <c r="R33" s="9">
        <f>IF($H33&gt;K33, MIN($H33-K33, L33-K33)*INDEX('2018_commission_structure'!$A$1:$I$4,MATCH($E33,'2018_commission_structure'!$A$1:$A$4,0),MATCH(R$1,'2018_commission_structure'!$A$1:$I$1,0)),0)</f>
        <v>0</v>
      </c>
      <c r="S33" s="9">
        <f>IF(H33&gt;L33,(H33-L33)*INDEX('2018_commission_structure'!$A$1:$I$4,MATCH($E33,'2018_commission_structure'!$A$1:$A$4,0),MATCH(S$1,'2018_commission_structure'!$A$1:$I$1,0)),0)</f>
        <v>0</v>
      </c>
      <c r="T33" s="9">
        <f t="shared" si="6"/>
        <v>98855.6</v>
      </c>
      <c r="U33" s="9">
        <f t="shared" si="7"/>
        <v>153991.6</v>
      </c>
      <c r="V33" s="9">
        <f>MIN($I33,$H33)*INDEX('Key Metrics'!$E$16:$N$19,MATCH($E33,'Key Metrics'!$E$16:$E$19,0),MATCH(V$1,'Key Metrics'!$E$16:$M$16,0))</f>
        <v>90000</v>
      </c>
      <c r="W33" s="9">
        <f>IF($H33&gt;I33, MIN($H33-I33, J33-I33)*INDEX('Key Metrics'!$E$16:$N$19,MATCH($E33,'Key Metrics'!$E$16:$E$19,0),MATCH(W$1,'Key Metrics'!$E$16:$M$16,0)),0)</f>
        <v>22082.399999999998</v>
      </c>
      <c r="X33" s="9">
        <f>IF($H33&gt;J33, MIN($H33-J33, K33-J33)*INDEX('Key Metrics'!$E$16:$N$19,MATCH($E33,'Key Metrics'!$E$16:$E$19,0),MATCH(X$1,'Key Metrics'!$E$16:$M$16,0)),0)</f>
        <v>0</v>
      </c>
      <c r="Y33" s="9">
        <f>IF($H33&gt;K33, MIN($H33-K33, L33-K33)*INDEX('Key Metrics'!$E$16:$N$19,MATCH($E33,'Key Metrics'!$E$16:$E$19,0),MATCH(Y$1,'Key Metrics'!$E$16:$M$16,0)),0)</f>
        <v>0</v>
      </c>
      <c r="Z33" s="9">
        <f>IF($H33&gt;L33,($H33-L33)*INDEX('Key Metrics'!$E$16:$N$19,MATCH($E33,'Key Metrics'!$E$16:$E$19,0),MATCH(Z$1,'Key Metrics'!$E$16:$M$16,0)),0)</f>
        <v>0</v>
      </c>
      <c r="AA33" s="9">
        <f t="shared" si="8"/>
        <v>112082.4</v>
      </c>
      <c r="AB33" s="9">
        <f t="shared" si="9"/>
        <v>112083.60446666666</v>
      </c>
    </row>
    <row r="34" spans="1:28" x14ac:dyDescent="0.55000000000000004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COUNTIF(deals_closed!$D$2:$D$20001,Calculations!B715)</f>
        <v>19</v>
      </c>
      <c r="H34" s="7">
        <f>SUMIF(deals_closed!$D:$D,Calculations!B715,deals_closed!$C:$C)</f>
        <v>592375</v>
      </c>
      <c r="I34" s="5">
        <f>VLOOKUP(E34,'2018_commission_structure'!$A$1:$I$4,9,FALSE)</f>
        <v>750000</v>
      </c>
      <c r="J34" s="9">
        <f t="shared" si="1"/>
        <v>937500</v>
      </c>
      <c r="K34" s="10">
        <f t="shared" si="2"/>
        <v>1125000</v>
      </c>
      <c r="L34" s="9">
        <f t="shared" si="3"/>
        <v>1500000</v>
      </c>
      <c r="M34" s="8">
        <f t="shared" si="4"/>
        <v>0.78983333333333339</v>
      </c>
      <c r="N34" t="str">
        <f t="shared" si="5"/>
        <v>0-100%</v>
      </c>
      <c r="O34" s="9">
        <f>MIN($H34,$I34)*INDEX('2018_commission_structure'!$A$1:$I$4,MATCH($E34,'2018_commission_structure'!$A$1:$A$4,0),MATCH(O$1,'2018_commission_structure'!$A$1:$I$1,0))</f>
        <v>88856.25</v>
      </c>
      <c r="P34" s="9">
        <f>IF(H34&gt;I34, MIN(H34-I34, J34-I34)*INDEX('2018_commission_structure'!$A$1:$I$4,MATCH($E34,'2018_commission_structure'!$A$1:$A$4,0),MATCH(P$1,'2018_commission_structure'!$A$1:$I$1,0)),0)</f>
        <v>0</v>
      </c>
      <c r="Q34" s="9">
        <f>IF($H34&gt;J34, MIN($H34-J34, K34-J34)*INDEX('2018_commission_structure'!$A$1:$I$4,MATCH($E34,'2018_commission_structure'!$A$1:$A$4,0),MATCH(Q$1,'2018_commission_structure'!$A$1:$I$1,0)),0)</f>
        <v>0</v>
      </c>
      <c r="R34" s="9">
        <f>IF($H34&gt;K34, MIN($H34-K34, L34-K34)*INDEX('2018_commission_structure'!$A$1:$I$4,MATCH($E34,'2018_commission_structure'!$A$1:$A$4,0),MATCH(R$1,'2018_commission_structure'!$A$1:$I$1,0)),0)</f>
        <v>0</v>
      </c>
      <c r="S34" s="9">
        <f>IF(H34&gt;L34,(H34-L34)*INDEX('2018_commission_structure'!$A$1:$I$4,MATCH($E34,'2018_commission_structure'!$A$1:$A$4,0),MATCH(S$1,'2018_commission_structure'!$A$1:$I$1,0)),0)</f>
        <v>0</v>
      </c>
      <c r="T34" s="9">
        <f t="shared" si="6"/>
        <v>88856.25</v>
      </c>
      <c r="U34" s="9">
        <f t="shared" si="7"/>
        <v>187776.25</v>
      </c>
      <c r="V34" s="9">
        <f>MIN($I34,$H34)*INDEX('Key Metrics'!$E$16:$N$19,MATCH($E34,'Key Metrics'!$E$16:$E$19,0),MATCH(V$1,'Key Metrics'!$E$16:$M$16,0))</f>
        <v>88856.25</v>
      </c>
      <c r="W34" s="9">
        <f>IF($H34&gt;I34, MIN($H34-I34, J34-I34)*INDEX('Key Metrics'!$E$16:$N$19,MATCH($E34,'Key Metrics'!$E$16:$E$19,0),MATCH(W$1,'Key Metrics'!$E$16:$M$16,0)),0)</f>
        <v>0</v>
      </c>
      <c r="X34" s="9">
        <f>IF($H34&gt;J34, MIN($H34-J34, K34-J34)*INDEX('Key Metrics'!$E$16:$N$19,MATCH($E34,'Key Metrics'!$E$16:$E$19,0),MATCH(X$1,'Key Metrics'!$E$16:$M$16,0)),0)</f>
        <v>0</v>
      </c>
      <c r="Y34" s="9">
        <f>IF($H34&gt;K34, MIN($H34-K34, L34-K34)*INDEX('Key Metrics'!$E$16:$N$19,MATCH($E34,'Key Metrics'!$E$16:$E$19,0),MATCH(Y$1,'Key Metrics'!$E$16:$M$16,0)),0)</f>
        <v>0</v>
      </c>
      <c r="Z34" s="9">
        <f>IF($H34&gt;L34,($H34-L34)*INDEX('Key Metrics'!$E$16:$N$19,MATCH($E34,'Key Metrics'!$E$16:$E$19,0),MATCH(Z$1,'Key Metrics'!$E$16:$M$16,0)),0)</f>
        <v>0</v>
      </c>
      <c r="AA34" s="9">
        <f t="shared" si="8"/>
        <v>88856.25</v>
      </c>
      <c r="AB34" s="9">
        <f t="shared" si="9"/>
        <v>88857.039833333329</v>
      </c>
    </row>
    <row r="35" spans="1:28" x14ac:dyDescent="0.55000000000000004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COUNTIF(deals_closed!$D$2:$D$20001,Calculations!B293)</f>
        <v>25</v>
      </c>
      <c r="H35" s="7">
        <f>SUMIF(deals_closed!$D:$D,Calculations!B293,deals_closed!$C:$C)</f>
        <v>990045</v>
      </c>
      <c r="I35" s="5">
        <f>VLOOKUP(E35,'2018_commission_structure'!$A$1:$I$4,9,FALSE)</f>
        <v>750000</v>
      </c>
      <c r="J35" s="9">
        <f t="shared" si="1"/>
        <v>937500</v>
      </c>
      <c r="K35" s="10">
        <f t="shared" si="2"/>
        <v>1125000</v>
      </c>
      <c r="L35" s="9">
        <f t="shared" si="3"/>
        <v>1500000</v>
      </c>
      <c r="M35" s="8">
        <f t="shared" si="4"/>
        <v>1.32006</v>
      </c>
      <c r="N35" t="str">
        <f t="shared" si="5"/>
        <v>125-150%</v>
      </c>
      <c r="O35" s="9">
        <f>MIN($H35,$I35)*INDEX('2018_commission_structure'!$A$1:$I$4,MATCH($E35,'2018_commission_structure'!$A$1:$A$4,0),MATCH(O$1,'2018_commission_structure'!$A$1:$I$1,0))</f>
        <v>112500</v>
      </c>
      <c r="P35" s="9">
        <f>IF(H35&gt;I35, MIN(H35-I35, J35-I35)*INDEX('2018_commission_structure'!$A$1:$I$4,MATCH($E35,'2018_commission_structure'!$A$1:$A$4,0),MATCH(P$1,'2018_commission_structure'!$A$1:$I$1,0)),0)</f>
        <v>35625</v>
      </c>
      <c r="Q35" s="9">
        <f>IF($H35&gt;J35, MIN($H35-J35, K35-J35)*INDEX('2018_commission_structure'!$A$1:$I$4,MATCH($E35,'2018_commission_structure'!$A$1:$A$4,0),MATCH(Q$1,'2018_commission_structure'!$A$1:$I$1,0)),0)</f>
        <v>12085.35</v>
      </c>
      <c r="R35" s="9">
        <f>IF($H35&gt;K35, MIN($H35-K35, L35-K35)*INDEX('2018_commission_structure'!$A$1:$I$4,MATCH($E35,'2018_commission_structure'!$A$1:$A$4,0),MATCH(R$1,'2018_commission_structure'!$A$1:$I$1,0)),0)</f>
        <v>0</v>
      </c>
      <c r="S35" s="9">
        <f>IF(H35&gt;L35,(H35-L35)*INDEX('2018_commission_structure'!$A$1:$I$4,MATCH($E35,'2018_commission_structure'!$A$1:$A$4,0),MATCH(S$1,'2018_commission_structure'!$A$1:$I$1,0)),0)</f>
        <v>0</v>
      </c>
      <c r="T35" s="9">
        <f t="shared" si="6"/>
        <v>160210.35</v>
      </c>
      <c r="U35" s="9">
        <f t="shared" si="7"/>
        <v>278054.34999999998</v>
      </c>
      <c r="V35" s="9">
        <f>MIN($I35,$H35)*INDEX('Key Metrics'!$E$16:$N$19,MATCH($E35,'Key Metrics'!$E$16:$E$19,0),MATCH(V$1,'Key Metrics'!$E$16:$M$16,0))</f>
        <v>112500</v>
      </c>
      <c r="W35" s="9">
        <f>IF($H35&gt;I35, MIN($H35-I35, J35-I35)*INDEX('Key Metrics'!$E$16:$N$19,MATCH($E35,'Key Metrics'!$E$16:$E$19,0),MATCH(W$1,'Key Metrics'!$E$16:$M$16,0)),0)</f>
        <v>41250</v>
      </c>
      <c r="X35" s="9">
        <f>IF($H35&gt;J35, MIN($H35-J35, K35-J35)*INDEX('Key Metrics'!$E$16:$N$19,MATCH($E35,'Key Metrics'!$E$16:$E$19,0),MATCH(X$1,'Key Metrics'!$E$16:$M$16,0)),0)</f>
        <v>13136.25</v>
      </c>
      <c r="Y35" s="9">
        <f>IF($H35&gt;K35, MIN($H35-K35, L35-K35)*INDEX('Key Metrics'!$E$16:$N$19,MATCH($E35,'Key Metrics'!$E$16:$E$19,0),MATCH(Y$1,'Key Metrics'!$E$16:$M$16,0)),0)</f>
        <v>0</v>
      </c>
      <c r="Z35" s="9">
        <f>IF($H35&gt;L35,($H35-L35)*INDEX('Key Metrics'!$E$16:$N$19,MATCH($E35,'Key Metrics'!$E$16:$E$19,0),MATCH(Z$1,'Key Metrics'!$E$16:$M$16,0)),0)</f>
        <v>0</v>
      </c>
      <c r="AA35" s="9">
        <f t="shared" si="8"/>
        <v>166886.25</v>
      </c>
      <c r="AB35" s="9">
        <f t="shared" si="9"/>
        <v>166887.57006</v>
      </c>
    </row>
    <row r="36" spans="1:28" x14ac:dyDescent="0.55000000000000004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COUNTIF(deals_closed!$D$2:$D$20001,Calculations!B368)</f>
        <v>26</v>
      </c>
      <c r="H36" s="7">
        <f>SUMIF(deals_closed!$D:$D,Calculations!B368,deals_closed!$C:$C)</f>
        <v>954130</v>
      </c>
      <c r="I36" s="5">
        <f>VLOOKUP(E36,'2018_commission_structure'!$A$1:$I$4,9,FALSE)</f>
        <v>500000</v>
      </c>
      <c r="J36" s="9">
        <f t="shared" si="1"/>
        <v>625000</v>
      </c>
      <c r="K36" s="10">
        <f t="shared" si="2"/>
        <v>750000</v>
      </c>
      <c r="L36" s="9">
        <f t="shared" si="3"/>
        <v>1000000</v>
      </c>
      <c r="M36" s="8">
        <f t="shared" si="4"/>
        <v>1.9082600000000001</v>
      </c>
      <c r="N36" t="str">
        <f t="shared" si="5"/>
        <v>150-200%</v>
      </c>
      <c r="O36" s="9">
        <f>MIN($H36,$I36)*INDEX('2018_commission_structure'!$A$1:$I$4,MATCH($E36,'2018_commission_structure'!$A$1:$A$4,0),MATCH(O$1,'2018_commission_structure'!$A$1:$I$1,0))</f>
        <v>50000</v>
      </c>
      <c r="P36" s="9">
        <f>IF(H36&gt;I36, MIN(H36-I36, J36-I36)*INDEX('2018_commission_structure'!$A$1:$I$4,MATCH($E36,'2018_commission_structure'!$A$1:$A$4,0),MATCH(P$1,'2018_commission_structure'!$A$1:$I$1,0)),0)</f>
        <v>18750</v>
      </c>
      <c r="Q36" s="9">
        <f>IF($H36&gt;J36, MIN($H36-J36, K36-J36)*INDEX('2018_commission_structure'!$A$1:$I$4,MATCH($E36,'2018_commission_structure'!$A$1:$A$4,0),MATCH(Q$1,'2018_commission_structure'!$A$1:$I$1,0)),0)</f>
        <v>22500</v>
      </c>
      <c r="R36" s="9">
        <f>IF($H36&gt;K36, MIN($H36-K36, L36-K36)*INDEX('2018_commission_structure'!$A$1:$I$4,MATCH($E36,'2018_commission_structure'!$A$1:$A$4,0),MATCH(R$1,'2018_commission_structure'!$A$1:$I$1,0)),0)</f>
        <v>44908.6</v>
      </c>
      <c r="S36" s="9">
        <f>IF(H36&gt;L36,(H36-L36)*INDEX('2018_commission_structure'!$A$1:$I$4,MATCH($E36,'2018_commission_structure'!$A$1:$A$4,0),MATCH(S$1,'2018_commission_structure'!$A$1:$I$1,0)),0)</f>
        <v>0</v>
      </c>
      <c r="T36" s="9">
        <f t="shared" si="6"/>
        <v>136158.6</v>
      </c>
      <c r="U36" s="9">
        <f t="shared" si="7"/>
        <v>166469.6</v>
      </c>
      <c r="V36" s="9">
        <f>MIN($I36,$H36)*INDEX('Key Metrics'!$E$16:$N$19,MATCH($E36,'Key Metrics'!$E$16:$E$19,0),MATCH(V$1,'Key Metrics'!$E$16:$M$16,0))</f>
        <v>60000</v>
      </c>
      <c r="W36" s="9">
        <f>IF($H36&gt;I36, MIN($H36-I36, J36-I36)*INDEX('Key Metrics'!$E$16:$N$19,MATCH($E36,'Key Metrics'!$E$16:$E$19,0),MATCH(W$1,'Key Metrics'!$E$16:$M$16,0)),0)</f>
        <v>21250</v>
      </c>
      <c r="X36" s="9">
        <f>IF($H36&gt;J36, MIN($H36-J36, K36-J36)*INDEX('Key Metrics'!$E$16:$N$19,MATCH($E36,'Key Metrics'!$E$16:$E$19,0),MATCH(X$1,'Key Metrics'!$E$16:$M$16,0)),0)</f>
        <v>25000</v>
      </c>
      <c r="Y36" s="9">
        <f>IF($H36&gt;K36, MIN($H36-K36, L36-K36)*INDEX('Key Metrics'!$E$16:$N$19,MATCH($E36,'Key Metrics'!$E$16:$E$19,0),MATCH(Y$1,'Key Metrics'!$E$16:$M$16,0)),0)</f>
        <v>44908.6</v>
      </c>
      <c r="Z36" s="9">
        <f>IF($H36&gt;L36,($H36-L36)*INDEX('Key Metrics'!$E$16:$N$19,MATCH($E36,'Key Metrics'!$E$16:$E$19,0),MATCH(Z$1,'Key Metrics'!$E$16:$M$16,0)),0)</f>
        <v>0</v>
      </c>
      <c r="AA36" s="9">
        <f t="shared" si="8"/>
        <v>151158.6</v>
      </c>
      <c r="AB36" s="9">
        <f t="shared" si="9"/>
        <v>151160.50826</v>
      </c>
    </row>
    <row r="37" spans="1:28" x14ac:dyDescent="0.55000000000000004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COUNTIF(deals_closed!$D$2:$D$20001,Calculations!B446)</f>
        <v>23</v>
      </c>
      <c r="H37" s="7">
        <f>SUMIF(deals_closed!$D:$D,Calculations!B446,deals_closed!$C:$C)</f>
        <v>773302</v>
      </c>
      <c r="I37" s="5">
        <f>VLOOKUP(E37,'2018_commission_structure'!$A$1:$I$4,9,FALSE)</f>
        <v>500000</v>
      </c>
      <c r="J37" s="9">
        <f t="shared" si="1"/>
        <v>625000</v>
      </c>
      <c r="K37" s="10">
        <f t="shared" si="2"/>
        <v>750000</v>
      </c>
      <c r="L37" s="9">
        <f t="shared" si="3"/>
        <v>1000000</v>
      </c>
      <c r="M37" s="8">
        <f t="shared" si="4"/>
        <v>1.5466040000000001</v>
      </c>
      <c r="N37" t="str">
        <f t="shared" si="5"/>
        <v>150-200%</v>
      </c>
      <c r="O37" s="9">
        <f>MIN($H37,$I37)*INDEX('2018_commission_structure'!$A$1:$I$4,MATCH($E37,'2018_commission_structure'!$A$1:$A$4,0),MATCH(O$1,'2018_commission_structure'!$A$1:$I$1,0))</f>
        <v>50000</v>
      </c>
      <c r="P37" s="9">
        <f>IF(H37&gt;I37, MIN(H37-I37, J37-I37)*INDEX('2018_commission_structure'!$A$1:$I$4,MATCH($E37,'2018_commission_structure'!$A$1:$A$4,0),MATCH(P$1,'2018_commission_structure'!$A$1:$I$1,0)),0)</f>
        <v>18750</v>
      </c>
      <c r="Q37" s="9">
        <f>IF($H37&gt;J37, MIN($H37-J37, K37-J37)*INDEX('2018_commission_structure'!$A$1:$I$4,MATCH($E37,'2018_commission_structure'!$A$1:$A$4,0),MATCH(Q$1,'2018_commission_structure'!$A$1:$I$1,0)),0)</f>
        <v>22500</v>
      </c>
      <c r="R37" s="9">
        <f>IF($H37&gt;K37, MIN($H37-K37, L37-K37)*INDEX('2018_commission_structure'!$A$1:$I$4,MATCH($E37,'2018_commission_structure'!$A$1:$A$4,0),MATCH(R$1,'2018_commission_structure'!$A$1:$I$1,0)),0)</f>
        <v>5126.4399999999996</v>
      </c>
      <c r="S37" s="9">
        <f>IF(H37&gt;L37,(H37-L37)*INDEX('2018_commission_structure'!$A$1:$I$4,MATCH($E37,'2018_commission_structure'!$A$1:$A$4,0),MATCH(S$1,'2018_commission_structure'!$A$1:$I$1,0)),0)</f>
        <v>0</v>
      </c>
      <c r="T37" s="9">
        <f t="shared" si="6"/>
        <v>96376.44</v>
      </c>
      <c r="U37" s="9">
        <f t="shared" si="7"/>
        <v>133423.44</v>
      </c>
      <c r="V37" s="9">
        <f>MIN($I37,$H37)*INDEX('Key Metrics'!$E$16:$N$19,MATCH($E37,'Key Metrics'!$E$16:$E$19,0),MATCH(V$1,'Key Metrics'!$E$16:$M$16,0))</f>
        <v>60000</v>
      </c>
      <c r="W37" s="9">
        <f>IF($H37&gt;I37, MIN($H37-I37, J37-I37)*INDEX('Key Metrics'!$E$16:$N$19,MATCH($E37,'Key Metrics'!$E$16:$E$19,0),MATCH(W$1,'Key Metrics'!$E$16:$M$16,0)),0)</f>
        <v>21250</v>
      </c>
      <c r="X37" s="9">
        <f>IF($H37&gt;J37, MIN($H37-J37, K37-J37)*INDEX('Key Metrics'!$E$16:$N$19,MATCH($E37,'Key Metrics'!$E$16:$E$19,0),MATCH(X$1,'Key Metrics'!$E$16:$M$16,0)),0)</f>
        <v>25000</v>
      </c>
      <c r="Y37" s="9">
        <f>IF($H37&gt;K37, MIN($H37-K37, L37-K37)*INDEX('Key Metrics'!$E$16:$N$19,MATCH($E37,'Key Metrics'!$E$16:$E$19,0),MATCH(Y$1,'Key Metrics'!$E$16:$M$16,0)),0)</f>
        <v>5126.4399999999996</v>
      </c>
      <c r="Z37" s="9">
        <f>IF($H37&gt;L37,($H37-L37)*INDEX('Key Metrics'!$E$16:$N$19,MATCH($E37,'Key Metrics'!$E$16:$E$19,0),MATCH(Z$1,'Key Metrics'!$E$16:$M$16,0)),0)</f>
        <v>0</v>
      </c>
      <c r="AA37" s="9">
        <f t="shared" si="8"/>
        <v>111376.44</v>
      </c>
      <c r="AB37" s="9">
        <f t="shared" si="9"/>
        <v>111377.98660400001</v>
      </c>
    </row>
    <row r="38" spans="1:28" x14ac:dyDescent="0.55000000000000004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COUNTIF(deals_closed!$D$2:$D$20001,Calculations!B332)</f>
        <v>23</v>
      </c>
      <c r="H38" s="7">
        <f>SUMIF(deals_closed!$D:$D,Calculations!B332,deals_closed!$C:$C)</f>
        <v>826017</v>
      </c>
      <c r="I38" s="5">
        <f>VLOOKUP(E38,'2018_commission_structure'!$A$1:$I$4,9,FALSE)</f>
        <v>750000</v>
      </c>
      <c r="J38" s="9">
        <f t="shared" si="1"/>
        <v>937500</v>
      </c>
      <c r="K38" s="10">
        <f t="shared" si="2"/>
        <v>1125000</v>
      </c>
      <c r="L38" s="9">
        <f t="shared" si="3"/>
        <v>1500000</v>
      </c>
      <c r="M38" s="8">
        <f t="shared" si="4"/>
        <v>1.101356</v>
      </c>
      <c r="N38" t="str">
        <f t="shared" si="5"/>
        <v>100-125%</v>
      </c>
      <c r="O38" s="9">
        <f>MIN($H38,$I38)*INDEX('2018_commission_structure'!$A$1:$I$4,MATCH($E38,'2018_commission_structure'!$A$1:$A$4,0),MATCH(O$1,'2018_commission_structure'!$A$1:$I$1,0))</f>
        <v>112500</v>
      </c>
      <c r="P38" s="9">
        <f>IF(H38&gt;I38, MIN(H38-I38, J38-I38)*INDEX('2018_commission_structure'!$A$1:$I$4,MATCH($E38,'2018_commission_structure'!$A$1:$A$4,0),MATCH(P$1,'2018_commission_structure'!$A$1:$I$1,0)),0)</f>
        <v>14443.23</v>
      </c>
      <c r="Q38" s="9">
        <f>IF($H38&gt;J38, MIN($H38-J38, K38-J38)*INDEX('2018_commission_structure'!$A$1:$I$4,MATCH($E38,'2018_commission_structure'!$A$1:$A$4,0),MATCH(Q$1,'2018_commission_structure'!$A$1:$I$1,0)),0)</f>
        <v>0</v>
      </c>
      <c r="R38" s="9">
        <f>IF($H38&gt;K38, MIN($H38-K38, L38-K38)*INDEX('2018_commission_structure'!$A$1:$I$4,MATCH($E38,'2018_commission_structure'!$A$1:$A$4,0),MATCH(R$1,'2018_commission_structure'!$A$1:$I$1,0)),0)</f>
        <v>0</v>
      </c>
      <c r="S38" s="9">
        <f>IF(H38&gt;L38,(H38-L38)*INDEX('2018_commission_structure'!$A$1:$I$4,MATCH($E38,'2018_commission_structure'!$A$1:$A$4,0),MATCH(S$1,'2018_commission_structure'!$A$1:$I$1,0)),0)</f>
        <v>0</v>
      </c>
      <c r="T38" s="9">
        <f t="shared" si="6"/>
        <v>126943.23</v>
      </c>
      <c r="U38" s="9">
        <f t="shared" si="7"/>
        <v>235109.22999999998</v>
      </c>
      <c r="V38" s="9">
        <f>MIN($I38,$H38)*INDEX('Key Metrics'!$E$16:$N$19,MATCH($E38,'Key Metrics'!$E$16:$E$19,0),MATCH(V$1,'Key Metrics'!$E$16:$M$16,0))</f>
        <v>112500</v>
      </c>
      <c r="W38" s="9">
        <f>IF($H38&gt;I38, MIN($H38-I38, J38-I38)*INDEX('Key Metrics'!$E$16:$N$19,MATCH($E38,'Key Metrics'!$E$16:$E$19,0),MATCH(W$1,'Key Metrics'!$E$16:$M$16,0)),0)</f>
        <v>16723.740000000002</v>
      </c>
      <c r="X38" s="9">
        <f>IF($H38&gt;J38, MIN($H38-J38, K38-J38)*INDEX('Key Metrics'!$E$16:$N$19,MATCH($E38,'Key Metrics'!$E$16:$E$19,0),MATCH(X$1,'Key Metrics'!$E$16:$M$16,0)),0)</f>
        <v>0</v>
      </c>
      <c r="Y38" s="9">
        <f>IF($H38&gt;K38, MIN($H38-K38, L38-K38)*INDEX('Key Metrics'!$E$16:$N$19,MATCH($E38,'Key Metrics'!$E$16:$E$19,0),MATCH(Y$1,'Key Metrics'!$E$16:$M$16,0)),0)</f>
        <v>0</v>
      </c>
      <c r="Z38" s="9">
        <f>IF($H38&gt;L38,($H38-L38)*INDEX('Key Metrics'!$E$16:$N$19,MATCH($E38,'Key Metrics'!$E$16:$E$19,0),MATCH(Z$1,'Key Metrics'!$E$16:$M$16,0)),0)</f>
        <v>0</v>
      </c>
      <c r="AA38" s="9">
        <f t="shared" si="8"/>
        <v>129223.74</v>
      </c>
      <c r="AB38" s="9">
        <f t="shared" si="9"/>
        <v>129224.841356</v>
      </c>
    </row>
    <row r="39" spans="1:28" x14ac:dyDescent="0.55000000000000004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COUNTIF(deals_closed!$D$2:$D$20001,Calculations!B519)</f>
        <v>15</v>
      </c>
      <c r="H39" s="7">
        <f>SUMIF(deals_closed!$D:$D,Calculations!B519,deals_closed!$C:$C)</f>
        <v>499847</v>
      </c>
      <c r="I39" s="5">
        <f>VLOOKUP(E39,'2018_commission_structure'!$A$1:$I$4,9,FALSE)</f>
        <v>750000</v>
      </c>
      <c r="J39" s="9">
        <f t="shared" si="1"/>
        <v>937500</v>
      </c>
      <c r="K39" s="10">
        <f t="shared" si="2"/>
        <v>1125000</v>
      </c>
      <c r="L39" s="9">
        <f t="shared" si="3"/>
        <v>1500000</v>
      </c>
      <c r="M39" s="8">
        <f t="shared" si="4"/>
        <v>0.66646266666666665</v>
      </c>
      <c r="N39" t="str">
        <f t="shared" si="5"/>
        <v>0-100%</v>
      </c>
      <c r="O39" s="9">
        <f>MIN($H39,$I39)*INDEX('2018_commission_structure'!$A$1:$I$4,MATCH($E39,'2018_commission_structure'!$A$1:$A$4,0),MATCH(O$1,'2018_commission_structure'!$A$1:$I$1,0))</f>
        <v>74977.05</v>
      </c>
      <c r="P39" s="9">
        <f>IF(H39&gt;I39, MIN(H39-I39, J39-I39)*INDEX('2018_commission_structure'!$A$1:$I$4,MATCH($E39,'2018_commission_structure'!$A$1:$A$4,0),MATCH(P$1,'2018_commission_structure'!$A$1:$I$1,0)),0)</f>
        <v>0</v>
      </c>
      <c r="Q39" s="9">
        <f>IF($H39&gt;J39, MIN($H39-J39, K39-J39)*INDEX('2018_commission_structure'!$A$1:$I$4,MATCH($E39,'2018_commission_structure'!$A$1:$A$4,0),MATCH(Q$1,'2018_commission_structure'!$A$1:$I$1,0)),0)</f>
        <v>0</v>
      </c>
      <c r="R39" s="9">
        <f>IF($H39&gt;K39, MIN($H39-K39, L39-K39)*INDEX('2018_commission_structure'!$A$1:$I$4,MATCH($E39,'2018_commission_structure'!$A$1:$A$4,0),MATCH(R$1,'2018_commission_structure'!$A$1:$I$1,0)),0)</f>
        <v>0</v>
      </c>
      <c r="S39" s="9">
        <f>IF(H39&gt;L39,(H39-L39)*INDEX('2018_commission_structure'!$A$1:$I$4,MATCH($E39,'2018_commission_structure'!$A$1:$A$4,0),MATCH(S$1,'2018_commission_structure'!$A$1:$I$1,0)),0)</f>
        <v>0</v>
      </c>
      <c r="T39" s="9">
        <f t="shared" si="6"/>
        <v>74977.05</v>
      </c>
      <c r="U39" s="9">
        <f t="shared" si="7"/>
        <v>153990.04999999999</v>
      </c>
      <c r="V39" s="9">
        <f>MIN($I39,$H39)*INDEX('Key Metrics'!$E$16:$N$19,MATCH($E39,'Key Metrics'!$E$16:$E$19,0),MATCH(V$1,'Key Metrics'!$E$16:$M$16,0))</f>
        <v>74977.05</v>
      </c>
      <c r="W39" s="9">
        <f>IF($H39&gt;I39, MIN($H39-I39, J39-I39)*INDEX('Key Metrics'!$E$16:$N$19,MATCH($E39,'Key Metrics'!$E$16:$E$19,0),MATCH(W$1,'Key Metrics'!$E$16:$M$16,0)),0)</f>
        <v>0</v>
      </c>
      <c r="X39" s="9">
        <f>IF($H39&gt;J39, MIN($H39-J39, K39-J39)*INDEX('Key Metrics'!$E$16:$N$19,MATCH($E39,'Key Metrics'!$E$16:$E$19,0),MATCH(X$1,'Key Metrics'!$E$16:$M$16,0)),0)</f>
        <v>0</v>
      </c>
      <c r="Y39" s="9">
        <f>IF($H39&gt;K39, MIN($H39-K39, L39-K39)*INDEX('Key Metrics'!$E$16:$N$19,MATCH($E39,'Key Metrics'!$E$16:$E$19,0),MATCH(Y$1,'Key Metrics'!$E$16:$M$16,0)),0)</f>
        <v>0</v>
      </c>
      <c r="Z39" s="9">
        <f>IF($H39&gt;L39,($H39-L39)*INDEX('Key Metrics'!$E$16:$N$19,MATCH($E39,'Key Metrics'!$E$16:$E$19,0),MATCH(Z$1,'Key Metrics'!$E$16:$M$16,0)),0)</f>
        <v>0</v>
      </c>
      <c r="AA39" s="9">
        <f t="shared" si="8"/>
        <v>74977.05</v>
      </c>
      <c r="AB39" s="9">
        <f t="shared" si="9"/>
        <v>74977.716462666664</v>
      </c>
    </row>
    <row r="40" spans="1:28" x14ac:dyDescent="0.55000000000000004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COUNTIF(deals_closed!$D$2:$D$20001,Calculations!B474)</f>
        <v>25</v>
      </c>
      <c r="H40" s="7">
        <f>SUMIF(deals_closed!$D:$D,Calculations!B474,deals_closed!$C:$C)</f>
        <v>711521</v>
      </c>
      <c r="I40" s="5">
        <f>VLOOKUP(E40,'2018_commission_structure'!$A$1:$I$4,9,FALSE)</f>
        <v>600000</v>
      </c>
      <c r="J40" s="9">
        <f t="shared" si="1"/>
        <v>750000</v>
      </c>
      <c r="K40" s="10">
        <f t="shared" si="2"/>
        <v>900000</v>
      </c>
      <c r="L40" s="9">
        <f t="shared" si="3"/>
        <v>1200000</v>
      </c>
      <c r="M40" s="8">
        <f t="shared" si="4"/>
        <v>1.1858683333333333</v>
      </c>
      <c r="N40" t="str">
        <f t="shared" si="5"/>
        <v>100-125%</v>
      </c>
      <c r="O40" s="9">
        <f>MIN($H40,$I40)*INDEX('2018_commission_structure'!$A$1:$I$4,MATCH($E40,'2018_commission_structure'!$A$1:$A$4,0),MATCH(O$1,'2018_commission_structure'!$A$1:$I$1,0))</f>
        <v>78000</v>
      </c>
      <c r="P40" s="9">
        <f>IF(H40&gt;I40, MIN(H40-I40, J40-I40)*INDEX('2018_commission_structure'!$A$1:$I$4,MATCH($E40,'2018_commission_structure'!$A$1:$A$4,0),MATCH(P$1,'2018_commission_structure'!$A$1:$I$1,0)),0)</f>
        <v>18958.57</v>
      </c>
      <c r="Q40" s="9">
        <f>IF($H40&gt;J40, MIN($H40-J40, K40-J40)*INDEX('2018_commission_structure'!$A$1:$I$4,MATCH($E40,'2018_commission_structure'!$A$1:$A$4,0),MATCH(Q$1,'2018_commission_structure'!$A$1:$I$1,0)),0)</f>
        <v>0</v>
      </c>
      <c r="R40" s="9">
        <f>IF($H40&gt;K40, MIN($H40-K40, L40-K40)*INDEX('2018_commission_structure'!$A$1:$I$4,MATCH($E40,'2018_commission_structure'!$A$1:$A$4,0),MATCH(R$1,'2018_commission_structure'!$A$1:$I$1,0)),0)</f>
        <v>0</v>
      </c>
      <c r="S40" s="9">
        <f>IF(H40&gt;L40,(H40-L40)*INDEX('2018_commission_structure'!$A$1:$I$4,MATCH($E40,'2018_commission_structure'!$A$1:$A$4,0),MATCH(S$1,'2018_commission_structure'!$A$1:$I$1,0)),0)</f>
        <v>0</v>
      </c>
      <c r="T40" s="9">
        <f t="shared" si="6"/>
        <v>96958.57</v>
      </c>
      <c r="U40" s="9">
        <f t="shared" si="7"/>
        <v>162810.57</v>
      </c>
      <c r="V40" s="9">
        <f>MIN($I40,$H40)*INDEX('Key Metrics'!$E$16:$N$19,MATCH($E40,'Key Metrics'!$E$16:$E$19,0),MATCH(V$1,'Key Metrics'!$E$16:$M$16,0))</f>
        <v>90000</v>
      </c>
      <c r="W40" s="9">
        <f>IF($H40&gt;I40, MIN($H40-I40, J40-I40)*INDEX('Key Metrics'!$E$16:$N$19,MATCH($E40,'Key Metrics'!$E$16:$E$19,0),MATCH(W$1,'Key Metrics'!$E$16:$M$16,0)),0)</f>
        <v>20073.78</v>
      </c>
      <c r="X40" s="9">
        <f>IF($H40&gt;J40, MIN($H40-J40, K40-J40)*INDEX('Key Metrics'!$E$16:$N$19,MATCH($E40,'Key Metrics'!$E$16:$E$19,0),MATCH(X$1,'Key Metrics'!$E$16:$M$16,0)),0)</f>
        <v>0</v>
      </c>
      <c r="Y40" s="9">
        <f>IF($H40&gt;K40, MIN($H40-K40, L40-K40)*INDEX('Key Metrics'!$E$16:$N$19,MATCH($E40,'Key Metrics'!$E$16:$E$19,0),MATCH(Y$1,'Key Metrics'!$E$16:$M$16,0)),0)</f>
        <v>0</v>
      </c>
      <c r="Z40" s="9">
        <f>IF($H40&gt;L40,($H40-L40)*INDEX('Key Metrics'!$E$16:$N$19,MATCH($E40,'Key Metrics'!$E$16:$E$19,0),MATCH(Z$1,'Key Metrics'!$E$16:$M$16,0)),0)</f>
        <v>0</v>
      </c>
      <c r="AA40" s="9">
        <f t="shared" si="8"/>
        <v>110073.78</v>
      </c>
      <c r="AB40" s="9">
        <f t="shared" si="9"/>
        <v>110074.96586833333</v>
      </c>
    </row>
    <row r="41" spans="1:28" x14ac:dyDescent="0.55000000000000004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COUNTIF(deals_closed!$D$2:$D$20001,Calculations!B999)</f>
        <v>23</v>
      </c>
      <c r="H41" s="7">
        <f>SUMIF(deals_closed!$D:$D,Calculations!B999,deals_closed!$C:$C)</f>
        <v>696032</v>
      </c>
      <c r="I41" s="5">
        <f>VLOOKUP(E41,'2018_commission_structure'!$A$1:$I$4,9,FALSE)</f>
        <v>750000</v>
      </c>
      <c r="J41" s="9">
        <f t="shared" si="1"/>
        <v>937500</v>
      </c>
      <c r="K41" s="10">
        <f t="shared" si="2"/>
        <v>1125000</v>
      </c>
      <c r="L41" s="9">
        <f t="shared" si="3"/>
        <v>1500000</v>
      </c>
      <c r="M41" s="8">
        <f t="shared" si="4"/>
        <v>0.92804266666666668</v>
      </c>
      <c r="N41" t="str">
        <f t="shared" si="5"/>
        <v>0-100%</v>
      </c>
      <c r="O41" s="9">
        <f>MIN($H41,$I41)*INDEX('2018_commission_structure'!$A$1:$I$4,MATCH($E41,'2018_commission_structure'!$A$1:$A$4,0),MATCH(O$1,'2018_commission_structure'!$A$1:$I$1,0))</f>
        <v>104404.8</v>
      </c>
      <c r="P41" s="9">
        <f>IF(H41&gt;I41, MIN(H41-I41, J41-I41)*INDEX('2018_commission_structure'!$A$1:$I$4,MATCH($E41,'2018_commission_structure'!$A$1:$A$4,0),MATCH(P$1,'2018_commission_structure'!$A$1:$I$1,0)),0)</f>
        <v>0</v>
      </c>
      <c r="Q41" s="9">
        <f>IF($H41&gt;J41, MIN($H41-J41, K41-J41)*INDEX('2018_commission_structure'!$A$1:$I$4,MATCH($E41,'2018_commission_structure'!$A$1:$A$4,0),MATCH(Q$1,'2018_commission_structure'!$A$1:$I$1,0)),0)</f>
        <v>0</v>
      </c>
      <c r="R41" s="9">
        <f>IF($H41&gt;K41, MIN($H41-K41, L41-K41)*INDEX('2018_commission_structure'!$A$1:$I$4,MATCH($E41,'2018_commission_structure'!$A$1:$A$4,0),MATCH(R$1,'2018_commission_structure'!$A$1:$I$1,0)),0)</f>
        <v>0</v>
      </c>
      <c r="S41" s="9">
        <f>IF(H41&gt;L41,(H41-L41)*INDEX('2018_commission_structure'!$A$1:$I$4,MATCH($E41,'2018_commission_structure'!$A$1:$A$4,0),MATCH(S$1,'2018_commission_structure'!$A$1:$I$1,0)),0)</f>
        <v>0</v>
      </c>
      <c r="T41" s="9">
        <f t="shared" si="6"/>
        <v>104404.8</v>
      </c>
      <c r="U41" s="9">
        <f t="shared" si="7"/>
        <v>207266.8</v>
      </c>
      <c r="V41" s="9">
        <f>MIN($I41,$H41)*INDEX('Key Metrics'!$E$16:$N$19,MATCH($E41,'Key Metrics'!$E$16:$E$19,0),MATCH(V$1,'Key Metrics'!$E$16:$M$16,0))</f>
        <v>104404.8</v>
      </c>
      <c r="W41" s="9">
        <f>IF($H41&gt;I41, MIN($H41-I41, J41-I41)*INDEX('Key Metrics'!$E$16:$N$19,MATCH($E41,'Key Metrics'!$E$16:$E$19,0),MATCH(W$1,'Key Metrics'!$E$16:$M$16,0)),0)</f>
        <v>0</v>
      </c>
      <c r="X41" s="9">
        <f>IF($H41&gt;J41, MIN($H41-J41, K41-J41)*INDEX('Key Metrics'!$E$16:$N$19,MATCH($E41,'Key Metrics'!$E$16:$E$19,0),MATCH(X$1,'Key Metrics'!$E$16:$M$16,0)),0)</f>
        <v>0</v>
      </c>
      <c r="Y41" s="9">
        <f>IF($H41&gt;K41, MIN($H41-K41, L41-K41)*INDEX('Key Metrics'!$E$16:$N$19,MATCH($E41,'Key Metrics'!$E$16:$E$19,0),MATCH(Y$1,'Key Metrics'!$E$16:$M$16,0)),0)</f>
        <v>0</v>
      </c>
      <c r="Z41" s="9">
        <f>IF($H41&gt;L41,($H41-L41)*INDEX('Key Metrics'!$E$16:$N$19,MATCH($E41,'Key Metrics'!$E$16:$E$19,0),MATCH(Z$1,'Key Metrics'!$E$16:$M$16,0)),0)</f>
        <v>0</v>
      </c>
      <c r="AA41" s="9">
        <f t="shared" si="8"/>
        <v>104404.8</v>
      </c>
      <c r="AB41" s="9">
        <f t="shared" si="9"/>
        <v>104405.72804266667</v>
      </c>
    </row>
    <row r="42" spans="1:28" x14ac:dyDescent="0.55000000000000004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COUNTIF(deals_closed!$D$2:$D$20001,Calculations!B962)</f>
        <v>21</v>
      </c>
      <c r="H42" s="7">
        <f>SUMIF(deals_closed!$D:$D,Calculations!B962,deals_closed!$C:$C)</f>
        <v>713761</v>
      </c>
      <c r="I42" s="5">
        <f>VLOOKUP(E42,'2018_commission_structure'!$A$1:$I$4,9,FALSE)</f>
        <v>600000</v>
      </c>
      <c r="J42" s="9">
        <f t="shared" si="1"/>
        <v>750000</v>
      </c>
      <c r="K42" s="10">
        <f t="shared" si="2"/>
        <v>900000</v>
      </c>
      <c r="L42" s="9">
        <f t="shared" si="3"/>
        <v>1200000</v>
      </c>
      <c r="M42" s="8">
        <f t="shared" si="4"/>
        <v>1.1896016666666667</v>
      </c>
      <c r="N42" t="str">
        <f t="shared" si="5"/>
        <v>100-125%</v>
      </c>
      <c r="O42" s="9">
        <f>MIN($H42,$I42)*INDEX('2018_commission_structure'!$A$1:$I$4,MATCH($E42,'2018_commission_structure'!$A$1:$A$4,0),MATCH(O$1,'2018_commission_structure'!$A$1:$I$1,0))</f>
        <v>78000</v>
      </c>
      <c r="P42" s="9">
        <f>IF(H42&gt;I42, MIN(H42-I42, J42-I42)*INDEX('2018_commission_structure'!$A$1:$I$4,MATCH($E42,'2018_commission_structure'!$A$1:$A$4,0),MATCH(P$1,'2018_commission_structure'!$A$1:$I$1,0)),0)</f>
        <v>19339.370000000003</v>
      </c>
      <c r="Q42" s="9">
        <f>IF($H42&gt;J42, MIN($H42-J42, K42-J42)*INDEX('2018_commission_structure'!$A$1:$I$4,MATCH($E42,'2018_commission_structure'!$A$1:$A$4,0),MATCH(Q$1,'2018_commission_structure'!$A$1:$I$1,0)),0)</f>
        <v>0</v>
      </c>
      <c r="R42" s="9">
        <f>IF($H42&gt;K42, MIN($H42-K42, L42-K42)*INDEX('2018_commission_structure'!$A$1:$I$4,MATCH($E42,'2018_commission_structure'!$A$1:$A$4,0),MATCH(R$1,'2018_commission_structure'!$A$1:$I$1,0)),0)</f>
        <v>0</v>
      </c>
      <c r="S42" s="9">
        <f>IF(H42&gt;L42,(H42-L42)*INDEX('2018_commission_structure'!$A$1:$I$4,MATCH($E42,'2018_commission_structure'!$A$1:$A$4,0),MATCH(S$1,'2018_commission_structure'!$A$1:$I$1,0)),0)</f>
        <v>0</v>
      </c>
      <c r="T42" s="9">
        <f t="shared" si="6"/>
        <v>97339.37</v>
      </c>
      <c r="U42" s="9">
        <f t="shared" si="7"/>
        <v>163726.37</v>
      </c>
      <c r="V42" s="9">
        <f>MIN($I42,$H42)*INDEX('Key Metrics'!$E$16:$N$19,MATCH($E42,'Key Metrics'!$E$16:$E$19,0),MATCH(V$1,'Key Metrics'!$E$16:$M$16,0))</f>
        <v>90000</v>
      </c>
      <c r="W42" s="9">
        <f>IF($H42&gt;I42, MIN($H42-I42, J42-I42)*INDEX('Key Metrics'!$E$16:$N$19,MATCH($E42,'Key Metrics'!$E$16:$E$19,0),MATCH(W$1,'Key Metrics'!$E$16:$M$16,0)),0)</f>
        <v>20476.98</v>
      </c>
      <c r="X42" s="9">
        <f>IF($H42&gt;J42, MIN($H42-J42, K42-J42)*INDEX('Key Metrics'!$E$16:$N$19,MATCH($E42,'Key Metrics'!$E$16:$E$19,0),MATCH(X$1,'Key Metrics'!$E$16:$M$16,0)),0)</f>
        <v>0</v>
      </c>
      <c r="Y42" s="9">
        <f>IF($H42&gt;K42, MIN($H42-K42, L42-K42)*INDEX('Key Metrics'!$E$16:$N$19,MATCH($E42,'Key Metrics'!$E$16:$E$19,0),MATCH(Y$1,'Key Metrics'!$E$16:$M$16,0)),0)</f>
        <v>0</v>
      </c>
      <c r="Z42" s="9">
        <f>IF($H42&gt;L42,($H42-L42)*INDEX('Key Metrics'!$E$16:$N$19,MATCH($E42,'Key Metrics'!$E$16:$E$19,0),MATCH(Z$1,'Key Metrics'!$E$16:$M$16,0)),0)</f>
        <v>0</v>
      </c>
      <c r="AA42" s="9">
        <f t="shared" si="8"/>
        <v>110476.98</v>
      </c>
      <c r="AB42" s="9">
        <f t="shared" si="9"/>
        <v>110478.16960166667</v>
      </c>
    </row>
    <row r="43" spans="1:28" x14ac:dyDescent="0.55000000000000004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COUNTIF(deals_closed!$D$2:$D$20001,Calculations!B861)</f>
        <v>17</v>
      </c>
      <c r="H43" s="7">
        <f>SUMIF(deals_closed!$D:$D,Calculations!B861,deals_closed!$C:$C)</f>
        <v>550688</v>
      </c>
      <c r="I43" s="5">
        <f>VLOOKUP(E43,'2018_commission_structure'!$A$1:$I$4,9,FALSE)</f>
        <v>500000</v>
      </c>
      <c r="J43" s="9">
        <f t="shared" si="1"/>
        <v>625000</v>
      </c>
      <c r="K43" s="10">
        <f t="shared" si="2"/>
        <v>750000</v>
      </c>
      <c r="L43" s="9">
        <f t="shared" si="3"/>
        <v>1000000</v>
      </c>
      <c r="M43" s="8">
        <f t="shared" si="4"/>
        <v>1.1013759999999999</v>
      </c>
      <c r="N43" t="str">
        <f t="shared" si="5"/>
        <v>100-125%</v>
      </c>
      <c r="O43" s="9">
        <f>MIN($H43,$I43)*INDEX('2018_commission_structure'!$A$1:$I$4,MATCH($E43,'2018_commission_structure'!$A$1:$A$4,0),MATCH(O$1,'2018_commission_structure'!$A$1:$I$1,0))</f>
        <v>50000</v>
      </c>
      <c r="P43" s="9">
        <f>IF(H43&gt;I43, MIN(H43-I43, J43-I43)*INDEX('2018_commission_structure'!$A$1:$I$4,MATCH($E43,'2018_commission_structure'!$A$1:$A$4,0),MATCH(P$1,'2018_commission_structure'!$A$1:$I$1,0)),0)</f>
        <v>7603.2</v>
      </c>
      <c r="Q43" s="9">
        <f>IF($H43&gt;J43, MIN($H43-J43, K43-J43)*INDEX('2018_commission_structure'!$A$1:$I$4,MATCH($E43,'2018_commission_structure'!$A$1:$A$4,0),MATCH(Q$1,'2018_commission_structure'!$A$1:$I$1,0)),0)</f>
        <v>0</v>
      </c>
      <c r="R43" s="9">
        <f>IF($H43&gt;K43, MIN($H43-K43, L43-K43)*INDEX('2018_commission_structure'!$A$1:$I$4,MATCH($E43,'2018_commission_structure'!$A$1:$A$4,0),MATCH(R$1,'2018_commission_structure'!$A$1:$I$1,0)),0)</f>
        <v>0</v>
      </c>
      <c r="S43" s="9">
        <f>IF(H43&gt;L43,(H43-L43)*INDEX('2018_commission_structure'!$A$1:$I$4,MATCH($E43,'2018_commission_structure'!$A$1:$A$4,0),MATCH(S$1,'2018_commission_structure'!$A$1:$I$1,0)),0)</f>
        <v>0</v>
      </c>
      <c r="T43" s="9">
        <f t="shared" si="6"/>
        <v>57603.199999999997</v>
      </c>
      <c r="U43" s="9">
        <f t="shared" si="7"/>
        <v>106377.2</v>
      </c>
      <c r="V43" s="9">
        <f>MIN($I43,$H43)*INDEX('Key Metrics'!$E$16:$N$19,MATCH($E43,'Key Metrics'!$E$16:$E$19,0),MATCH(V$1,'Key Metrics'!$E$16:$M$16,0))</f>
        <v>60000</v>
      </c>
      <c r="W43" s="9">
        <f>IF($H43&gt;I43, MIN($H43-I43, J43-I43)*INDEX('Key Metrics'!$E$16:$N$19,MATCH($E43,'Key Metrics'!$E$16:$E$19,0),MATCH(W$1,'Key Metrics'!$E$16:$M$16,0)),0)</f>
        <v>8616.9600000000009</v>
      </c>
      <c r="X43" s="9">
        <f>IF($H43&gt;J43, MIN($H43-J43, K43-J43)*INDEX('Key Metrics'!$E$16:$N$19,MATCH($E43,'Key Metrics'!$E$16:$E$19,0),MATCH(X$1,'Key Metrics'!$E$16:$M$16,0)),0)</f>
        <v>0</v>
      </c>
      <c r="Y43" s="9">
        <f>IF($H43&gt;K43, MIN($H43-K43, L43-K43)*INDEX('Key Metrics'!$E$16:$N$19,MATCH($E43,'Key Metrics'!$E$16:$E$19,0),MATCH(Y$1,'Key Metrics'!$E$16:$M$16,0)),0)</f>
        <v>0</v>
      </c>
      <c r="Z43" s="9">
        <f>IF($H43&gt;L43,($H43-L43)*INDEX('Key Metrics'!$E$16:$N$19,MATCH($E43,'Key Metrics'!$E$16:$E$19,0),MATCH(Z$1,'Key Metrics'!$E$16:$M$16,0)),0)</f>
        <v>0</v>
      </c>
      <c r="AA43" s="9">
        <f t="shared" si="8"/>
        <v>68616.960000000006</v>
      </c>
      <c r="AB43" s="9">
        <f t="shared" si="9"/>
        <v>68618.061376000012</v>
      </c>
    </row>
    <row r="44" spans="1:28" x14ac:dyDescent="0.55000000000000004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COUNTIF(deals_closed!$D$2:$D$20001,Calculations!B641)</f>
        <v>23</v>
      </c>
      <c r="H44" s="7">
        <f>SUMIF(deals_closed!$D:$D,Calculations!B641,deals_closed!$C:$C)</f>
        <v>893891</v>
      </c>
      <c r="I44" s="5">
        <f>VLOOKUP(E44,'2018_commission_structure'!$A$1:$I$4,9,FALSE)</f>
        <v>750000</v>
      </c>
      <c r="J44" s="9">
        <f t="shared" si="1"/>
        <v>937500</v>
      </c>
      <c r="K44" s="10">
        <f t="shared" si="2"/>
        <v>1125000</v>
      </c>
      <c r="L44" s="9">
        <f t="shared" si="3"/>
        <v>1500000</v>
      </c>
      <c r="M44" s="8">
        <f t="shared" si="4"/>
        <v>1.1918546666666667</v>
      </c>
      <c r="N44" t="str">
        <f t="shared" si="5"/>
        <v>100-125%</v>
      </c>
      <c r="O44" s="9">
        <f>MIN($H44,$I44)*INDEX('2018_commission_structure'!$A$1:$I$4,MATCH($E44,'2018_commission_structure'!$A$1:$A$4,0),MATCH(O$1,'2018_commission_structure'!$A$1:$I$1,0))</f>
        <v>112500</v>
      </c>
      <c r="P44" s="9">
        <f>IF(H44&gt;I44, MIN(H44-I44, J44-I44)*INDEX('2018_commission_structure'!$A$1:$I$4,MATCH($E44,'2018_commission_structure'!$A$1:$A$4,0),MATCH(P$1,'2018_commission_structure'!$A$1:$I$1,0)),0)</f>
        <v>27339.29</v>
      </c>
      <c r="Q44" s="9">
        <f>IF($H44&gt;J44, MIN($H44-J44, K44-J44)*INDEX('2018_commission_structure'!$A$1:$I$4,MATCH($E44,'2018_commission_structure'!$A$1:$A$4,0),MATCH(Q$1,'2018_commission_structure'!$A$1:$I$1,0)),0)</f>
        <v>0</v>
      </c>
      <c r="R44" s="9">
        <f>IF($H44&gt;K44, MIN($H44-K44, L44-K44)*INDEX('2018_commission_structure'!$A$1:$I$4,MATCH($E44,'2018_commission_structure'!$A$1:$A$4,0),MATCH(R$1,'2018_commission_structure'!$A$1:$I$1,0)),0)</f>
        <v>0</v>
      </c>
      <c r="S44" s="9">
        <f>IF(H44&gt;L44,(H44-L44)*INDEX('2018_commission_structure'!$A$1:$I$4,MATCH($E44,'2018_commission_structure'!$A$1:$A$4,0),MATCH(S$1,'2018_commission_structure'!$A$1:$I$1,0)),0)</f>
        <v>0</v>
      </c>
      <c r="T44" s="9">
        <f t="shared" si="6"/>
        <v>139839.29</v>
      </c>
      <c r="U44" s="9">
        <f t="shared" si="7"/>
        <v>256227.29</v>
      </c>
      <c r="V44" s="9">
        <f>MIN($I44,$H44)*INDEX('Key Metrics'!$E$16:$N$19,MATCH($E44,'Key Metrics'!$E$16:$E$19,0),MATCH(V$1,'Key Metrics'!$E$16:$M$16,0))</f>
        <v>112500</v>
      </c>
      <c r="W44" s="9">
        <f>IF($H44&gt;I44, MIN($H44-I44, J44-I44)*INDEX('Key Metrics'!$E$16:$N$19,MATCH($E44,'Key Metrics'!$E$16:$E$19,0),MATCH(W$1,'Key Metrics'!$E$16:$M$16,0)),0)</f>
        <v>31656.02</v>
      </c>
      <c r="X44" s="9">
        <f>IF($H44&gt;J44, MIN($H44-J44, K44-J44)*INDEX('Key Metrics'!$E$16:$N$19,MATCH($E44,'Key Metrics'!$E$16:$E$19,0),MATCH(X$1,'Key Metrics'!$E$16:$M$16,0)),0)</f>
        <v>0</v>
      </c>
      <c r="Y44" s="9">
        <f>IF($H44&gt;K44, MIN($H44-K44, L44-K44)*INDEX('Key Metrics'!$E$16:$N$19,MATCH($E44,'Key Metrics'!$E$16:$E$19,0),MATCH(Y$1,'Key Metrics'!$E$16:$M$16,0)),0)</f>
        <v>0</v>
      </c>
      <c r="Z44" s="9">
        <f>IF($H44&gt;L44,($H44-L44)*INDEX('Key Metrics'!$E$16:$N$19,MATCH($E44,'Key Metrics'!$E$16:$E$19,0),MATCH(Z$1,'Key Metrics'!$E$16:$M$16,0)),0)</f>
        <v>0</v>
      </c>
      <c r="AA44" s="9">
        <f t="shared" si="8"/>
        <v>144156.01999999999</v>
      </c>
      <c r="AB44" s="9">
        <f t="shared" si="9"/>
        <v>144157.21185466665</v>
      </c>
    </row>
    <row r="45" spans="1:28" x14ac:dyDescent="0.55000000000000004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COUNTIF(deals_closed!$D$2:$D$20001,Calculations!B621)</f>
        <v>23</v>
      </c>
      <c r="H45" s="7">
        <f>SUMIF(deals_closed!$D:$D,Calculations!B621,deals_closed!$C:$C)</f>
        <v>807853</v>
      </c>
      <c r="I45" s="5">
        <f>VLOOKUP(E45,'2018_commission_structure'!$A$1:$I$4,9,FALSE)</f>
        <v>600000</v>
      </c>
      <c r="J45" s="9">
        <f t="shared" si="1"/>
        <v>750000</v>
      </c>
      <c r="K45" s="10">
        <f t="shared" si="2"/>
        <v>900000</v>
      </c>
      <c r="L45" s="9">
        <f t="shared" si="3"/>
        <v>1200000</v>
      </c>
      <c r="M45" s="8">
        <f t="shared" si="4"/>
        <v>1.3464216666666666</v>
      </c>
      <c r="N45" t="str">
        <f t="shared" si="5"/>
        <v>125-150%</v>
      </c>
      <c r="O45" s="9">
        <f>MIN($H45,$I45)*INDEX('2018_commission_structure'!$A$1:$I$4,MATCH($E45,'2018_commission_structure'!$A$1:$A$4,0),MATCH(O$1,'2018_commission_structure'!$A$1:$I$1,0))</f>
        <v>78000</v>
      </c>
      <c r="P45" s="9">
        <f>IF(H45&gt;I45, MIN(H45-I45, J45-I45)*INDEX('2018_commission_structure'!$A$1:$I$4,MATCH($E45,'2018_commission_structure'!$A$1:$A$4,0),MATCH(P$1,'2018_commission_structure'!$A$1:$I$1,0)),0)</f>
        <v>25500.000000000004</v>
      </c>
      <c r="Q45" s="9">
        <f>IF($H45&gt;J45, MIN($H45-J45, K45-J45)*INDEX('2018_commission_structure'!$A$1:$I$4,MATCH($E45,'2018_commission_structure'!$A$1:$A$4,0),MATCH(Q$1,'2018_commission_structure'!$A$1:$I$1,0)),0)</f>
        <v>12149.13</v>
      </c>
      <c r="R45" s="9">
        <f>IF($H45&gt;K45, MIN($H45-K45, L45-K45)*INDEX('2018_commission_structure'!$A$1:$I$4,MATCH($E45,'2018_commission_structure'!$A$1:$A$4,0),MATCH(R$1,'2018_commission_structure'!$A$1:$I$1,0)),0)</f>
        <v>0</v>
      </c>
      <c r="S45" s="9">
        <f>IF(H45&gt;L45,(H45-L45)*INDEX('2018_commission_structure'!$A$1:$I$4,MATCH($E45,'2018_commission_structure'!$A$1:$A$4,0),MATCH(S$1,'2018_commission_structure'!$A$1:$I$1,0)),0)</f>
        <v>0</v>
      </c>
      <c r="T45" s="9">
        <f t="shared" si="6"/>
        <v>115649.13</v>
      </c>
      <c r="U45" s="9">
        <f t="shared" si="7"/>
        <v>184700.13</v>
      </c>
      <c r="V45" s="9">
        <f>MIN($I45,$H45)*INDEX('Key Metrics'!$E$16:$N$19,MATCH($E45,'Key Metrics'!$E$16:$E$19,0),MATCH(V$1,'Key Metrics'!$E$16:$M$16,0))</f>
        <v>90000</v>
      </c>
      <c r="W45" s="9">
        <f>IF($H45&gt;I45, MIN($H45-I45, J45-I45)*INDEX('Key Metrics'!$E$16:$N$19,MATCH($E45,'Key Metrics'!$E$16:$E$19,0),MATCH(W$1,'Key Metrics'!$E$16:$M$16,0)),0)</f>
        <v>27000</v>
      </c>
      <c r="X45" s="9">
        <f>IF($H45&gt;J45, MIN($H45-J45, K45-J45)*INDEX('Key Metrics'!$E$16:$N$19,MATCH($E45,'Key Metrics'!$E$16:$E$19,0),MATCH(X$1,'Key Metrics'!$E$16:$M$16,0)),0)</f>
        <v>14463.25</v>
      </c>
      <c r="Y45" s="9">
        <f>IF($H45&gt;K45, MIN($H45-K45, L45-K45)*INDEX('Key Metrics'!$E$16:$N$19,MATCH($E45,'Key Metrics'!$E$16:$E$19,0),MATCH(Y$1,'Key Metrics'!$E$16:$M$16,0)),0)</f>
        <v>0</v>
      </c>
      <c r="Z45" s="9">
        <f>IF($H45&gt;L45,($H45-L45)*INDEX('Key Metrics'!$E$16:$N$19,MATCH($E45,'Key Metrics'!$E$16:$E$19,0),MATCH(Z$1,'Key Metrics'!$E$16:$M$16,0)),0)</f>
        <v>0</v>
      </c>
      <c r="AA45" s="9">
        <f t="shared" si="8"/>
        <v>131463.25</v>
      </c>
      <c r="AB45" s="9">
        <f t="shared" si="9"/>
        <v>131464.59642166668</v>
      </c>
    </row>
    <row r="46" spans="1:28" x14ac:dyDescent="0.55000000000000004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COUNTIF(deals_closed!$D$2:$D$20001,Calculations!B105)</f>
        <v>11</v>
      </c>
      <c r="H46" s="7">
        <f>SUMIF(deals_closed!$D:$D,Calculations!B105,deals_closed!$C:$C)</f>
        <v>342782</v>
      </c>
      <c r="I46" s="5">
        <f>VLOOKUP(E46,'2018_commission_structure'!$A$1:$I$4,9,FALSE)</f>
        <v>600000</v>
      </c>
      <c r="J46" s="9">
        <f t="shared" si="1"/>
        <v>750000</v>
      </c>
      <c r="K46" s="10">
        <f t="shared" si="2"/>
        <v>900000</v>
      </c>
      <c r="L46" s="9">
        <f t="shared" si="3"/>
        <v>1200000</v>
      </c>
      <c r="M46" s="8">
        <f t="shared" si="4"/>
        <v>0.57130333333333339</v>
      </c>
      <c r="N46" t="str">
        <f t="shared" si="5"/>
        <v>0-100%</v>
      </c>
      <c r="O46" s="9">
        <f>MIN($H46,$I46)*INDEX('2018_commission_structure'!$A$1:$I$4,MATCH($E46,'2018_commission_structure'!$A$1:$A$4,0),MATCH(O$1,'2018_commission_structure'!$A$1:$I$1,0))</f>
        <v>44561.66</v>
      </c>
      <c r="P46" s="9">
        <f>IF(H46&gt;I46, MIN(H46-I46, J46-I46)*INDEX('2018_commission_structure'!$A$1:$I$4,MATCH($E46,'2018_commission_structure'!$A$1:$A$4,0),MATCH(P$1,'2018_commission_structure'!$A$1:$I$1,0)),0)</f>
        <v>0</v>
      </c>
      <c r="Q46" s="9">
        <f>IF($H46&gt;J46, MIN($H46-J46, K46-J46)*INDEX('2018_commission_structure'!$A$1:$I$4,MATCH($E46,'2018_commission_structure'!$A$1:$A$4,0),MATCH(Q$1,'2018_commission_structure'!$A$1:$I$1,0)),0)</f>
        <v>0</v>
      </c>
      <c r="R46" s="9">
        <f>IF($H46&gt;K46, MIN($H46-K46, L46-K46)*INDEX('2018_commission_structure'!$A$1:$I$4,MATCH($E46,'2018_commission_structure'!$A$1:$A$4,0),MATCH(R$1,'2018_commission_structure'!$A$1:$I$1,0)),0)</f>
        <v>0</v>
      </c>
      <c r="S46" s="9">
        <f>IF(H46&gt;L46,(H46-L46)*INDEX('2018_commission_structure'!$A$1:$I$4,MATCH($E46,'2018_commission_structure'!$A$1:$A$4,0),MATCH(S$1,'2018_commission_structure'!$A$1:$I$1,0)),0)</f>
        <v>0</v>
      </c>
      <c r="T46" s="9">
        <f t="shared" si="6"/>
        <v>44561.66</v>
      </c>
      <c r="U46" s="9">
        <f t="shared" si="7"/>
        <v>101594.66</v>
      </c>
      <c r="V46" s="9">
        <f>MIN($I46,$H46)*INDEX('Key Metrics'!$E$16:$N$19,MATCH($E46,'Key Metrics'!$E$16:$E$19,0),MATCH(V$1,'Key Metrics'!$E$16:$M$16,0))</f>
        <v>51417.299999999996</v>
      </c>
      <c r="W46" s="9">
        <f>IF($H46&gt;I46, MIN($H46-I46, J46-I46)*INDEX('Key Metrics'!$E$16:$N$19,MATCH($E46,'Key Metrics'!$E$16:$E$19,0),MATCH(W$1,'Key Metrics'!$E$16:$M$16,0)),0)</f>
        <v>0</v>
      </c>
      <c r="X46" s="9">
        <f>IF($H46&gt;J46, MIN($H46-J46, K46-J46)*INDEX('Key Metrics'!$E$16:$N$19,MATCH($E46,'Key Metrics'!$E$16:$E$19,0),MATCH(X$1,'Key Metrics'!$E$16:$M$16,0)),0)</f>
        <v>0</v>
      </c>
      <c r="Y46" s="9">
        <f>IF($H46&gt;K46, MIN($H46-K46, L46-K46)*INDEX('Key Metrics'!$E$16:$N$19,MATCH($E46,'Key Metrics'!$E$16:$E$19,0),MATCH(Y$1,'Key Metrics'!$E$16:$M$16,0)),0)</f>
        <v>0</v>
      </c>
      <c r="Z46" s="9">
        <f>IF($H46&gt;L46,($H46-L46)*INDEX('Key Metrics'!$E$16:$N$19,MATCH($E46,'Key Metrics'!$E$16:$E$19,0),MATCH(Z$1,'Key Metrics'!$E$16:$M$16,0)),0)</f>
        <v>0</v>
      </c>
      <c r="AA46" s="9">
        <f t="shared" si="8"/>
        <v>51417.299999999996</v>
      </c>
      <c r="AB46" s="9">
        <f t="shared" si="9"/>
        <v>51417.871303333326</v>
      </c>
    </row>
    <row r="47" spans="1:28" x14ac:dyDescent="0.55000000000000004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COUNTIF(deals_closed!$D$2:$D$20001,Calculations!B472)</f>
        <v>17</v>
      </c>
      <c r="H47" s="7">
        <f>SUMIF(deals_closed!$D:$D,Calculations!B472,deals_closed!$C:$C)</f>
        <v>520405</v>
      </c>
      <c r="I47" s="5">
        <f>VLOOKUP(E47,'2018_commission_structure'!$A$1:$I$4,9,FALSE)</f>
        <v>500000</v>
      </c>
      <c r="J47" s="9">
        <f t="shared" si="1"/>
        <v>625000</v>
      </c>
      <c r="K47" s="10">
        <f t="shared" si="2"/>
        <v>750000</v>
      </c>
      <c r="L47" s="9">
        <f t="shared" si="3"/>
        <v>1000000</v>
      </c>
      <c r="M47" s="8">
        <f t="shared" si="4"/>
        <v>1.04081</v>
      </c>
      <c r="N47" t="str">
        <f t="shared" si="5"/>
        <v>100-125%</v>
      </c>
      <c r="O47" s="9">
        <f>MIN($H47,$I47)*INDEX('2018_commission_structure'!$A$1:$I$4,MATCH($E47,'2018_commission_structure'!$A$1:$A$4,0),MATCH(O$1,'2018_commission_structure'!$A$1:$I$1,0))</f>
        <v>50000</v>
      </c>
      <c r="P47" s="9">
        <f>IF(H47&gt;I47, MIN(H47-I47, J47-I47)*INDEX('2018_commission_structure'!$A$1:$I$4,MATCH($E47,'2018_commission_structure'!$A$1:$A$4,0),MATCH(P$1,'2018_commission_structure'!$A$1:$I$1,0)),0)</f>
        <v>3060.75</v>
      </c>
      <c r="Q47" s="9">
        <f>IF($H47&gt;J47, MIN($H47-J47, K47-J47)*INDEX('2018_commission_structure'!$A$1:$I$4,MATCH($E47,'2018_commission_structure'!$A$1:$A$4,0),MATCH(Q$1,'2018_commission_structure'!$A$1:$I$1,0)),0)</f>
        <v>0</v>
      </c>
      <c r="R47" s="9">
        <f>IF($H47&gt;K47, MIN($H47-K47, L47-K47)*INDEX('2018_commission_structure'!$A$1:$I$4,MATCH($E47,'2018_commission_structure'!$A$1:$A$4,0),MATCH(R$1,'2018_commission_structure'!$A$1:$I$1,0)),0)</f>
        <v>0</v>
      </c>
      <c r="S47" s="9">
        <f>IF(H47&gt;L47,(H47-L47)*INDEX('2018_commission_structure'!$A$1:$I$4,MATCH($E47,'2018_commission_structure'!$A$1:$A$4,0),MATCH(S$1,'2018_commission_structure'!$A$1:$I$1,0)),0)</f>
        <v>0</v>
      </c>
      <c r="T47" s="9">
        <f t="shared" si="6"/>
        <v>53060.75</v>
      </c>
      <c r="U47" s="9">
        <f t="shared" si="7"/>
        <v>106658.75</v>
      </c>
      <c r="V47" s="9">
        <f>MIN($I47,$H47)*INDEX('Key Metrics'!$E$16:$N$19,MATCH($E47,'Key Metrics'!$E$16:$E$19,0),MATCH(V$1,'Key Metrics'!$E$16:$M$16,0))</f>
        <v>60000</v>
      </c>
      <c r="W47" s="9">
        <f>IF($H47&gt;I47, MIN($H47-I47, J47-I47)*INDEX('Key Metrics'!$E$16:$N$19,MATCH($E47,'Key Metrics'!$E$16:$E$19,0),MATCH(W$1,'Key Metrics'!$E$16:$M$16,0)),0)</f>
        <v>3468.8500000000004</v>
      </c>
      <c r="X47" s="9">
        <f>IF($H47&gt;J47, MIN($H47-J47, K47-J47)*INDEX('Key Metrics'!$E$16:$N$19,MATCH($E47,'Key Metrics'!$E$16:$E$19,0),MATCH(X$1,'Key Metrics'!$E$16:$M$16,0)),0)</f>
        <v>0</v>
      </c>
      <c r="Y47" s="9">
        <f>IF($H47&gt;K47, MIN($H47-K47, L47-K47)*INDEX('Key Metrics'!$E$16:$N$19,MATCH($E47,'Key Metrics'!$E$16:$E$19,0),MATCH(Y$1,'Key Metrics'!$E$16:$M$16,0)),0)</f>
        <v>0</v>
      </c>
      <c r="Z47" s="9">
        <f>IF($H47&gt;L47,($H47-L47)*INDEX('Key Metrics'!$E$16:$N$19,MATCH($E47,'Key Metrics'!$E$16:$E$19,0),MATCH(Z$1,'Key Metrics'!$E$16:$M$16,0)),0)</f>
        <v>0</v>
      </c>
      <c r="AA47" s="9">
        <f t="shared" si="8"/>
        <v>63468.85</v>
      </c>
      <c r="AB47" s="9">
        <f t="shared" si="9"/>
        <v>63469.890809999997</v>
      </c>
    </row>
    <row r="48" spans="1:28" x14ac:dyDescent="0.55000000000000004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COUNTIF(deals_closed!$D$2:$D$20001,Calculations!B570)</f>
        <v>24</v>
      </c>
      <c r="H48" s="7">
        <f>SUMIF(deals_closed!$D:$D,Calculations!B570,deals_closed!$C:$C)</f>
        <v>655607</v>
      </c>
      <c r="I48" s="5">
        <f>VLOOKUP(E48,'2018_commission_structure'!$A$1:$I$4,9,FALSE)</f>
        <v>750000</v>
      </c>
      <c r="J48" s="9">
        <f t="shared" si="1"/>
        <v>937500</v>
      </c>
      <c r="K48" s="10">
        <f t="shared" si="2"/>
        <v>1125000</v>
      </c>
      <c r="L48" s="9">
        <f t="shared" si="3"/>
        <v>1500000</v>
      </c>
      <c r="M48" s="8">
        <f t="shared" si="4"/>
        <v>0.87414266666666662</v>
      </c>
      <c r="N48" t="str">
        <f t="shared" si="5"/>
        <v>0-100%</v>
      </c>
      <c r="O48" s="9">
        <f>MIN($H48,$I48)*INDEX('2018_commission_structure'!$A$1:$I$4,MATCH($E48,'2018_commission_structure'!$A$1:$A$4,0),MATCH(O$1,'2018_commission_structure'!$A$1:$I$1,0))</f>
        <v>98341.05</v>
      </c>
      <c r="P48" s="9">
        <f>IF(H48&gt;I48, MIN(H48-I48, J48-I48)*INDEX('2018_commission_structure'!$A$1:$I$4,MATCH($E48,'2018_commission_structure'!$A$1:$A$4,0),MATCH(P$1,'2018_commission_structure'!$A$1:$I$1,0)),0)</f>
        <v>0</v>
      </c>
      <c r="Q48" s="9">
        <f>IF($H48&gt;J48, MIN($H48-J48, K48-J48)*INDEX('2018_commission_structure'!$A$1:$I$4,MATCH($E48,'2018_commission_structure'!$A$1:$A$4,0),MATCH(Q$1,'2018_commission_structure'!$A$1:$I$1,0)),0)</f>
        <v>0</v>
      </c>
      <c r="R48" s="9">
        <f>IF($H48&gt;K48, MIN($H48-K48, L48-K48)*INDEX('2018_commission_structure'!$A$1:$I$4,MATCH($E48,'2018_commission_structure'!$A$1:$A$4,0),MATCH(R$1,'2018_commission_structure'!$A$1:$I$1,0)),0)</f>
        <v>0</v>
      </c>
      <c r="S48" s="9">
        <f>IF(H48&gt;L48,(H48-L48)*INDEX('2018_commission_structure'!$A$1:$I$4,MATCH($E48,'2018_commission_structure'!$A$1:$A$4,0),MATCH(S$1,'2018_commission_structure'!$A$1:$I$1,0)),0)</f>
        <v>0</v>
      </c>
      <c r="T48" s="9">
        <f t="shared" si="6"/>
        <v>98341.05</v>
      </c>
      <c r="U48" s="9">
        <f t="shared" si="7"/>
        <v>176953.05</v>
      </c>
      <c r="V48" s="9">
        <f>MIN($I48,$H48)*INDEX('Key Metrics'!$E$16:$N$19,MATCH($E48,'Key Metrics'!$E$16:$E$19,0),MATCH(V$1,'Key Metrics'!$E$16:$M$16,0))</f>
        <v>98341.05</v>
      </c>
      <c r="W48" s="9">
        <f>IF($H48&gt;I48, MIN($H48-I48, J48-I48)*INDEX('Key Metrics'!$E$16:$N$19,MATCH($E48,'Key Metrics'!$E$16:$E$19,0),MATCH(W$1,'Key Metrics'!$E$16:$M$16,0)),0)</f>
        <v>0</v>
      </c>
      <c r="X48" s="9">
        <f>IF($H48&gt;J48, MIN($H48-J48, K48-J48)*INDEX('Key Metrics'!$E$16:$N$19,MATCH($E48,'Key Metrics'!$E$16:$E$19,0),MATCH(X$1,'Key Metrics'!$E$16:$M$16,0)),0)</f>
        <v>0</v>
      </c>
      <c r="Y48" s="9">
        <f>IF($H48&gt;K48, MIN($H48-K48, L48-K48)*INDEX('Key Metrics'!$E$16:$N$19,MATCH($E48,'Key Metrics'!$E$16:$E$19,0),MATCH(Y$1,'Key Metrics'!$E$16:$M$16,0)),0)</f>
        <v>0</v>
      </c>
      <c r="Z48" s="9">
        <f>IF($H48&gt;L48,($H48-L48)*INDEX('Key Metrics'!$E$16:$N$19,MATCH($E48,'Key Metrics'!$E$16:$E$19,0),MATCH(Z$1,'Key Metrics'!$E$16:$M$16,0)),0)</f>
        <v>0</v>
      </c>
      <c r="AA48" s="9">
        <f t="shared" si="8"/>
        <v>98341.05</v>
      </c>
      <c r="AB48" s="9">
        <f t="shared" si="9"/>
        <v>98341.92414266667</v>
      </c>
    </row>
    <row r="49" spans="1:28" x14ac:dyDescent="0.55000000000000004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COUNTIF(deals_closed!$D$2:$D$20001,Calculations!B552)</f>
        <v>19</v>
      </c>
      <c r="H49" s="7">
        <f>SUMIF(deals_closed!$D:$D,Calculations!B552,deals_closed!$C:$C)</f>
        <v>737953</v>
      </c>
      <c r="I49" s="5">
        <f>VLOOKUP(E49,'2018_commission_structure'!$A$1:$I$4,9,FALSE)</f>
        <v>750000</v>
      </c>
      <c r="J49" s="9">
        <f t="shared" si="1"/>
        <v>937500</v>
      </c>
      <c r="K49" s="10">
        <f t="shared" si="2"/>
        <v>1125000</v>
      </c>
      <c r="L49" s="9">
        <f t="shared" si="3"/>
        <v>1500000</v>
      </c>
      <c r="M49" s="8">
        <f t="shared" si="4"/>
        <v>0.98393733333333333</v>
      </c>
      <c r="N49" t="str">
        <f t="shared" si="5"/>
        <v>0-100%</v>
      </c>
      <c r="O49" s="9">
        <f>MIN($H49,$I49)*INDEX('2018_commission_structure'!$A$1:$I$4,MATCH($E49,'2018_commission_structure'!$A$1:$A$4,0),MATCH(O$1,'2018_commission_structure'!$A$1:$I$1,0))</f>
        <v>110692.95</v>
      </c>
      <c r="P49" s="9">
        <f>IF(H49&gt;I49, MIN(H49-I49, J49-I49)*INDEX('2018_commission_structure'!$A$1:$I$4,MATCH($E49,'2018_commission_structure'!$A$1:$A$4,0),MATCH(P$1,'2018_commission_structure'!$A$1:$I$1,0)),0)</f>
        <v>0</v>
      </c>
      <c r="Q49" s="9">
        <f>IF($H49&gt;J49, MIN($H49-J49, K49-J49)*INDEX('2018_commission_structure'!$A$1:$I$4,MATCH($E49,'2018_commission_structure'!$A$1:$A$4,0),MATCH(Q$1,'2018_commission_structure'!$A$1:$I$1,0)),0)</f>
        <v>0</v>
      </c>
      <c r="R49" s="9">
        <f>IF($H49&gt;K49, MIN($H49-K49, L49-K49)*INDEX('2018_commission_structure'!$A$1:$I$4,MATCH($E49,'2018_commission_structure'!$A$1:$A$4,0),MATCH(R$1,'2018_commission_structure'!$A$1:$I$1,0)),0)</f>
        <v>0</v>
      </c>
      <c r="S49" s="9">
        <f>IF(H49&gt;L49,(H49-L49)*INDEX('2018_commission_structure'!$A$1:$I$4,MATCH($E49,'2018_commission_structure'!$A$1:$A$4,0),MATCH(S$1,'2018_commission_structure'!$A$1:$I$1,0)),0)</f>
        <v>0</v>
      </c>
      <c r="T49" s="9">
        <f t="shared" si="6"/>
        <v>110692.95</v>
      </c>
      <c r="U49" s="9">
        <f t="shared" si="7"/>
        <v>205425.95</v>
      </c>
      <c r="V49" s="9">
        <f>MIN($I49,$H49)*INDEX('Key Metrics'!$E$16:$N$19,MATCH($E49,'Key Metrics'!$E$16:$E$19,0),MATCH(V$1,'Key Metrics'!$E$16:$M$16,0))</f>
        <v>110692.95</v>
      </c>
      <c r="W49" s="9">
        <f>IF($H49&gt;I49, MIN($H49-I49, J49-I49)*INDEX('Key Metrics'!$E$16:$N$19,MATCH($E49,'Key Metrics'!$E$16:$E$19,0),MATCH(W$1,'Key Metrics'!$E$16:$M$16,0)),0)</f>
        <v>0</v>
      </c>
      <c r="X49" s="9">
        <f>IF($H49&gt;J49, MIN($H49-J49, K49-J49)*INDEX('Key Metrics'!$E$16:$N$19,MATCH($E49,'Key Metrics'!$E$16:$E$19,0),MATCH(X$1,'Key Metrics'!$E$16:$M$16,0)),0)</f>
        <v>0</v>
      </c>
      <c r="Y49" s="9">
        <f>IF($H49&gt;K49, MIN($H49-K49, L49-K49)*INDEX('Key Metrics'!$E$16:$N$19,MATCH($E49,'Key Metrics'!$E$16:$E$19,0),MATCH(Y$1,'Key Metrics'!$E$16:$M$16,0)),0)</f>
        <v>0</v>
      </c>
      <c r="Z49" s="9">
        <f>IF($H49&gt;L49,($H49-L49)*INDEX('Key Metrics'!$E$16:$N$19,MATCH($E49,'Key Metrics'!$E$16:$E$19,0),MATCH(Z$1,'Key Metrics'!$E$16:$M$16,0)),0)</f>
        <v>0</v>
      </c>
      <c r="AA49" s="9">
        <f t="shared" si="8"/>
        <v>110692.95</v>
      </c>
      <c r="AB49" s="9">
        <f t="shared" si="9"/>
        <v>110693.93393733334</v>
      </c>
    </row>
    <row r="50" spans="1:28" x14ac:dyDescent="0.55000000000000004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COUNTIF(deals_closed!$D$2:$D$20001,Calculations!B347)</f>
        <v>20</v>
      </c>
      <c r="H50" s="7">
        <f>SUMIF(deals_closed!$D:$D,Calculations!B347,deals_closed!$C:$C)</f>
        <v>774805</v>
      </c>
      <c r="I50" s="5">
        <f>VLOOKUP(E50,'2018_commission_structure'!$A$1:$I$4,9,FALSE)</f>
        <v>500000</v>
      </c>
      <c r="J50" s="9">
        <f t="shared" si="1"/>
        <v>625000</v>
      </c>
      <c r="K50" s="10">
        <f t="shared" si="2"/>
        <v>750000</v>
      </c>
      <c r="L50" s="9">
        <f t="shared" si="3"/>
        <v>1000000</v>
      </c>
      <c r="M50" s="8">
        <f t="shared" si="4"/>
        <v>1.5496099999999999</v>
      </c>
      <c r="N50" t="str">
        <f t="shared" si="5"/>
        <v>150-200%</v>
      </c>
      <c r="O50" s="9">
        <f>MIN($H50,$I50)*INDEX('2018_commission_structure'!$A$1:$I$4,MATCH($E50,'2018_commission_structure'!$A$1:$A$4,0),MATCH(O$1,'2018_commission_structure'!$A$1:$I$1,0))</f>
        <v>50000</v>
      </c>
      <c r="P50" s="9">
        <f>IF(H50&gt;I50, MIN(H50-I50, J50-I50)*INDEX('2018_commission_structure'!$A$1:$I$4,MATCH($E50,'2018_commission_structure'!$A$1:$A$4,0),MATCH(P$1,'2018_commission_structure'!$A$1:$I$1,0)),0)</f>
        <v>18750</v>
      </c>
      <c r="Q50" s="9">
        <f>IF($H50&gt;J50, MIN($H50-J50, K50-J50)*INDEX('2018_commission_structure'!$A$1:$I$4,MATCH($E50,'2018_commission_structure'!$A$1:$A$4,0),MATCH(Q$1,'2018_commission_structure'!$A$1:$I$1,0)),0)</f>
        <v>22500</v>
      </c>
      <c r="R50" s="9">
        <f>IF($H50&gt;K50, MIN($H50-K50, L50-K50)*INDEX('2018_commission_structure'!$A$1:$I$4,MATCH($E50,'2018_commission_structure'!$A$1:$A$4,0),MATCH(R$1,'2018_commission_structure'!$A$1:$I$1,0)),0)</f>
        <v>5457.1</v>
      </c>
      <c r="S50" s="9">
        <f>IF(H50&gt;L50,(H50-L50)*INDEX('2018_commission_structure'!$A$1:$I$4,MATCH($E50,'2018_commission_structure'!$A$1:$A$4,0),MATCH(S$1,'2018_commission_structure'!$A$1:$I$1,0)),0)</f>
        <v>0</v>
      </c>
      <c r="T50" s="9">
        <f t="shared" si="6"/>
        <v>96707.1</v>
      </c>
      <c r="U50" s="9">
        <f t="shared" si="7"/>
        <v>145576.1</v>
      </c>
      <c r="V50" s="9">
        <f>MIN($I50,$H50)*INDEX('Key Metrics'!$E$16:$N$19,MATCH($E50,'Key Metrics'!$E$16:$E$19,0),MATCH(V$1,'Key Metrics'!$E$16:$M$16,0))</f>
        <v>60000</v>
      </c>
      <c r="W50" s="9">
        <f>IF($H50&gt;I50, MIN($H50-I50, J50-I50)*INDEX('Key Metrics'!$E$16:$N$19,MATCH($E50,'Key Metrics'!$E$16:$E$19,0),MATCH(W$1,'Key Metrics'!$E$16:$M$16,0)),0)</f>
        <v>21250</v>
      </c>
      <c r="X50" s="9">
        <f>IF($H50&gt;J50, MIN($H50-J50, K50-J50)*INDEX('Key Metrics'!$E$16:$N$19,MATCH($E50,'Key Metrics'!$E$16:$E$19,0),MATCH(X$1,'Key Metrics'!$E$16:$M$16,0)),0)</f>
        <v>25000</v>
      </c>
      <c r="Y50" s="9">
        <f>IF($H50&gt;K50, MIN($H50-K50, L50-K50)*INDEX('Key Metrics'!$E$16:$N$19,MATCH($E50,'Key Metrics'!$E$16:$E$19,0),MATCH(Y$1,'Key Metrics'!$E$16:$M$16,0)),0)</f>
        <v>5457.1</v>
      </c>
      <c r="Z50" s="9">
        <f>IF($H50&gt;L50,($H50-L50)*INDEX('Key Metrics'!$E$16:$N$19,MATCH($E50,'Key Metrics'!$E$16:$E$19,0),MATCH(Z$1,'Key Metrics'!$E$16:$M$16,0)),0)</f>
        <v>0</v>
      </c>
      <c r="AA50" s="9">
        <f t="shared" si="8"/>
        <v>111707.1</v>
      </c>
      <c r="AB50" s="9">
        <f t="shared" si="9"/>
        <v>111708.64961000001</v>
      </c>
    </row>
    <row r="51" spans="1:28" x14ac:dyDescent="0.55000000000000004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COUNTIF(deals_closed!$D$2:$D$20001,Calculations!B404)</f>
        <v>15</v>
      </c>
      <c r="H51" s="7">
        <f>SUMIF(deals_closed!$D:$D,Calculations!B404,deals_closed!$C:$C)</f>
        <v>450041</v>
      </c>
      <c r="I51" s="5">
        <f>VLOOKUP(E51,'2018_commission_structure'!$A$1:$I$4,9,FALSE)</f>
        <v>750000</v>
      </c>
      <c r="J51" s="9">
        <f t="shared" si="1"/>
        <v>937500</v>
      </c>
      <c r="K51" s="10">
        <f t="shared" si="2"/>
        <v>1125000</v>
      </c>
      <c r="L51" s="9">
        <f t="shared" si="3"/>
        <v>1500000</v>
      </c>
      <c r="M51" s="8">
        <f t="shared" si="4"/>
        <v>0.60005466666666663</v>
      </c>
      <c r="N51" t="str">
        <f t="shared" si="5"/>
        <v>0-100%</v>
      </c>
      <c r="O51" s="9">
        <f>MIN($H51,$I51)*INDEX('2018_commission_structure'!$A$1:$I$4,MATCH($E51,'2018_commission_structure'!$A$1:$A$4,0),MATCH(O$1,'2018_commission_structure'!$A$1:$I$1,0))</f>
        <v>67506.149999999994</v>
      </c>
      <c r="P51" s="9">
        <f>IF(H51&gt;I51, MIN(H51-I51, J51-I51)*INDEX('2018_commission_structure'!$A$1:$I$4,MATCH($E51,'2018_commission_structure'!$A$1:$A$4,0),MATCH(P$1,'2018_commission_structure'!$A$1:$I$1,0)),0)</f>
        <v>0</v>
      </c>
      <c r="Q51" s="9">
        <f>IF($H51&gt;J51, MIN($H51-J51, K51-J51)*INDEX('2018_commission_structure'!$A$1:$I$4,MATCH($E51,'2018_commission_structure'!$A$1:$A$4,0),MATCH(Q$1,'2018_commission_structure'!$A$1:$I$1,0)),0)</f>
        <v>0</v>
      </c>
      <c r="R51" s="9">
        <f>IF($H51&gt;K51, MIN($H51-K51, L51-K51)*INDEX('2018_commission_structure'!$A$1:$I$4,MATCH($E51,'2018_commission_structure'!$A$1:$A$4,0),MATCH(R$1,'2018_commission_structure'!$A$1:$I$1,0)),0)</f>
        <v>0</v>
      </c>
      <c r="S51" s="9">
        <f>IF(H51&gt;L51,(H51-L51)*INDEX('2018_commission_structure'!$A$1:$I$4,MATCH($E51,'2018_commission_structure'!$A$1:$A$4,0),MATCH(S$1,'2018_commission_structure'!$A$1:$I$1,0)),0)</f>
        <v>0</v>
      </c>
      <c r="T51" s="9">
        <f t="shared" si="6"/>
        <v>67506.149999999994</v>
      </c>
      <c r="U51" s="9">
        <f t="shared" si="7"/>
        <v>181669.15</v>
      </c>
      <c r="V51" s="9">
        <f>MIN($I51,$H51)*INDEX('Key Metrics'!$E$16:$N$19,MATCH($E51,'Key Metrics'!$E$16:$E$19,0),MATCH(V$1,'Key Metrics'!$E$16:$M$16,0))</f>
        <v>67506.149999999994</v>
      </c>
      <c r="W51" s="9">
        <f>IF($H51&gt;I51, MIN($H51-I51, J51-I51)*INDEX('Key Metrics'!$E$16:$N$19,MATCH($E51,'Key Metrics'!$E$16:$E$19,0),MATCH(W$1,'Key Metrics'!$E$16:$M$16,0)),0)</f>
        <v>0</v>
      </c>
      <c r="X51" s="9">
        <f>IF($H51&gt;J51, MIN($H51-J51, K51-J51)*INDEX('Key Metrics'!$E$16:$N$19,MATCH($E51,'Key Metrics'!$E$16:$E$19,0),MATCH(X$1,'Key Metrics'!$E$16:$M$16,0)),0)</f>
        <v>0</v>
      </c>
      <c r="Y51" s="9">
        <f>IF($H51&gt;K51, MIN($H51-K51, L51-K51)*INDEX('Key Metrics'!$E$16:$N$19,MATCH($E51,'Key Metrics'!$E$16:$E$19,0),MATCH(Y$1,'Key Metrics'!$E$16:$M$16,0)),0)</f>
        <v>0</v>
      </c>
      <c r="Z51" s="9">
        <f>IF($H51&gt;L51,($H51-L51)*INDEX('Key Metrics'!$E$16:$N$19,MATCH($E51,'Key Metrics'!$E$16:$E$19,0),MATCH(Z$1,'Key Metrics'!$E$16:$M$16,0)),0)</f>
        <v>0</v>
      </c>
      <c r="AA51" s="9">
        <f t="shared" si="8"/>
        <v>67506.149999999994</v>
      </c>
      <c r="AB51" s="9">
        <f t="shared" si="9"/>
        <v>67506.750054666656</v>
      </c>
    </row>
    <row r="52" spans="1:28" x14ac:dyDescent="0.55000000000000004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COUNTIF(deals_closed!$D$2:$D$20001,Calculations!B426)</f>
        <v>22</v>
      </c>
      <c r="H52" s="7">
        <f>SUMIF(deals_closed!$D:$D,Calculations!B426,deals_closed!$C:$C)</f>
        <v>660983</v>
      </c>
      <c r="I52" s="5">
        <f>VLOOKUP(E52,'2018_commission_structure'!$A$1:$I$4,9,FALSE)</f>
        <v>750000</v>
      </c>
      <c r="J52" s="9">
        <f t="shared" si="1"/>
        <v>937500</v>
      </c>
      <c r="K52" s="10">
        <f t="shared" si="2"/>
        <v>1125000</v>
      </c>
      <c r="L52" s="9">
        <f t="shared" si="3"/>
        <v>1500000</v>
      </c>
      <c r="M52" s="8">
        <f t="shared" si="4"/>
        <v>0.88131066666666669</v>
      </c>
      <c r="N52" t="str">
        <f t="shared" si="5"/>
        <v>0-100%</v>
      </c>
      <c r="O52" s="9">
        <f>MIN($H52,$I52)*INDEX('2018_commission_structure'!$A$1:$I$4,MATCH($E52,'2018_commission_structure'!$A$1:$A$4,0),MATCH(O$1,'2018_commission_structure'!$A$1:$I$1,0))</f>
        <v>99147.45</v>
      </c>
      <c r="P52" s="9">
        <f>IF(H52&gt;I52, MIN(H52-I52, J52-I52)*INDEX('2018_commission_structure'!$A$1:$I$4,MATCH($E52,'2018_commission_structure'!$A$1:$A$4,0),MATCH(P$1,'2018_commission_structure'!$A$1:$I$1,0)),0)</f>
        <v>0</v>
      </c>
      <c r="Q52" s="9">
        <f>IF($H52&gt;J52, MIN($H52-J52, K52-J52)*INDEX('2018_commission_structure'!$A$1:$I$4,MATCH($E52,'2018_commission_structure'!$A$1:$A$4,0),MATCH(Q$1,'2018_commission_structure'!$A$1:$I$1,0)),0)</f>
        <v>0</v>
      </c>
      <c r="R52" s="9">
        <f>IF($H52&gt;K52, MIN($H52-K52, L52-K52)*INDEX('2018_commission_structure'!$A$1:$I$4,MATCH($E52,'2018_commission_structure'!$A$1:$A$4,0),MATCH(R$1,'2018_commission_structure'!$A$1:$I$1,0)),0)</f>
        <v>0</v>
      </c>
      <c r="S52" s="9">
        <f>IF(H52&gt;L52,(H52-L52)*INDEX('2018_commission_structure'!$A$1:$I$4,MATCH($E52,'2018_commission_structure'!$A$1:$A$4,0),MATCH(S$1,'2018_commission_structure'!$A$1:$I$1,0)),0)</f>
        <v>0</v>
      </c>
      <c r="T52" s="9">
        <f t="shared" si="6"/>
        <v>99147.45</v>
      </c>
      <c r="U52" s="9">
        <f t="shared" si="7"/>
        <v>182355.45</v>
      </c>
      <c r="V52" s="9">
        <f>MIN($I52,$H52)*INDEX('Key Metrics'!$E$16:$N$19,MATCH($E52,'Key Metrics'!$E$16:$E$19,0),MATCH(V$1,'Key Metrics'!$E$16:$M$16,0))</f>
        <v>99147.45</v>
      </c>
      <c r="W52" s="9">
        <f>IF($H52&gt;I52, MIN($H52-I52, J52-I52)*INDEX('Key Metrics'!$E$16:$N$19,MATCH($E52,'Key Metrics'!$E$16:$E$19,0),MATCH(W$1,'Key Metrics'!$E$16:$M$16,0)),0)</f>
        <v>0</v>
      </c>
      <c r="X52" s="9">
        <f>IF($H52&gt;J52, MIN($H52-J52, K52-J52)*INDEX('Key Metrics'!$E$16:$N$19,MATCH($E52,'Key Metrics'!$E$16:$E$19,0),MATCH(X$1,'Key Metrics'!$E$16:$M$16,0)),0)</f>
        <v>0</v>
      </c>
      <c r="Y52" s="9">
        <f>IF($H52&gt;K52, MIN($H52-K52, L52-K52)*INDEX('Key Metrics'!$E$16:$N$19,MATCH($E52,'Key Metrics'!$E$16:$E$19,0),MATCH(Y$1,'Key Metrics'!$E$16:$M$16,0)),0)</f>
        <v>0</v>
      </c>
      <c r="Z52" s="9">
        <f>IF($H52&gt;L52,($H52-L52)*INDEX('Key Metrics'!$E$16:$N$19,MATCH($E52,'Key Metrics'!$E$16:$E$19,0),MATCH(Z$1,'Key Metrics'!$E$16:$M$16,0)),0)</f>
        <v>0</v>
      </c>
      <c r="AA52" s="9">
        <f t="shared" si="8"/>
        <v>99147.45</v>
      </c>
      <c r="AB52" s="9">
        <f t="shared" si="9"/>
        <v>99148.331310666661</v>
      </c>
    </row>
    <row r="53" spans="1:28" x14ac:dyDescent="0.55000000000000004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COUNTIF(deals_closed!$D$2:$D$20001,Calculations!B490)</f>
        <v>14</v>
      </c>
      <c r="H53" s="7">
        <f>SUMIF(deals_closed!$D:$D,Calculations!B490,deals_closed!$C:$C)</f>
        <v>454708</v>
      </c>
      <c r="I53" s="5">
        <f>VLOOKUP(E53,'2018_commission_structure'!$A$1:$I$4,9,FALSE)</f>
        <v>750000</v>
      </c>
      <c r="J53" s="9">
        <f t="shared" si="1"/>
        <v>937500</v>
      </c>
      <c r="K53" s="10">
        <f t="shared" si="2"/>
        <v>1125000</v>
      </c>
      <c r="L53" s="9">
        <f t="shared" si="3"/>
        <v>1500000</v>
      </c>
      <c r="M53" s="8">
        <f t="shared" si="4"/>
        <v>0.60627733333333333</v>
      </c>
      <c r="N53" t="str">
        <f t="shared" si="5"/>
        <v>0-100%</v>
      </c>
      <c r="O53" s="9">
        <f>MIN($H53,$I53)*INDEX('2018_commission_structure'!$A$1:$I$4,MATCH($E53,'2018_commission_structure'!$A$1:$A$4,0),MATCH(O$1,'2018_commission_structure'!$A$1:$I$1,0))</f>
        <v>68206.2</v>
      </c>
      <c r="P53" s="9">
        <f>IF(H53&gt;I53, MIN(H53-I53, J53-I53)*INDEX('2018_commission_structure'!$A$1:$I$4,MATCH($E53,'2018_commission_structure'!$A$1:$A$4,0),MATCH(P$1,'2018_commission_structure'!$A$1:$I$1,0)),0)</f>
        <v>0</v>
      </c>
      <c r="Q53" s="9">
        <f>IF($H53&gt;J53, MIN($H53-J53, K53-J53)*INDEX('2018_commission_structure'!$A$1:$I$4,MATCH($E53,'2018_commission_structure'!$A$1:$A$4,0),MATCH(Q$1,'2018_commission_structure'!$A$1:$I$1,0)),0)</f>
        <v>0</v>
      </c>
      <c r="R53" s="9">
        <f>IF($H53&gt;K53, MIN($H53-K53, L53-K53)*INDEX('2018_commission_structure'!$A$1:$I$4,MATCH($E53,'2018_commission_structure'!$A$1:$A$4,0),MATCH(R$1,'2018_commission_structure'!$A$1:$I$1,0)),0)</f>
        <v>0</v>
      </c>
      <c r="S53" s="9">
        <f>IF(H53&gt;L53,(H53-L53)*INDEX('2018_commission_structure'!$A$1:$I$4,MATCH($E53,'2018_commission_structure'!$A$1:$A$4,0),MATCH(S$1,'2018_commission_structure'!$A$1:$I$1,0)),0)</f>
        <v>0</v>
      </c>
      <c r="T53" s="9">
        <f t="shared" si="6"/>
        <v>68206.2</v>
      </c>
      <c r="U53" s="9">
        <f t="shared" si="7"/>
        <v>181079.2</v>
      </c>
      <c r="V53" s="9">
        <f>MIN($I53,$H53)*INDEX('Key Metrics'!$E$16:$N$19,MATCH($E53,'Key Metrics'!$E$16:$E$19,0),MATCH(V$1,'Key Metrics'!$E$16:$M$16,0))</f>
        <v>68206.2</v>
      </c>
      <c r="W53" s="9">
        <f>IF($H53&gt;I53, MIN($H53-I53, J53-I53)*INDEX('Key Metrics'!$E$16:$N$19,MATCH($E53,'Key Metrics'!$E$16:$E$19,0),MATCH(W$1,'Key Metrics'!$E$16:$M$16,0)),0)</f>
        <v>0</v>
      </c>
      <c r="X53" s="9">
        <f>IF($H53&gt;J53, MIN($H53-J53, K53-J53)*INDEX('Key Metrics'!$E$16:$N$19,MATCH($E53,'Key Metrics'!$E$16:$E$19,0),MATCH(X$1,'Key Metrics'!$E$16:$M$16,0)),0)</f>
        <v>0</v>
      </c>
      <c r="Y53" s="9">
        <f>IF($H53&gt;K53, MIN($H53-K53, L53-K53)*INDEX('Key Metrics'!$E$16:$N$19,MATCH($E53,'Key Metrics'!$E$16:$E$19,0),MATCH(Y$1,'Key Metrics'!$E$16:$M$16,0)),0)</f>
        <v>0</v>
      </c>
      <c r="Z53" s="9">
        <f>IF($H53&gt;L53,($H53-L53)*INDEX('Key Metrics'!$E$16:$N$19,MATCH($E53,'Key Metrics'!$E$16:$E$19,0),MATCH(Z$1,'Key Metrics'!$E$16:$M$16,0)),0)</f>
        <v>0</v>
      </c>
      <c r="AA53" s="9">
        <f t="shared" si="8"/>
        <v>68206.2</v>
      </c>
      <c r="AB53" s="9">
        <f t="shared" si="9"/>
        <v>68206.806277333337</v>
      </c>
    </row>
    <row r="54" spans="1:28" x14ac:dyDescent="0.55000000000000004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COUNTIF(deals_closed!$D$2:$D$20001,Calculations!B642)</f>
        <v>14</v>
      </c>
      <c r="H54" s="7">
        <f>SUMIF(deals_closed!$D:$D,Calculations!B642,deals_closed!$C:$C)</f>
        <v>529473</v>
      </c>
      <c r="I54" s="5">
        <f>VLOOKUP(E54,'2018_commission_structure'!$A$1:$I$4,9,FALSE)</f>
        <v>750000</v>
      </c>
      <c r="J54" s="9">
        <f t="shared" si="1"/>
        <v>937500</v>
      </c>
      <c r="K54" s="10">
        <f t="shared" si="2"/>
        <v>1125000</v>
      </c>
      <c r="L54" s="9">
        <f t="shared" si="3"/>
        <v>1500000</v>
      </c>
      <c r="M54" s="8">
        <f t="shared" si="4"/>
        <v>0.70596400000000004</v>
      </c>
      <c r="N54" t="str">
        <f t="shared" si="5"/>
        <v>0-100%</v>
      </c>
      <c r="O54" s="9">
        <f>MIN($H54,$I54)*INDEX('2018_commission_structure'!$A$1:$I$4,MATCH($E54,'2018_commission_structure'!$A$1:$A$4,0),MATCH(O$1,'2018_commission_structure'!$A$1:$I$1,0))</f>
        <v>79420.95</v>
      </c>
      <c r="P54" s="9">
        <f>IF(H54&gt;I54, MIN(H54-I54, J54-I54)*INDEX('2018_commission_structure'!$A$1:$I$4,MATCH($E54,'2018_commission_structure'!$A$1:$A$4,0),MATCH(P$1,'2018_commission_structure'!$A$1:$I$1,0)),0)</f>
        <v>0</v>
      </c>
      <c r="Q54" s="9">
        <f>IF($H54&gt;J54, MIN($H54-J54, K54-J54)*INDEX('2018_commission_structure'!$A$1:$I$4,MATCH($E54,'2018_commission_structure'!$A$1:$A$4,0),MATCH(Q$1,'2018_commission_structure'!$A$1:$I$1,0)),0)</f>
        <v>0</v>
      </c>
      <c r="R54" s="9">
        <f>IF($H54&gt;K54, MIN($H54-K54, L54-K54)*INDEX('2018_commission_structure'!$A$1:$I$4,MATCH($E54,'2018_commission_structure'!$A$1:$A$4,0),MATCH(R$1,'2018_commission_structure'!$A$1:$I$1,0)),0)</f>
        <v>0</v>
      </c>
      <c r="S54" s="9">
        <f>IF(H54&gt;L54,(H54-L54)*INDEX('2018_commission_structure'!$A$1:$I$4,MATCH($E54,'2018_commission_structure'!$A$1:$A$4,0),MATCH(S$1,'2018_commission_structure'!$A$1:$I$1,0)),0)</f>
        <v>0</v>
      </c>
      <c r="T54" s="9">
        <f t="shared" si="6"/>
        <v>79420.95</v>
      </c>
      <c r="U54" s="9">
        <f t="shared" si="7"/>
        <v>177537.95</v>
      </c>
      <c r="V54" s="9">
        <f>MIN($I54,$H54)*INDEX('Key Metrics'!$E$16:$N$19,MATCH($E54,'Key Metrics'!$E$16:$E$19,0),MATCH(V$1,'Key Metrics'!$E$16:$M$16,0))</f>
        <v>79420.95</v>
      </c>
      <c r="W54" s="9">
        <f>IF($H54&gt;I54, MIN($H54-I54, J54-I54)*INDEX('Key Metrics'!$E$16:$N$19,MATCH($E54,'Key Metrics'!$E$16:$E$19,0),MATCH(W$1,'Key Metrics'!$E$16:$M$16,0)),0)</f>
        <v>0</v>
      </c>
      <c r="X54" s="9">
        <f>IF($H54&gt;J54, MIN($H54-J54, K54-J54)*INDEX('Key Metrics'!$E$16:$N$19,MATCH($E54,'Key Metrics'!$E$16:$E$19,0),MATCH(X$1,'Key Metrics'!$E$16:$M$16,0)),0)</f>
        <v>0</v>
      </c>
      <c r="Y54" s="9">
        <f>IF($H54&gt;K54, MIN($H54-K54, L54-K54)*INDEX('Key Metrics'!$E$16:$N$19,MATCH($E54,'Key Metrics'!$E$16:$E$19,0),MATCH(Y$1,'Key Metrics'!$E$16:$M$16,0)),0)</f>
        <v>0</v>
      </c>
      <c r="Z54" s="9">
        <f>IF($H54&gt;L54,($H54-L54)*INDEX('Key Metrics'!$E$16:$N$19,MATCH($E54,'Key Metrics'!$E$16:$E$19,0),MATCH(Z$1,'Key Metrics'!$E$16:$M$16,0)),0)</f>
        <v>0</v>
      </c>
      <c r="AA54" s="9">
        <f t="shared" si="8"/>
        <v>79420.95</v>
      </c>
      <c r="AB54" s="9">
        <f t="shared" si="9"/>
        <v>79421.65596399999</v>
      </c>
    </row>
    <row r="55" spans="1:28" x14ac:dyDescent="0.55000000000000004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COUNTIF(deals_closed!$D$2:$D$20001,Calculations!B753)</f>
        <v>29</v>
      </c>
      <c r="H55" s="7">
        <f>SUMIF(deals_closed!$D:$D,Calculations!B753,deals_closed!$C:$C)</f>
        <v>976706</v>
      </c>
      <c r="I55" s="5">
        <f>VLOOKUP(E55,'2018_commission_structure'!$A$1:$I$4,9,FALSE)</f>
        <v>600000</v>
      </c>
      <c r="J55" s="9">
        <f t="shared" si="1"/>
        <v>750000</v>
      </c>
      <c r="K55" s="10">
        <f t="shared" si="2"/>
        <v>900000</v>
      </c>
      <c r="L55" s="9">
        <f t="shared" si="3"/>
        <v>1200000</v>
      </c>
      <c r="M55" s="8">
        <f t="shared" si="4"/>
        <v>1.6278433333333333</v>
      </c>
      <c r="N55" t="str">
        <f t="shared" si="5"/>
        <v>150-200%</v>
      </c>
      <c r="O55" s="9">
        <f>MIN($H55,$I55)*INDEX('2018_commission_structure'!$A$1:$I$4,MATCH($E55,'2018_commission_structure'!$A$1:$A$4,0),MATCH(O$1,'2018_commission_structure'!$A$1:$I$1,0))</f>
        <v>78000</v>
      </c>
      <c r="P55" s="9">
        <f>IF(H55&gt;I55, MIN(H55-I55, J55-I55)*INDEX('2018_commission_structure'!$A$1:$I$4,MATCH($E55,'2018_commission_structure'!$A$1:$A$4,0),MATCH(P$1,'2018_commission_structure'!$A$1:$I$1,0)),0)</f>
        <v>25500.000000000004</v>
      </c>
      <c r="Q55" s="9">
        <f>IF($H55&gt;J55, MIN($H55-J55, K55-J55)*INDEX('2018_commission_structure'!$A$1:$I$4,MATCH($E55,'2018_commission_structure'!$A$1:$A$4,0),MATCH(Q$1,'2018_commission_structure'!$A$1:$I$1,0)),0)</f>
        <v>31500</v>
      </c>
      <c r="R55" s="9">
        <f>IF($H55&gt;K55, MIN($H55-K55, L55-K55)*INDEX('2018_commission_structure'!$A$1:$I$4,MATCH($E55,'2018_commission_structure'!$A$1:$A$4,0),MATCH(R$1,'2018_commission_structure'!$A$1:$I$1,0)),0)</f>
        <v>19943.560000000001</v>
      </c>
      <c r="S55" s="9">
        <f>IF(H55&gt;L55,(H55-L55)*INDEX('2018_commission_structure'!$A$1:$I$4,MATCH($E55,'2018_commission_structure'!$A$1:$A$4,0),MATCH(S$1,'2018_commission_structure'!$A$1:$I$1,0)),0)</f>
        <v>0</v>
      </c>
      <c r="T55" s="9">
        <f t="shared" si="6"/>
        <v>154943.56</v>
      </c>
      <c r="U55" s="9">
        <f t="shared" si="7"/>
        <v>210404.56</v>
      </c>
      <c r="V55" s="9">
        <f>MIN($I55,$H55)*INDEX('Key Metrics'!$E$16:$N$19,MATCH($E55,'Key Metrics'!$E$16:$E$19,0),MATCH(V$1,'Key Metrics'!$E$16:$M$16,0))</f>
        <v>90000</v>
      </c>
      <c r="W55" s="9">
        <f>IF($H55&gt;I55, MIN($H55-I55, J55-I55)*INDEX('Key Metrics'!$E$16:$N$19,MATCH($E55,'Key Metrics'!$E$16:$E$19,0),MATCH(W$1,'Key Metrics'!$E$16:$M$16,0)),0)</f>
        <v>27000</v>
      </c>
      <c r="X55" s="9">
        <f>IF($H55&gt;J55, MIN($H55-J55, K55-J55)*INDEX('Key Metrics'!$E$16:$N$19,MATCH($E55,'Key Metrics'!$E$16:$E$19,0),MATCH(X$1,'Key Metrics'!$E$16:$M$16,0)),0)</f>
        <v>37500</v>
      </c>
      <c r="Y55" s="9">
        <f>IF($H55&gt;K55, MIN($H55-K55, L55-K55)*INDEX('Key Metrics'!$E$16:$N$19,MATCH($E55,'Key Metrics'!$E$16:$E$19,0),MATCH(Y$1,'Key Metrics'!$E$16:$M$16,0)),0)</f>
        <v>23011.8</v>
      </c>
      <c r="Z55" s="9">
        <f>IF($H55&gt;L55,($H55-L55)*INDEX('Key Metrics'!$E$16:$N$19,MATCH($E55,'Key Metrics'!$E$16:$E$19,0),MATCH(Z$1,'Key Metrics'!$E$16:$M$16,0)),0)</f>
        <v>0</v>
      </c>
      <c r="AA55" s="9">
        <f t="shared" si="8"/>
        <v>177511.8</v>
      </c>
      <c r="AB55" s="9">
        <f t="shared" si="9"/>
        <v>177513.42784333331</v>
      </c>
    </row>
    <row r="56" spans="1:28" x14ac:dyDescent="0.55000000000000004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COUNTIF(deals_closed!$D$2:$D$20001,Calculations!B733)</f>
        <v>20</v>
      </c>
      <c r="H56" s="7">
        <f>SUMIF(deals_closed!$D:$D,Calculations!B733,deals_closed!$C:$C)</f>
        <v>625865</v>
      </c>
      <c r="I56" s="5">
        <f>VLOOKUP(E56,'2018_commission_structure'!$A$1:$I$4,9,FALSE)</f>
        <v>600000</v>
      </c>
      <c r="J56" s="9">
        <f t="shared" si="1"/>
        <v>750000</v>
      </c>
      <c r="K56" s="10">
        <f t="shared" si="2"/>
        <v>900000</v>
      </c>
      <c r="L56" s="9">
        <f t="shared" si="3"/>
        <v>1200000</v>
      </c>
      <c r="M56" s="8">
        <f t="shared" si="4"/>
        <v>1.0431083333333333</v>
      </c>
      <c r="N56" t="str">
        <f t="shared" si="5"/>
        <v>100-125%</v>
      </c>
      <c r="O56" s="9">
        <f>MIN($H56,$I56)*INDEX('2018_commission_structure'!$A$1:$I$4,MATCH($E56,'2018_commission_structure'!$A$1:$A$4,0),MATCH(O$1,'2018_commission_structure'!$A$1:$I$1,0))</f>
        <v>78000</v>
      </c>
      <c r="P56" s="9">
        <f>IF(H56&gt;I56, MIN(H56-I56, J56-I56)*INDEX('2018_commission_structure'!$A$1:$I$4,MATCH($E56,'2018_commission_structure'!$A$1:$A$4,0),MATCH(P$1,'2018_commission_structure'!$A$1:$I$1,0)),0)</f>
        <v>4397.05</v>
      </c>
      <c r="Q56" s="9">
        <f>IF($H56&gt;J56, MIN($H56-J56, K56-J56)*INDEX('2018_commission_structure'!$A$1:$I$4,MATCH($E56,'2018_commission_structure'!$A$1:$A$4,0),MATCH(Q$1,'2018_commission_structure'!$A$1:$I$1,0)),0)</f>
        <v>0</v>
      </c>
      <c r="R56" s="9">
        <f>IF($H56&gt;K56, MIN($H56-K56, L56-K56)*INDEX('2018_commission_structure'!$A$1:$I$4,MATCH($E56,'2018_commission_structure'!$A$1:$A$4,0),MATCH(R$1,'2018_commission_structure'!$A$1:$I$1,0)),0)</f>
        <v>0</v>
      </c>
      <c r="S56" s="9">
        <f>IF(H56&gt;L56,(H56-L56)*INDEX('2018_commission_structure'!$A$1:$I$4,MATCH($E56,'2018_commission_structure'!$A$1:$A$4,0),MATCH(S$1,'2018_commission_structure'!$A$1:$I$1,0)),0)</f>
        <v>0</v>
      </c>
      <c r="T56" s="9">
        <f t="shared" si="6"/>
        <v>82397.05</v>
      </c>
      <c r="U56" s="9">
        <f t="shared" si="7"/>
        <v>150683.04999999999</v>
      </c>
      <c r="V56" s="9">
        <f>MIN($I56,$H56)*INDEX('Key Metrics'!$E$16:$N$19,MATCH($E56,'Key Metrics'!$E$16:$E$19,0),MATCH(V$1,'Key Metrics'!$E$16:$M$16,0))</f>
        <v>90000</v>
      </c>
      <c r="W56" s="9">
        <f>IF($H56&gt;I56, MIN($H56-I56, J56-I56)*INDEX('Key Metrics'!$E$16:$N$19,MATCH($E56,'Key Metrics'!$E$16:$E$19,0),MATCH(W$1,'Key Metrics'!$E$16:$M$16,0)),0)</f>
        <v>4655.7</v>
      </c>
      <c r="X56" s="9">
        <f>IF($H56&gt;J56, MIN($H56-J56, K56-J56)*INDEX('Key Metrics'!$E$16:$N$19,MATCH($E56,'Key Metrics'!$E$16:$E$19,0),MATCH(X$1,'Key Metrics'!$E$16:$M$16,0)),0)</f>
        <v>0</v>
      </c>
      <c r="Y56" s="9">
        <f>IF($H56&gt;K56, MIN($H56-K56, L56-K56)*INDEX('Key Metrics'!$E$16:$N$19,MATCH($E56,'Key Metrics'!$E$16:$E$19,0),MATCH(Y$1,'Key Metrics'!$E$16:$M$16,0)),0)</f>
        <v>0</v>
      </c>
      <c r="Z56" s="9">
        <f>IF($H56&gt;L56,($H56-L56)*INDEX('Key Metrics'!$E$16:$N$19,MATCH($E56,'Key Metrics'!$E$16:$E$19,0),MATCH(Z$1,'Key Metrics'!$E$16:$M$16,0)),0)</f>
        <v>0</v>
      </c>
      <c r="AA56" s="9">
        <f t="shared" si="8"/>
        <v>94655.7</v>
      </c>
      <c r="AB56" s="9">
        <f t="shared" si="9"/>
        <v>94656.743108333336</v>
      </c>
    </row>
    <row r="57" spans="1:28" x14ac:dyDescent="0.55000000000000004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COUNTIF(deals_closed!$D$2:$D$20001,Calculations!B878)</f>
        <v>21</v>
      </c>
      <c r="H57" s="7">
        <f>SUMIF(deals_closed!$D:$D,Calculations!B878,deals_closed!$C:$C)</f>
        <v>734340</v>
      </c>
      <c r="I57" s="5">
        <f>VLOOKUP(E57,'2018_commission_structure'!$A$1:$I$4,9,FALSE)</f>
        <v>600000</v>
      </c>
      <c r="J57" s="9">
        <f t="shared" si="1"/>
        <v>750000</v>
      </c>
      <c r="K57" s="10">
        <f t="shared" si="2"/>
        <v>900000</v>
      </c>
      <c r="L57" s="9">
        <f t="shared" si="3"/>
        <v>1200000</v>
      </c>
      <c r="M57" s="8">
        <f t="shared" si="4"/>
        <v>1.2239</v>
      </c>
      <c r="N57" t="str">
        <f t="shared" si="5"/>
        <v>100-125%</v>
      </c>
      <c r="O57" s="9">
        <f>MIN($H57,$I57)*INDEX('2018_commission_structure'!$A$1:$I$4,MATCH($E57,'2018_commission_structure'!$A$1:$A$4,0),MATCH(O$1,'2018_commission_structure'!$A$1:$I$1,0))</f>
        <v>78000</v>
      </c>
      <c r="P57" s="9">
        <f>IF(H57&gt;I57, MIN(H57-I57, J57-I57)*INDEX('2018_commission_structure'!$A$1:$I$4,MATCH($E57,'2018_commission_structure'!$A$1:$A$4,0),MATCH(P$1,'2018_commission_structure'!$A$1:$I$1,0)),0)</f>
        <v>22837.800000000003</v>
      </c>
      <c r="Q57" s="9">
        <f>IF($H57&gt;J57, MIN($H57-J57, K57-J57)*INDEX('2018_commission_structure'!$A$1:$I$4,MATCH($E57,'2018_commission_structure'!$A$1:$A$4,0),MATCH(Q$1,'2018_commission_structure'!$A$1:$I$1,0)),0)</f>
        <v>0</v>
      </c>
      <c r="R57" s="9">
        <f>IF($H57&gt;K57, MIN($H57-K57, L57-K57)*INDEX('2018_commission_structure'!$A$1:$I$4,MATCH($E57,'2018_commission_structure'!$A$1:$A$4,0),MATCH(R$1,'2018_commission_structure'!$A$1:$I$1,0)),0)</f>
        <v>0</v>
      </c>
      <c r="S57" s="9">
        <f>IF(H57&gt;L57,(H57-L57)*INDEX('2018_commission_structure'!$A$1:$I$4,MATCH($E57,'2018_commission_structure'!$A$1:$A$4,0),MATCH(S$1,'2018_commission_structure'!$A$1:$I$1,0)),0)</f>
        <v>0</v>
      </c>
      <c r="T57" s="9">
        <f t="shared" si="6"/>
        <v>100837.8</v>
      </c>
      <c r="U57" s="9">
        <f t="shared" si="7"/>
        <v>177904.8</v>
      </c>
      <c r="V57" s="9">
        <f>MIN($I57,$H57)*INDEX('Key Metrics'!$E$16:$N$19,MATCH($E57,'Key Metrics'!$E$16:$E$19,0),MATCH(V$1,'Key Metrics'!$E$16:$M$16,0))</f>
        <v>90000</v>
      </c>
      <c r="W57" s="9">
        <f>IF($H57&gt;I57, MIN($H57-I57, J57-I57)*INDEX('Key Metrics'!$E$16:$N$19,MATCH($E57,'Key Metrics'!$E$16:$E$19,0),MATCH(W$1,'Key Metrics'!$E$16:$M$16,0)),0)</f>
        <v>24181.200000000001</v>
      </c>
      <c r="X57" s="9">
        <f>IF($H57&gt;J57, MIN($H57-J57, K57-J57)*INDEX('Key Metrics'!$E$16:$N$19,MATCH($E57,'Key Metrics'!$E$16:$E$19,0),MATCH(X$1,'Key Metrics'!$E$16:$M$16,0)),0)</f>
        <v>0</v>
      </c>
      <c r="Y57" s="9">
        <f>IF($H57&gt;K57, MIN($H57-K57, L57-K57)*INDEX('Key Metrics'!$E$16:$N$19,MATCH($E57,'Key Metrics'!$E$16:$E$19,0),MATCH(Y$1,'Key Metrics'!$E$16:$M$16,0)),0)</f>
        <v>0</v>
      </c>
      <c r="Z57" s="9">
        <f>IF($H57&gt;L57,($H57-L57)*INDEX('Key Metrics'!$E$16:$N$19,MATCH($E57,'Key Metrics'!$E$16:$E$19,0),MATCH(Z$1,'Key Metrics'!$E$16:$M$16,0)),0)</f>
        <v>0</v>
      </c>
      <c r="AA57" s="9">
        <f t="shared" si="8"/>
        <v>114181.2</v>
      </c>
      <c r="AB57" s="9">
        <f t="shared" si="9"/>
        <v>114182.42389999999</v>
      </c>
    </row>
    <row r="58" spans="1:28" x14ac:dyDescent="0.55000000000000004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COUNTIF(deals_closed!$D$2:$D$20001,Calculations!B495)</f>
        <v>20</v>
      </c>
      <c r="H58" s="7">
        <f>SUMIF(deals_closed!$D:$D,Calculations!B495,deals_closed!$C:$C)</f>
        <v>645529</v>
      </c>
      <c r="I58" s="5">
        <f>VLOOKUP(E58,'2018_commission_structure'!$A$1:$I$4,9,FALSE)</f>
        <v>500000</v>
      </c>
      <c r="J58" s="9">
        <f t="shared" si="1"/>
        <v>625000</v>
      </c>
      <c r="K58" s="10">
        <f t="shared" si="2"/>
        <v>750000</v>
      </c>
      <c r="L58" s="9">
        <f t="shared" si="3"/>
        <v>1000000</v>
      </c>
      <c r="M58" s="8">
        <f t="shared" si="4"/>
        <v>1.291058</v>
      </c>
      <c r="N58" t="str">
        <f t="shared" si="5"/>
        <v>125-150%</v>
      </c>
      <c r="O58" s="9">
        <f>MIN($H58,$I58)*INDEX('2018_commission_structure'!$A$1:$I$4,MATCH($E58,'2018_commission_structure'!$A$1:$A$4,0),MATCH(O$1,'2018_commission_structure'!$A$1:$I$1,0))</f>
        <v>50000</v>
      </c>
      <c r="P58" s="9">
        <f>IF(H58&gt;I58, MIN(H58-I58, J58-I58)*INDEX('2018_commission_structure'!$A$1:$I$4,MATCH($E58,'2018_commission_structure'!$A$1:$A$4,0),MATCH(P$1,'2018_commission_structure'!$A$1:$I$1,0)),0)</f>
        <v>18750</v>
      </c>
      <c r="Q58" s="9">
        <f>IF($H58&gt;J58, MIN($H58-J58, K58-J58)*INDEX('2018_commission_structure'!$A$1:$I$4,MATCH($E58,'2018_commission_structure'!$A$1:$A$4,0),MATCH(Q$1,'2018_commission_structure'!$A$1:$I$1,0)),0)</f>
        <v>3695.22</v>
      </c>
      <c r="R58" s="9">
        <f>IF($H58&gt;K58, MIN($H58-K58, L58-K58)*INDEX('2018_commission_structure'!$A$1:$I$4,MATCH($E58,'2018_commission_structure'!$A$1:$A$4,0),MATCH(R$1,'2018_commission_structure'!$A$1:$I$1,0)),0)</f>
        <v>0</v>
      </c>
      <c r="S58" s="9">
        <f>IF(H58&gt;L58,(H58-L58)*INDEX('2018_commission_structure'!$A$1:$I$4,MATCH($E58,'2018_commission_structure'!$A$1:$A$4,0),MATCH(S$1,'2018_commission_structure'!$A$1:$I$1,0)),0)</f>
        <v>0</v>
      </c>
      <c r="T58" s="9">
        <f t="shared" si="6"/>
        <v>72445.22</v>
      </c>
      <c r="U58" s="9">
        <f t="shared" si="7"/>
        <v>121496.22</v>
      </c>
      <c r="V58" s="9">
        <f>MIN($I58,$H58)*INDEX('Key Metrics'!$E$16:$N$19,MATCH($E58,'Key Metrics'!$E$16:$E$19,0),MATCH(V$1,'Key Metrics'!$E$16:$M$16,0))</f>
        <v>60000</v>
      </c>
      <c r="W58" s="9">
        <f>IF($H58&gt;I58, MIN($H58-I58, J58-I58)*INDEX('Key Metrics'!$E$16:$N$19,MATCH($E58,'Key Metrics'!$E$16:$E$19,0),MATCH(W$1,'Key Metrics'!$E$16:$M$16,0)),0)</f>
        <v>21250</v>
      </c>
      <c r="X58" s="9">
        <f>IF($H58&gt;J58, MIN($H58-J58, K58-J58)*INDEX('Key Metrics'!$E$16:$N$19,MATCH($E58,'Key Metrics'!$E$16:$E$19,0),MATCH(X$1,'Key Metrics'!$E$16:$M$16,0)),0)</f>
        <v>4105.8</v>
      </c>
      <c r="Y58" s="9">
        <f>IF($H58&gt;K58, MIN($H58-K58, L58-K58)*INDEX('Key Metrics'!$E$16:$N$19,MATCH($E58,'Key Metrics'!$E$16:$E$19,0),MATCH(Y$1,'Key Metrics'!$E$16:$M$16,0)),0)</f>
        <v>0</v>
      </c>
      <c r="Z58" s="9">
        <f>IF($H58&gt;L58,($H58-L58)*INDEX('Key Metrics'!$E$16:$N$19,MATCH($E58,'Key Metrics'!$E$16:$E$19,0),MATCH(Z$1,'Key Metrics'!$E$16:$M$16,0)),0)</f>
        <v>0</v>
      </c>
      <c r="AA58" s="9">
        <f t="shared" si="8"/>
        <v>85355.8</v>
      </c>
      <c r="AB58" s="9">
        <f t="shared" si="9"/>
        <v>85357.091058000005</v>
      </c>
    </row>
    <row r="59" spans="1:28" x14ac:dyDescent="0.55000000000000004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COUNTIF(deals_closed!$D$2:$D$20001,Calculations!B479)</f>
        <v>15</v>
      </c>
      <c r="H59" s="7">
        <f>SUMIF(deals_closed!$D:$D,Calculations!B479,deals_closed!$C:$C)</f>
        <v>563423</v>
      </c>
      <c r="I59" s="5">
        <f>VLOOKUP(E59,'2018_commission_structure'!$A$1:$I$4,9,FALSE)</f>
        <v>600000</v>
      </c>
      <c r="J59" s="9">
        <f t="shared" si="1"/>
        <v>750000</v>
      </c>
      <c r="K59" s="10">
        <f t="shared" si="2"/>
        <v>900000</v>
      </c>
      <c r="L59" s="9">
        <f t="shared" si="3"/>
        <v>1200000</v>
      </c>
      <c r="M59" s="8">
        <f t="shared" si="4"/>
        <v>0.93903833333333331</v>
      </c>
      <c r="N59" t="str">
        <f t="shared" si="5"/>
        <v>0-100%</v>
      </c>
      <c r="O59" s="9">
        <f>MIN($H59,$I59)*INDEX('2018_commission_structure'!$A$1:$I$4,MATCH($E59,'2018_commission_structure'!$A$1:$A$4,0),MATCH(O$1,'2018_commission_structure'!$A$1:$I$1,0))</f>
        <v>73244.990000000005</v>
      </c>
      <c r="P59" s="9">
        <f>IF(H59&gt;I59, MIN(H59-I59, J59-I59)*INDEX('2018_commission_structure'!$A$1:$I$4,MATCH($E59,'2018_commission_structure'!$A$1:$A$4,0),MATCH(P$1,'2018_commission_structure'!$A$1:$I$1,0)),0)</f>
        <v>0</v>
      </c>
      <c r="Q59" s="9">
        <f>IF($H59&gt;J59, MIN($H59-J59, K59-J59)*INDEX('2018_commission_structure'!$A$1:$I$4,MATCH($E59,'2018_commission_structure'!$A$1:$A$4,0),MATCH(Q$1,'2018_commission_structure'!$A$1:$I$1,0)),0)</f>
        <v>0</v>
      </c>
      <c r="R59" s="9">
        <f>IF($H59&gt;K59, MIN($H59-K59, L59-K59)*INDEX('2018_commission_structure'!$A$1:$I$4,MATCH($E59,'2018_commission_structure'!$A$1:$A$4,0),MATCH(R$1,'2018_commission_structure'!$A$1:$I$1,0)),0)</f>
        <v>0</v>
      </c>
      <c r="S59" s="9">
        <f>IF(H59&gt;L59,(H59-L59)*INDEX('2018_commission_structure'!$A$1:$I$4,MATCH($E59,'2018_commission_structure'!$A$1:$A$4,0),MATCH(S$1,'2018_commission_structure'!$A$1:$I$1,0)),0)</f>
        <v>0</v>
      </c>
      <c r="T59" s="9">
        <f t="shared" si="6"/>
        <v>73244.990000000005</v>
      </c>
      <c r="U59" s="9">
        <f t="shared" si="7"/>
        <v>144408.99</v>
      </c>
      <c r="V59" s="9">
        <f>MIN($I59,$H59)*INDEX('Key Metrics'!$E$16:$N$19,MATCH($E59,'Key Metrics'!$E$16:$E$19,0),MATCH(V$1,'Key Metrics'!$E$16:$M$16,0))</f>
        <v>84513.45</v>
      </c>
      <c r="W59" s="9">
        <f>IF($H59&gt;I59, MIN($H59-I59, J59-I59)*INDEX('Key Metrics'!$E$16:$N$19,MATCH($E59,'Key Metrics'!$E$16:$E$19,0),MATCH(W$1,'Key Metrics'!$E$16:$M$16,0)),0)</f>
        <v>0</v>
      </c>
      <c r="X59" s="9">
        <f>IF($H59&gt;J59, MIN($H59-J59, K59-J59)*INDEX('Key Metrics'!$E$16:$N$19,MATCH($E59,'Key Metrics'!$E$16:$E$19,0),MATCH(X$1,'Key Metrics'!$E$16:$M$16,0)),0)</f>
        <v>0</v>
      </c>
      <c r="Y59" s="9">
        <f>IF($H59&gt;K59, MIN($H59-K59, L59-K59)*INDEX('Key Metrics'!$E$16:$N$19,MATCH($E59,'Key Metrics'!$E$16:$E$19,0),MATCH(Y$1,'Key Metrics'!$E$16:$M$16,0)),0)</f>
        <v>0</v>
      </c>
      <c r="Z59" s="9">
        <f>IF($H59&gt;L59,($H59-L59)*INDEX('Key Metrics'!$E$16:$N$19,MATCH($E59,'Key Metrics'!$E$16:$E$19,0),MATCH(Z$1,'Key Metrics'!$E$16:$M$16,0)),0)</f>
        <v>0</v>
      </c>
      <c r="AA59" s="9">
        <f t="shared" si="8"/>
        <v>84513.45</v>
      </c>
      <c r="AB59" s="9">
        <f t="shared" si="9"/>
        <v>84514.389038333335</v>
      </c>
    </row>
    <row r="60" spans="1:28" x14ac:dyDescent="0.55000000000000004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COUNTIF(deals_closed!$D$2:$D$20001,Calculations!B407)</f>
        <v>23</v>
      </c>
      <c r="H60" s="7">
        <f>SUMIF(deals_closed!$D:$D,Calculations!B407,deals_closed!$C:$C)</f>
        <v>948638</v>
      </c>
      <c r="I60" s="5">
        <f>VLOOKUP(E60,'2018_commission_structure'!$A$1:$I$4,9,FALSE)</f>
        <v>600000</v>
      </c>
      <c r="J60" s="9">
        <f t="shared" si="1"/>
        <v>750000</v>
      </c>
      <c r="K60" s="10">
        <f t="shared" si="2"/>
        <v>900000</v>
      </c>
      <c r="L60" s="9">
        <f t="shared" si="3"/>
        <v>1200000</v>
      </c>
      <c r="M60" s="8">
        <f t="shared" si="4"/>
        <v>1.5810633333333333</v>
      </c>
      <c r="N60" t="str">
        <f t="shared" si="5"/>
        <v>150-200%</v>
      </c>
      <c r="O60" s="9">
        <f>MIN($H60,$I60)*INDEX('2018_commission_structure'!$A$1:$I$4,MATCH($E60,'2018_commission_structure'!$A$1:$A$4,0),MATCH(O$1,'2018_commission_structure'!$A$1:$I$1,0))</f>
        <v>78000</v>
      </c>
      <c r="P60" s="9">
        <f>IF(H60&gt;I60, MIN(H60-I60, J60-I60)*INDEX('2018_commission_structure'!$A$1:$I$4,MATCH($E60,'2018_commission_structure'!$A$1:$A$4,0),MATCH(P$1,'2018_commission_structure'!$A$1:$I$1,0)),0)</f>
        <v>25500.000000000004</v>
      </c>
      <c r="Q60" s="9">
        <f>IF($H60&gt;J60, MIN($H60-J60, K60-J60)*INDEX('2018_commission_structure'!$A$1:$I$4,MATCH($E60,'2018_commission_structure'!$A$1:$A$4,0),MATCH(Q$1,'2018_commission_structure'!$A$1:$I$1,0)),0)</f>
        <v>31500</v>
      </c>
      <c r="R60" s="9">
        <f>IF($H60&gt;K60, MIN($H60-K60, L60-K60)*INDEX('2018_commission_structure'!$A$1:$I$4,MATCH($E60,'2018_commission_structure'!$A$1:$A$4,0),MATCH(R$1,'2018_commission_structure'!$A$1:$I$1,0)),0)</f>
        <v>12645.880000000001</v>
      </c>
      <c r="S60" s="9">
        <f>IF(H60&gt;L60,(H60-L60)*INDEX('2018_commission_structure'!$A$1:$I$4,MATCH($E60,'2018_commission_structure'!$A$1:$A$4,0),MATCH(S$1,'2018_commission_structure'!$A$1:$I$1,0)),0)</f>
        <v>0</v>
      </c>
      <c r="T60" s="9">
        <f t="shared" si="6"/>
        <v>147645.88</v>
      </c>
      <c r="U60" s="9">
        <f t="shared" si="7"/>
        <v>202663.88</v>
      </c>
      <c r="V60" s="9">
        <f>MIN($I60,$H60)*INDEX('Key Metrics'!$E$16:$N$19,MATCH($E60,'Key Metrics'!$E$16:$E$19,0),MATCH(V$1,'Key Metrics'!$E$16:$M$16,0))</f>
        <v>90000</v>
      </c>
      <c r="W60" s="9">
        <f>IF($H60&gt;I60, MIN($H60-I60, J60-I60)*INDEX('Key Metrics'!$E$16:$N$19,MATCH($E60,'Key Metrics'!$E$16:$E$19,0),MATCH(W$1,'Key Metrics'!$E$16:$M$16,0)),0)</f>
        <v>27000</v>
      </c>
      <c r="X60" s="9">
        <f>IF($H60&gt;J60, MIN($H60-J60, K60-J60)*INDEX('Key Metrics'!$E$16:$N$19,MATCH($E60,'Key Metrics'!$E$16:$E$19,0),MATCH(X$1,'Key Metrics'!$E$16:$M$16,0)),0)</f>
        <v>37500</v>
      </c>
      <c r="Y60" s="9">
        <f>IF($H60&gt;K60, MIN($H60-K60, L60-K60)*INDEX('Key Metrics'!$E$16:$N$19,MATCH($E60,'Key Metrics'!$E$16:$E$19,0),MATCH(Y$1,'Key Metrics'!$E$16:$M$16,0)),0)</f>
        <v>14591.4</v>
      </c>
      <c r="Z60" s="9">
        <f>IF($H60&gt;L60,($H60-L60)*INDEX('Key Metrics'!$E$16:$N$19,MATCH($E60,'Key Metrics'!$E$16:$E$19,0),MATCH(Z$1,'Key Metrics'!$E$16:$M$16,0)),0)</f>
        <v>0</v>
      </c>
      <c r="AA60" s="9">
        <f t="shared" si="8"/>
        <v>169091.4</v>
      </c>
      <c r="AB60" s="9">
        <f t="shared" si="9"/>
        <v>169092.98106333334</v>
      </c>
    </row>
    <row r="61" spans="1:28" x14ac:dyDescent="0.55000000000000004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COUNTIF(deals_closed!$D$2:$D$20001,Calculations!B604)</f>
        <v>16</v>
      </c>
      <c r="H61" s="7">
        <f>SUMIF(deals_closed!$D:$D,Calculations!B604,deals_closed!$C:$C)</f>
        <v>535986</v>
      </c>
      <c r="I61" s="5">
        <f>VLOOKUP(E61,'2018_commission_structure'!$A$1:$I$4,9,FALSE)</f>
        <v>750000</v>
      </c>
      <c r="J61" s="9">
        <f t="shared" si="1"/>
        <v>937500</v>
      </c>
      <c r="K61" s="10">
        <f t="shared" si="2"/>
        <v>1125000</v>
      </c>
      <c r="L61" s="9">
        <f t="shared" si="3"/>
        <v>1500000</v>
      </c>
      <c r="M61" s="8">
        <f t="shared" si="4"/>
        <v>0.71464799999999995</v>
      </c>
      <c r="N61" t="str">
        <f t="shared" si="5"/>
        <v>0-100%</v>
      </c>
      <c r="O61" s="9">
        <f>MIN($H61,$I61)*INDEX('2018_commission_structure'!$A$1:$I$4,MATCH($E61,'2018_commission_structure'!$A$1:$A$4,0),MATCH(O$1,'2018_commission_structure'!$A$1:$I$1,0))</f>
        <v>80397.899999999994</v>
      </c>
      <c r="P61" s="9">
        <f>IF(H61&gt;I61, MIN(H61-I61, J61-I61)*INDEX('2018_commission_structure'!$A$1:$I$4,MATCH($E61,'2018_commission_structure'!$A$1:$A$4,0),MATCH(P$1,'2018_commission_structure'!$A$1:$I$1,0)),0)</f>
        <v>0</v>
      </c>
      <c r="Q61" s="9">
        <f>IF($H61&gt;J61, MIN($H61-J61, K61-J61)*INDEX('2018_commission_structure'!$A$1:$I$4,MATCH($E61,'2018_commission_structure'!$A$1:$A$4,0),MATCH(Q$1,'2018_commission_structure'!$A$1:$I$1,0)),0)</f>
        <v>0</v>
      </c>
      <c r="R61" s="9">
        <f>IF($H61&gt;K61, MIN($H61-K61, L61-K61)*INDEX('2018_commission_structure'!$A$1:$I$4,MATCH($E61,'2018_commission_structure'!$A$1:$A$4,0),MATCH(R$1,'2018_commission_structure'!$A$1:$I$1,0)),0)</f>
        <v>0</v>
      </c>
      <c r="S61" s="9">
        <f>IF(H61&gt;L61,(H61-L61)*INDEX('2018_commission_structure'!$A$1:$I$4,MATCH($E61,'2018_commission_structure'!$A$1:$A$4,0),MATCH(S$1,'2018_commission_structure'!$A$1:$I$1,0)),0)</f>
        <v>0</v>
      </c>
      <c r="T61" s="9">
        <f t="shared" si="6"/>
        <v>80397.899999999994</v>
      </c>
      <c r="U61" s="9">
        <f t="shared" si="7"/>
        <v>195155.9</v>
      </c>
      <c r="V61" s="9">
        <f>MIN($I61,$H61)*INDEX('Key Metrics'!$E$16:$N$19,MATCH($E61,'Key Metrics'!$E$16:$E$19,0),MATCH(V$1,'Key Metrics'!$E$16:$M$16,0))</f>
        <v>80397.899999999994</v>
      </c>
      <c r="W61" s="9">
        <f>IF($H61&gt;I61, MIN($H61-I61, J61-I61)*INDEX('Key Metrics'!$E$16:$N$19,MATCH($E61,'Key Metrics'!$E$16:$E$19,0),MATCH(W$1,'Key Metrics'!$E$16:$M$16,0)),0)</f>
        <v>0</v>
      </c>
      <c r="X61" s="9">
        <f>IF($H61&gt;J61, MIN($H61-J61, K61-J61)*INDEX('Key Metrics'!$E$16:$N$19,MATCH($E61,'Key Metrics'!$E$16:$E$19,0),MATCH(X$1,'Key Metrics'!$E$16:$M$16,0)),0)</f>
        <v>0</v>
      </c>
      <c r="Y61" s="9">
        <f>IF($H61&gt;K61, MIN($H61-K61, L61-K61)*INDEX('Key Metrics'!$E$16:$N$19,MATCH($E61,'Key Metrics'!$E$16:$E$19,0),MATCH(Y$1,'Key Metrics'!$E$16:$M$16,0)),0)</f>
        <v>0</v>
      </c>
      <c r="Z61" s="9">
        <f>IF($H61&gt;L61,($H61-L61)*INDEX('Key Metrics'!$E$16:$N$19,MATCH($E61,'Key Metrics'!$E$16:$E$19,0),MATCH(Z$1,'Key Metrics'!$E$16:$M$16,0)),0)</f>
        <v>0</v>
      </c>
      <c r="AA61" s="9">
        <f t="shared" si="8"/>
        <v>80397.899999999994</v>
      </c>
      <c r="AB61" s="9">
        <f t="shared" si="9"/>
        <v>80398.614647999988</v>
      </c>
    </row>
    <row r="62" spans="1:28" x14ac:dyDescent="0.55000000000000004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COUNTIF(deals_closed!$D$2:$D$20001,Calculations!B466)</f>
        <v>28</v>
      </c>
      <c r="H62" s="7">
        <f>SUMIF(deals_closed!$D:$D,Calculations!B466,deals_closed!$C:$C)</f>
        <v>973466</v>
      </c>
      <c r="I62" s="5">
        <f>VLOOKUP(E62,'2018_commission_structure'!$A$1:$I$4,9,FALSE)</f>
        <v>600000</v>
      </c>
      <c r="J62" s="9">
        <f t="shared" si="1"/>
        <v>750000</v>
      </c>
      <c r="K62" s="10">
        <f t="shared" si="2"/>
        <v>900000</v>
      </c>
      <c r="L62" s="9">
        <f t="shared" si="3"/>
        <v>1200000</v>
      </c>
      <c r="M62" s="8">
        <f t="shared" si="4"/>
        <v>1.6224433333333332</v>
      </c>
      <c r="N62" t="str">
        <f t="shared" si="5"/>
        <v>150-200%</v>
      </c>
      <c r="O62" s="9">
        <f>MIN($H62,$I62)*INDEX('2018_commission_structure'!$A$1:$I$4,MATCH($E62,'2018_commission_structure'!$A$1:$A$4,0),MATCH(O$1,'2018_commission_structure'!$A$1:$I$1,0))</f>
        <v>78000</v>
      </c>
      <c r="P62" s="9">
        <f>IF(H62&gt;I62, MIN(H62-I62, J62-I62)*INDEX('2018_commission_structure'!$A$1:$I$4,MATCH($E62,'2018_commission_structure'!$A$1:$A$4,0),MATCH(P$1,'2018_commission_structure'!$A$1:$I$1,0)),0)</f>
        <v>25500.000000000004</v>
      </c>
      <c r="Q62" s="9">
        <f>IF($H62&gt;J62, MIN($H62-J62, K62-J62)*INDEX('2018_commission_structure'!$A$1:$I$4,MATCH($E62,'2018_commission_structure'!$A$1:$A$4,0),MATCH(Q$1,'2018_commission_structure'!$A$1:$I$1,0)),0)</f>
        <v>31500</v>
      </c>
      <c r="R62" s="9">
        <f>IF($H62&gt;K62, MIN($H62-K62, L62-K62)*INDEX('2018_commission_structure'!$A$1:$I$4,MATCH($E62,'2018_commission_structure'!$A$1:$A$4,0),MATCH(R$1,'2018_commission_structure'!$A$1:$I$1,0)),0)</f>
        <v>19101.16</v>
      </c>
      <c r="S62" s="9">
        <f>IF(H62&gt;L62,(H62-L62)*INDEX('2018_commission_structure'!$A$1:$I$4,MATCH($E62,'2018_commission_structure'!$A$1:$A$4,0),MATCH(S$1,'2018_commission_structure'!$A$1:$I$1,0)),0)</f>
        <v>0</v>
      </c>
      <c r="T62" s="9">
        <f t="shared" si="6"/>
        <v>154101.16</v>
      </c>
      <c r="U62" s="9">
        <f t="shared" si="7"/>
        <v>215486.16</v>
      </c>
      <c r="V62" s="9">
        <f>MIN($I62,$H62)*INDEX('Key Metrics'!$E$16:$N$19,MATCH($E62,'Key Metrics'!$E$16:$E$19,0),MATCH(V$1,'Key Metrics'!$E$16:$M$16,0))</f>
        <v>90000</v>
      </c>
      <c r="W62" s="9">
        <f>IF($H62&gt;I62, MIN($H62-I62, J62-I62)*INDEX('Key Metrics'!$E$16:$N$19,MATCH($E62,'Key Metrics'!$E$16:$E$19,0),MATCH(W$1,'Key Metrics'!$E$16:$M$16,0)),0)</f>
        <v>27000</v>
      </c>
      <c r="X62" s="9">
        <f>IF($H62&gt;J62, MIN($H62-J62, K62-J62)*INDEX('Key Metrics'!$E$16:$N$19,MATCH($E62,'Key Metrics'!$E$16:$E$19,0),MATCH(X$1,'Key Metrics'!$E$16:$M$16,0)),0)</f>
        <v>37500</v>
      </c>
      <c r="Y62" s="9">
        <f>IF($H62&gt;K62, MIN($H62-K62, L62-K62)*INDEX('Key Metrics'!$E$16:$N$19,MATCH($E62,'Key Metrics'!$E$16:$E$19,0),MATCH(Y$1,'Key Metrics'!$E$16:$M$16,0)),0)</f>
        <v>22039.8</v>
      </c>
      <c r="Z62" s="9">
        <f>IF($H62&gt;L62,($H62-L62)*INDEX('Key Metrics'!$E$16:$N$19,MATCH($E62,'Key Metrics'!$E$16:$E$19,0),MATCH(Z$1,'Key Metrics'!$E$16:$M$16,0)),0)</f>
        <v>0</v>
      </c>
      <c r="AA62" s="9">
        <f t="shared" si="8"/>
        <v>176539.8</v>
      </c>
      <c r="AB62" s="9">
        <f t="shared" si="9"/>
        <v>176541.42244333331</v>
      </c>
    </row>
    <row r="63" spans="1:28" x14ac:dyDescent="0.55000000000000004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COUNTIF(deals_closed!$D$2:$D$20001,Calculations!B208)</f>
        <v>19</v>
      </c>
      <c r="H63" s="7">
        <f>SUMIF(deals_closed!$D:$D,Calculations!B208,deals_closed!$C:$C)</f>
        <v>601444</v>
      </c>
      <c r="I63" s="5">
        <f>VLOOKUP(E63,'2018_commission_structure'!$A$1:$I$4,9,FALSE)</f>
        <v>500000</v>
      </c>
      <c r="J63" s="9">
        <f t="shared" si="1"/>
        <v>625000</v>
      </c>
      <c r="K63" s="10">
        <f t="shared" si="2"/>
        <v>750000</v>
      </c>
      <c r="L63" s="9">
        <f t="shared" si="3"/>
        <v>1000000</v>
      </c>
      <c r="M63" s="8">
        <f t="shared" si="4"/>
        <v>1.202888</v>
      </c>
      <c r="N63" t="str">
        <f t="shared" si="5"/>
        <v>100-125%</v>
      </c>
      <c r="O63" s="9">
        <f>MIN($H63,$I63)*INDEX('2018_commission_structure'!$A$1:$I$4,MATCH($E63,'2018_commission_structure'!$A$1:$A$4,0),MATCH(O$1,'2018_commission_structure'!$A$1:$I$1,0))</f>
        <v>50000</v>
      </c>
      <c r="P63" s="9">
        <f>IF(H63&gt;I63, MIN(H63-I63, J63-I63)*INDEX('2018_commission_structure'!$A$1:$I$4,MATCH($E63,'2018_commission_structure'!$A$1:$A$4,0),MATCH(P$1,'2018_commission_structure'!$A$1:$I$1,0)),0)</f>
        <v>15216.599999999999</v>
      </c>
      <c r="Q63" s="9">
        <f>IF($H63&gt;J63, MIN($H63-J63, K63-J63)*INDEX('2018_commission_structure'!$A$1:$I$4,MATCH($E63,'2018_commission_structure'!$A$1:$A$4,0),MATCH(Q$1,'2018_commission_structure'!$A$1:$I$1,0)),0)</f>
        <v>0</v>
      </c>
      <c r="R63" s="9">
        <f>IF($H63&gt;K63, MIN($H63-K63, L63-K63)*INDEX('2018_commission_structure'!$A$1:$I$4,MATCH($E63,'2018_commission_structure'!$A$1:$A$4,0),MATCH(R$1,'2018_commission_structure'!$A$1:$I$1,0)),0)</f>
        <v>0</v>
      </c>
      <c r="S63" s="9">
        <f>IF(H63&gt;L63,(H63-L63)*INDEX('2018_commission_structure'!$A$1:$I$4,MATCH($E63,'2018_commission_structure'!$A$1:$A$4,0),MATCH(S$1,'2018_commission_structure'!$A$1:$I$1,0)),0)</f>
        <v>0</v>
      </c>
      <c r="T63" s="9">
        <f t="shared" si="6"/>
        <v>65216.6</v>
      </c>
      <c r="U63" s="9">
        <f t="shared" si="7"/>
        <v>104134.6</v>
      </c>
      <c r="V63" s="9">
        <f>MIN($I63,$H63)*INDEX('Key Metrics'!$E$16:$N$19,MATCH($E63,'Key Metrics'!$E$16:$E$19,0),MATCH(V$1,'Key Metrics'!$E$16:$M$16,0))</f>
        <v>60000</v>
      </c>
      <c r="W63" s="9">
        <f>IF($H63&gt;I63, MIN($H63-I63, J63-I63)*INDEX('Key Metrics'!$E$16:$N$19,MATCH($E63,'Key Metrics'!$E$16:$E$19,0),MATCH(W$1,'Key Metrics'!$E$16:$M$16,0)),0)</f>
        <v>17245.48</v>
      </c>
      <c r="X63" s="9">
        <f>IF($H63&gt;J63, MIN($H63-J63, K63-J63)*INDEX('Key Metrics'!$E$16:$N$19,MATCH($E63,'Key Metrics'!$E$16:$E$19,0),MATCH(X$1,'Key Metrics'!$E$16:$M$16,0)),0)</f>
        <v>0</v>
      </c>
      <c r="Y63" s="9">
        <f>IF($H63&gt;K63, MIN($H63-K63, L63-K63)*INDEX('Key Metrics'!$E$16:$N$19,MATCH($E63,'Key Metrics'!$E$16:$E$19,0),MATCH(Y$1,'Key Metrics'!$E$16:$M$16,0)),0)</f>
        <v>0</v>
      </c>
      <c r="Z63" s="9">
        <f>IF($H63&gt;L63,($H63-L63)*INDEX('Key Metrics'!$E$16:$N$19,MATCH($E63,'Key Metrics'!$E$16:$E$19,0),MATCH(Z$1,'Key Metrics'!$E$16:$M$16,0)),0)</f>
        <v>0</v>
      </c>
      <c r="AA63" s="9">
        <f t="shared" si="8"/>
        <v>77245.48</v>
      </c>
      <c r="AB63" s="9">
        <f t="shared" si="9"/>
        <v>77246.682887999996</v>
      </c>
    </row>
    <row r="64" spans="1:28" x14ac:dyDescent="0.55000000000000004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COUNTIF(deals_closed!$D$2:$D$20001,Calculations!B880)</f>
        <v>14</v>
      </c>
      <c r="H64" s="7">
        <f>SUMIF(deals_closed!$D:$D,Calculations!B880,deals_closed!$C:$C)</f>
        <v>548004</v>
      </c>
      <c r="I64" s="5">
        <f>VLOOKUP(E64,'2018_commission_structure'!$A$1:$I$4,9,FALSE)</f>
        <v>750000</v>
      </c>
      <c r="J64" s="9">
        <f t="shared" si="1"/>
        <v>937500</v>
      </c>
      <c r="K64" s="10">
        <f t="shared" si="2"/>
        <v>1125000</v>
      </c>
      <c r="L64" s="9">
        <f t="shared" si="3"/>
        <v>1500000</v>
      </c>
      <c r="M64" s="8">
        <f t="shared" si="4"/>
        <v>0.73067199999999999</v>
      </c>
      <c r="N64" t="str">
        <f t="shared" si="5"/>
        <v>0-100%</v>
      </c>
      <c r="O64" s="9">
        <f>MIN($H64,$I64)*INDEX('2018_commission_structure'!$A$1:$I$4,MATCH($E64,'2018_commission_structure'!$A$1:$A$4,0),MATCH(O$1,'2018_commission_structure'!$A$1:$I$1,0))</f>
        <v>82200.599999999991</v>
      </c>
      <c r="P64" s="9">
        <f>IF(H64&gt;I64, MIN(H64-I64, J64-I64)*INDEX('2018_commission_structure'!$A$1:$I$4,MATCH($E64,'2018_commission_structure'!$A$1:$A$4,0),MATCH(P$1,'2018_commission_structure'!$A$1:$I$1,0)),0)</f>
        <v>0</v>
      </c>
      <c r="Q64" s="9">
        <f>IF($H64&gt;J64, MIN($H64-J64, K64-J64)*INDEX('2018_commission_structure'!$A$1:$I$4,MATCH($E64,'2018_commission_structure'!$A$1:$A$4,0),MATCH(Q$1,'2018_commission_structure'!$A$1:$I$1,0)),0)</f>
        <v>0</v>
      </c>
      <c r="R64" s="9">
        <f>IF($H64&gt;K64, MIN($H64-K64, L64-K64)*INDEX('2018_commission_structure'!$A$1:$I$4,MATCH($E64,'2018_commission_structure'!$A$1:$A$4,0),MATCH(R$1,'2018_commission_structure'!$A$1:$I$1,0)),0)</f>
        <v>0</v>
      </c>
      <c r="S64" s="9">
        <f>IF(H64&gt;L64,(H64-L64)*INDEX('2018_commission_structure'!$A$1:$I$4,MATCH($E64,'2018_commission_structure'!$A$1:$A$4,0),MATCH(S$1,'2018_commission_structure'!$A$1:$I$1,0)),0)</f>
        <v>0</v>
      </c>
      <c r="T64" s="9">
        <f t="shared" si="6"/>
        <v>82200.599999999991</v>
      </c>
      <c r="U64" s="9">
        <f t="shared" si="7"/>
        <v>182548.59999999998</v>
      </c>
      <c r="V64" s="9">
        <f>MIN($I64,$H64)*INDEX('Key Metrics'!$E$16:$N$19,MATCH($E64,'Key Metrics'!$E$16:$E$19,0),MATCH(V$1,'Key Metrics'!$E$16:$M$16,0))</f>
        <v>82200.599999999991</v>
      </c>
      <c r="W64" s="9">
        <f>IF($H64&gt;I64, MIN($H64-I64, J64-I64)*INDEX('Key Metrics'!$E$16:$N$19,MATCH($E64,'Key Metrics'!$E$16:$E$19,0),MATCH(W$1,'Key Metrics'!$E$16:$M$16,0)),0)</f>
        <v>0</v>
      </c>
      <c r="X64" s="9">
        <f>IF($H64&gt;J64, MIN($H64-J64, K64-J64)*INDEX('Key Metrics'!$E$16:$N$19,MATCH($E64,'Key Metrics'!$E$16:$E$19,0),MATCH(X$1,'Key Metrics'!$E$16:$M$16,0)),0)</f>
        <v>0</v>
      </c>
      <c r="Y64" s="9">
        <f>IF($H64&gt;K64, MIN($H64-K64, L64-K64)*INDEX('Key Metrics'!$E$16:$N$19,MATCH($E64,'Key Metrics'!$E$16:$E$19,0),MATCH(Y$1,'Key Metrics'!$E$16:$M$16,0)),0)</f>
        <v>0</v>
      </c>
      <c r="Z64" s="9">
        <f>IF($H64&gt;L64,($H64-L64)*INDEX('Key Metrics'!$E$16:$N$19,MATCH($E64,'Key Metrics'!$E$16:$E$19,0),MATCH(Z$1,'Key Metrics'!$E$16:$M$16,0)),0)</f>
        <v>0</v>
      </c>
      <c r="AA64" s="9">
        <f t="shared" si="8"/>
        <v>82200.599999999991</v>
      </c>
      <c r="AB64" s="9">
        <f t="shared" si="9"/>
        <v>82201.330671999996</v>
      </c>
    </row>
    <row r="65" spans="1:28" x14ac:dyDescent="0.55000000000000004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COUNTIF(deals_closed!$D$2:$D$20001,Calculations!B161)</f>
        <v>16</v>
      </c>
      <c r="H65" s="7">
        <f>SUMIF(deals_closed!$D:$D,Calculations!B161,deals_closed!$C:$C)</f>
        <v>551017</v>
      </c>
      <c r="I65" s="5">
        <f>VLOOKUP(E65,'2018_commission_structure'!$A$1:$I$4,9,FALSE)</f>
        <v>600000</v>
      </c>
      <c r="J65" s="9">
        <f t="shared" si="1"/>
        <v>750000</v>
      </c>
      <c r="K65" s="10">
        <f t="shared" si="2"/>
        <v>900000</v>
      </c>
      <c r="L65" s="9">
        <f t="shared" si="3"/>
        <v>1200000</v>
      </c>
      <c r="M65" s="8">
        <f t="shared" si="4"/>
        <v>0.91836166666666663</v>
      </c>
      <c r="N65" t="str">
        <f t="shared" si="5"/>
        <v>0-100%</v>
      </c>
      <c r="O65" s="9">
        <f>MIN($H65,$I65)*INDEX('2018_commission_structure'!$A$1:$I$4,MATCH($E65,'2018_commission_structure'!$A$1:$A$4,0),MATCH(O$1,'2018_commission_structure'!$A$1:$I$1,0))</f>
        <v>71632.210000000006</v>
      </c>
      <c r="P65" s="9">
        <f>IF(H65&gt;I65, MIN(H65-I65, J65-I65)*INDEX('2018_commission_structure'!$A$1:$I$4,MATCH($E65,'2018_commission_structure'!$A$1:$A$4,0),MATCH(P$1,'2018_commission_structure'!$A$1:$I$1,0)),0)</f>
        <v>0</v>
      </c>
      <c r="Q65" s="9">
        <f>IF($H65&gt;J65, MIN($H65-J65, K65-J65)*INDEX('2018_commission_structure'!$A$1:$I$4,MATCH($E65,'2018_commission_structure'!$A$1:$A$4,0),MATCH(Q$1,'2018_commission_structure'!$A$1:$I$1,0)),0)</f>
        <v>0</v>
      </c>
      <c r="R65" s="9">
        <f>IF($H65&gt;K65, MIN($H65-K65, L65-K65)*INDEX('2018_commission_structure'!$A$1:$I$4,MATCH($E65,'2018_commission_structure'!$A$1:$A$4,0),MATCH(R$1,'2018_commission_structure'!$A$1:$I$1,0)),0)</f>
        <v>0</v>
      </c>
      <c r="S65" s="9">
        <f>IF(H65&gt;L65,(H65-L65)*INDEX('2018_commission_structure'!$A$1:$I$4,MATCH($E65,'2018_commission_structure'!$A$1:$A$4,0),MATCH(S$1,'2018_commission_structure'!$A$1:$I$1,0)),0)</f>
        <v>0</v>
      </c>
      <c r="T65" s="9">
        <f t="shared" si="6"/>
        <v>71632.210000000006</v>
      </c>
      <c r="U65" s="9">
        <f t="shared" si="7"/>
        <v>141112.21000000002</v>
      </c>
      <c r="V65" s="9">
        <f>MIN($I65,$H65)*INDEX('Key Metrics'!$E$16:$N$19,MATCH($E65,'Key Metrics'!$E$16:$E$19,0),MATCH(V$1,'Key Metrics'!$E$16:$M$16,0))</f>
        <v>82652.55</v>
      </c>
      <c r="W65" s="9">
        <f>IF($H65&gt;I65, MIN($H65-I65, J65-I65)*INDEX('Key Metrics'!$E$16:$N$19,MATCH($E65,'Key Metrics'!$E$16:$E$19,0),MATCH(W$1,'Key Metrics'!$E$16:$M$16,0)),0)</f>
        <v>0</v>
      </c>
      <c r="X65" s="9">
        <f>IF($H65&gt;J65, MIN($H65-J65, K65-J65)*INDEX('Key Metrics'!$E$16:$N$19,MATCH($E65,'Key Metrics'!$E$16:$E$19,0),MATCH(X$1,'Key Metrics'!$E$16:$M$16,0)),0)</f>
        <v>0</v>
      </c>
      <c r="Y65" s="9">
        <f>IF($H65&gt;K65, MIN($H65-K65, L65-K65)*INDEX('Key Metrics'!$E$16:$N$19,MATCH($E65,'Key Metrics'!$E$16:$E$19,0),MATCH(Y$1,'Key Metrics'!$E$16:$M$16,0)),0)</f>
        <v>0</v>
      </c>
      <c r="Z65" s="9">
        <f>IF($H65&gt;L65,($H65-L65)*INDEX('Key Metrics'!$E$16:$N$19,MATCH($E65,'Key Metrics'!$E$16:$E$19,0),MATCH(Z$1,'Key Metrics'!$E$16:$M$16,0)),0)</f>
        <v>0</v>
      </c>
      <c r="AA65" s="9">
        <f t="shared" si="8"/>
        <v>82652.55</v>
      </c>
      <c r="AB65" s="9">
        <f t="shared" si="9"/>
        <v>82653.468361666673</v>
      </c>
    </row>
    <row r="66" spans="1:28" x14ac:dyDescent="0.55000000000000004">
      <c r="A66" t="str">
        <f t="shared" ref="A66:A129" si="10">CONCATENATE(C66," ",D66)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COUNTIF(deals_closed!$D$2:$D$20001,Calculations!B23)</f>
        <v>15</v>
      </c>
      <c r="H66" s="7">
        <f>SUMIF(deals_closed!$D:$D,Calculations!B23,deals_closed!$C:$C)</f>
        <v>520983</v>
      </c>
      <c r="I66" s="5">
        <f>VLOOKUP(E66,'2018_commission_structure'!$A$1:$I$4,9,FALSE)</f>
        <v>750000</v>
      </c>
      <c r="J66" s="9">
        <f t="shared" ref="J66:J129" si="11">I66*1.25</f>
        <v>937500</v>
      </c>
      <c r="K66" s="10">
        <f t="shared" ref="K66:K129" si="12">I66*1.5</f>
        <v>1125000</v>
      </c>
      <c r="L66" s="9">
        <f t="shared" ref="L66:L129" si="13">I66*2</f>
        <v>1500000</v>
      </c>
      <c r="M66" s="8">
        <f t="shared" ref="M66:M129" si="14">H66/I66</f>
        <v>0.69464400000000004</v>
      </c>
      <c r="N66" t="str">
        <f t="shared" ref="N66:N129" si="15">IF(M66&lt;=100%,"0-100%",IF(M66&lt;=125%,"100-125%",IF(M66&lt;=150%,"125-150%",IF(M66&lt;=200%,"150-200%","&gt;200%"))))</f>
        <v>0-100%</v>
      </c>
      <c r="O66" s="9">
        <f>MIN($H66,$I66)*INDEX('2018_commission_structure'!$A$1:$I$4,MATCH($E66,'2018_commission_structure'!$A$1:$A$4,0),MATCH(O$1,'2018_commission_structure'!$A$1:$I$1,0))</f>
        <v>78147.45</v>
      </c>
      <c r="P66" s="9">
        <f>IF(H66&gt;I66, MIN(H66-I66, J66-I66)*INDEX('2018_commission_structure'!$A$1:$I$4,MATCH($E66,'2018_commission_structure'!$A$1:$A$4,0),MATCH(P$1,'2018_commission_structure'!$A$1:$I$1,0)),0)</f>
        <v>0</v>
      </c>
      <c r="Q66" s="9">
        <f>IF($H66&gt;J66, MIN($H66-J66, K66-J66)*INDEX('2018_commission_structure'!$A$1:$I$4,MATCH($E66,'2018_commission_structure'!$A$1:$A$4,0),MATCH(Q$1,'2018_commission_structure'!$A$1:$I$1,0)),0)</f>
        <v>0</v>
      </c>
      <c r="R66" s="9">
        <f>IF($H66&gt;K66, MIN($H66-K66, L66-K66)*INDEX('2018_commission_structure'!$A$1:$I$4,MATCH($E66,'2018_commission_structure'!$A$1:$A$4,0),MATCH(R$1,'2018_commission_structure'!$A$1:$I$1,0)),0)</f>
        <v>0</v>
      </c>
      <c r="S66" s="9">
        <f>IF(H66&gt;L66,(H66-L66)*INDEX('2018_commission_structure'!$A$1:$I$4,MATCH($E66,'2018_commission_structure'!$A$1:$A$4,0),MATCH(S$1,'2018_commission_structure'!$A$1:$I$1,0)),0)</f>
        <v>0</v>
      </c>
      <c r="T66" s="9">
        <f t="shared" ref="T66:T129" si="16">SUM(O66:S66)</f>
        <v>78147.45</v>
      </c>
      <c r="U66" s="9">
        <f t="shared" ref="U66:U129" si="17">F66+T66</f>
        <v>197477.45</v>
      </c>
      <c r="V66" s="9">
        <f>MIN($I66,$H66)*INDEX('Key Metrics'!$E$16:$N$19,MATCH($E66,'Key Metrics'!$E$16:$E$19,0),MATCH(V$1,'Key Metrics'!$E$16:$M$16,0))</f>
        <v>78147.45</v>
      </c>
      <c r="W66" s="9">
        <f>IF($H66&gt;I66, MIN($H66-I66, J66-I66)*INDEX('Key Metrics'!$E$16:$N$19,MATCH($E66,'Key Metrics'!$E$16:$E$19,0),MATCH(W$1,'Key Metrics'!$E$16:$M$16,0)),0)</f>
        <v>0</v>
      </c>
      <c r="X66" s="9">
        <f>IF($H66&gt;J66, MIN($H66-J66, K66-J66)*INDEX('Key Metrics'!$E$16:$N$19,MATCH($E66,'Key Metrics'!$E$16:$E$19,0),MATCH(X$1,'Key Metrics'!$E$16:$M$16,0)),0)</f>
        <v>0</v>
      </c>
      <c r="Y66" s="9">
        <f>IF($H66&gt;K66, MIN($H66-K66, L66-K66)*INDEX('Key Metrics'!$E$16:$N$19,MATCH($E66,'Key Metrics'!$E$16:$E$19,0),MATCH(Y$1,'Key Metrics'!$E$16:$M$16,0)),0)</f>
        <v>0</v>
      </c>
      <c r="Z66" s="9">
        <f>IF($H66&gt;L66,($H66-L66)*INDEX('Key Metrics'!$E$16:$N$19,MATCH($E66,'Key Metrics'!$E$16:$E$19,0),MATCH(Z$1,'Key Metrics'!$E$16:$M$16,0)),0)</f>
        <v>0</v>
      </c>
      <c r="AA66" s="9">
        <f t="shared" ref="AA66:AA129" si="18">SUM(V66:Z66)</f>
        <v>78147.45</v>
      </c>
      <c r="AB66" s="9">
        <f t="shared" ref="AB66:AB129" si="19">M66+AA66</f>
        <v>78148.144644</v>
      </c>
    </row>
    <row r="67" spans="1:28" x14ac:dyDescent="0.55000000000000004">
      <c r="A67" t="str">
        <f t="shared" si="10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COUNTIF(deals_closed!$D$2:$D$20001,Calculations!B775)</f>
        <v>21</v>
      </c>
      <c r="H67" s="7">
        <f>SUMIF(deals_closed!$D:$D,Calculations!B775,deals_closed!$C:$C)</f>
        <v>610003</v>
      </c>
      <c r="I67" s="5">
        <f>VLOOKUP(E67,'2018_commission_structure'!$A$1:$I$4,9,FALSE)</f>
        <v>750000</v>
      </c>
      <c r="J67" s="9">
        <f t="shared" si="11"/>
        <v>937500</v>
      </c>
      <c r="K67" s="10">
        <f t="shared" si="12"/>
        <v>1125000</v>
      </c>
      <c r="L67" s="9">
        <f t="shared" si="13"/>
        <v>1500000</v>
      </c>
      <c r="M67" s="8">
        <f t="shared" si="14"/>
        <v>0.81333733333333336</v>
      </c>
      <c r="N67" t="str">
        <f t="shared" si="15"/>
        <v>0-100%</v>
      </c>
      <c r="O67" s="9">
        <f>MIN($H67,$I67)*INDEX('2018_commission_structure'!$A$1:$I$4,MATCH($E67,'2018_commission_structure'!$A$1:$A$4,0),MATCH(O$1,'2018_commission_structure'!$A$1:$I$1,0))</f>
        <v>91500.45</v>
      </c>
      <c r="P67" s="9">
        <f>IF(H67&gt;I67, MIN(H67-I67, J67-I67)*INDEX('2018_commission_structure'!$A$1:$I$4,MATCH($E67,'2018_commission_structure'!$A$1:$A$4,0),MATCH(P$1,'2018_commission_structure'!$A$1:$I$1,0)),0)</f>
        <v>0</v>
      </c>
      <c r="Q67" s="9">
        <f>IF($H67&gt;J67, MIN($H67-J67, K67-J67)*INDEX('2018_commission_structure'!$A$1:$I$4,MATCH($E67,'2018_commission_structure'!$A$1:$A$4,0),MATCH(Q$1,'2018_commission_structure'!$A$1:$I$1,0)),0)</f>
        <v>0</v>
      </c>
      <c r="R67" s="9">
        <f>IF($H67&gt;K67, MIN($H67-K67, L67-K67)*INDEX('2018_commission_structure'!$A$1:$I$4,MATCH($E67,'2018_commission_structure'!$A$1:$A$4,0),MATCH(R$1,'2018_commission_structure'!$A$1:$I$1,0)),0)</f>
        <v>0</v>
      </c>
      <c r="S67" s="9">
        <f>IF(H67&gt;L67,(H67-L67)*INDEX('2018_commission_structure'!$A$1:$I$4,MATCH($E67,'2018_commission_structure'!$A$1:$A$4,0),MATCH(S$1,'2018_commission_structure'!$A$1:$I$1,0)),0)</f>
        <v>0</v>
      </c>
      <c r="T67" s="9">
        <f t="shared" si="16"/>
        <v>91500.45</v>
      </c>
      <c r="U67" s="9">
        <f t="shared" si="17"/>
        <v>180745.45</v>
      </c>
      <c r="V67" s="9">
        <f>MIN($I67,$H67)*INDEX('Key Metrics'!$E$16:$N$19,MATCH($E67,'Key Metrics'!$E$16:$E$19,0),MATCH(V$1,'Key Metrics'!$E$16:$M$16,0))</f>
        <v>91500.45</v>
      </c>
      <c r="W67" s="9">
        <f>IF($H67&gt;I67, MIN($H67-I67, J67-I67)*INDEX('Key Metrics'!$E$16:$N$19,MATCH($E67,'Key Metrics'!$E$16:$E$19,0),MATCH(W$1,'Key Metrics'!$E$16:$M$16,0)),0)</f>
        <v>0</v>
      </c>
      <c r="X67" s="9">
        <f>IF($H67&gt;J67, MIN($H67-J67, K67-J67)*INDEX('Key Metrics'!$E$16:$N$19,MATCH($E67,'Key Metrics'!$E$16:$E$19,0),MATCH(X$1,'Key Metrics'!$E$16:$M$16,0)),0)</f>
        <v>0</v>
      </c>
      <c r="Y67" s="9">
        <f>IF($H67&gt;K67, MIN($H67-K67, L67-K67)*INDEX('Key Metrics'!$E$16:$N$19,MATCH($E67,'Key Metrics'!$E$16:$E$19,0),MATCH(Y$1,'Key Metrics'!$E$16:$M$16,0)),0)</f>
        <v>0</v>
      </c>
      <c r="Z67" s="9">
        <f>IF($H67&gt;L67,($H67-L67)*INDEX('Key Metrics'!$E$16:$N$19,MATCH($E67,'Key Metrics'!$E$16:$E$19,0),MATCH(Z$1,'Key Metrics'!$E$16:$M$16,0)),0)</f>
        <v>0</v>
      </c>
      <c r="AA67" s="9">
        <f t="shared" si="18"/>
        <v>91500.45</v>
      </c>
      <c r="AB67" s="9">
        <f t="shared" si="19"/>
        <v>91501.263337333337</v>
      </c>
    </row>
    <row r="68" spans="1:28" x14ac:dyDescent="0.55000000000000004">
      <c r="A68" t="str">
        <f t="shared" si="10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COUNTIF(deals_closed!$D$2:$D$20001,Calculations!B123)</f>
        <v>23</v>
      </c>
      <c r="H68" s="7">
        <f>SUMIF(deals_closed!$D:$D,Calculations!B123,deals_closed!$C:$C)</f>
        <v>747840</v>
      </c>
      <c r="I68" s="5">
        <f>VLOOKUP(E68,'2018_commission_structure'!$A$1:$I$4,9,FALSE)</f>
        <v>600000</v>
      </c>
      <c r="J68" s="9">
        <f t="shared" si="11"/>
        <v>750000</v>
      </c>
      <c r="K68" s="10">
        <f t="shared" si="12"/>
        <v>900000</v>
      </c>
      <c r="L68" s="9">
        <f t="shared" si="13"/>
        <v>1200000</v>
      </c>
      <c r="M68" s="8">
        <f t="shared" si="14"/>
        <v>1.2464</v>
      </c>
      <c r="N68" t="str">
        <f t="shared" si="15"/>
        <v>100-125%</v>
      </c>
      <c r="O68" s="9">
        <f>MIN($H68,$I68)*INDEX('2018_commission_structure'!$A$1:$I$4,MATCH($E68,'2018_commission_structure'!$A$1:$A$4,0),MATCH(O$1,'2018_commission_structure'!$A$1:$I$1,0))</f>
        <v>78000</v>
      </c>
      <c r="P68" s="9">
        <f>IF(H68&gt;I68, MIN(H68-I68, J68-I68)*INDEX('2018_commission_structure'!$A$1:$I$4,MATCH($E68,'2018_commission_structure'!$A$1:$A$4,0),MATCH(P$1,'2018_commission_structure'!$A$1:$I$1,0)),0)</f>
        <v>25132.800000000003</v>
      </c>
      <c r="Q68" s="9">
        <f>IF($H68&gt;J68, MIN($H68-J68, K68-J68)*INDEX('2018_commission_structure'!$A$1:$I$4,MATCH($E68,'2018_commission_structure'!$A$1:$A$4,0),MATCH(Q$1,'2018_commission_structure'!$A$1:$I$1,0)),0)</f>
        <v>0</v>
      </c>
      <c r="R68" s="9">
        <f>IF($H68&gt;K68, MIN($H68-K68, L68-K68)*INDEX('2018_commission_structure'!$A$1:$I$4,MATCH($E68,'2018_commission_structure'!$A$1:$A$4,0),MATCH(R$1,'2018_commission_structure'!$A$1:$I$1,0)),0)</f>
        <v>0</v>
      </c>
      <c r="S68" s="9">
        <f>IF(H68&gt;L68,(H68-L68)*INDEX('2018_commission_structure'!$A$1:$I$4,MATCH($E68,'2018_commission_structure'!$A$1:$A$4,0),MATCH(S$1,'2018_commission_structure'!$A$1:$I$1,0)),0)</f>
        <v>0</v>
      </c>
      <c r="T68" s="9">
        <f t="shared" si="16"/>
        <v>103132.8</v>
      </c>
      <c r="U68" s="9">
        <f t="shared" si="17"/>
        <v>183070.8</v>
      </c>
      <c r="V68" s="9">
        <f>MIN($I68,$H68)*INDEX('Key Metrics'!$E$16:$N$19,MATCH($E68,'Key Metrics'!$E$16:$E$19,0),MATCH(V$1,'Key Metrics'!$E$16:$M$16,0))</f>
        <v>90000</v>
      </c>
      <c r="W68" s="9">
        <f>IF($H68&gt;I68, MIN($H68-I68, J68-I68)*INDEX('Key Metrics'!$E$16:$N$19,MATCH($E68,'Key Metrics'!$E$16:$E$19,0),MATCH(W$1,'Key Metrics'!$E$16:$M$16,0)),0)</f>
        <v>26611.200000000001</v>
      </c>
      <c r="X68" s="9">
        <f>IF($H68&gt;J68, MIN($H68-J68, K68-J68)*INDEX('Key Metrics'!$E$16:$N$19,MATCH($E68,'Key Metrics'!$E$16:$E$19,0),MATCH(X$1,'Key Metrics'!$E$16:$M$16,0)),0)</f>
        <v>0</v>
      </c>
      <c r="Y68" s="9">
        <f>IF($H68&gt;K68, MIN($H68-K68, L68-K68)*INDEX('Key Metrics'!$E$16:$N$19,MATCH($E68,'Key Metrics'!$E$16:$E$19,0),MATCH(Y$1,'Key Metrics'!$E$16:$M$16,0)),0)</f>
        <v>0</v>
      </c>
      <c r="Z68" s="9">
        <f>IF($H68&gt;L68,($H68-L68)*INDEX('Key Metrics'!$E$16:$N$19,MATCH($E68,'Key Metrics'!$E$16:$E$19,0),MATCH(Z$1,'Key Metrics'!$E$16:$M$16,0)),0)</f>
        <v>0</v>
      </c>
      <c r="AA68" s="9">
        <f t="shared" si="18"/>
        <v>116611.2</v>
      </c>
      <c r="AB68" s="9">
        <f t="shared" si="19"/>
        <v>116612.4464</v>
      </c>
    </row>
    <row r="69" spans="1:28" x14ac:dyDescent="0.55000000000000004">
      <c r="A69" t="str">
        <f t="shared" si="10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COUNTIF(deals_closed!$D$2:$D$20001,Calculations!B990)</f>
        <v>33</v>
      </c>
      <c r="H69" s="7">
        <f>SUMIF(deals_closed!$D:$D,Calculations!B990,deals_closed!$C:$C)</f>
        <v>1369014</v>
      </c>
      <c r="I69" s="5">
        <f>VLOOKUP(E69,'2018_commission_structure'!$A$1:$I$4,9,FALSE)</f>
        <v>500000</v>
      </c>
      <c r="J69" s="9">
        <f t="shared" si="11"/>
        <v>625000</v>
      </c>
      <c r="K69" s="10">
        <f t="shared" si="12"/>
        <v>750000</v>
      </c>
      <c r="L69" s="9">
        <f t="shared" si="13"/>
        <v>1000000</v>
      </c>
      <c r="M69" s="8">
        <f t="shared" si="14"/>
        <v>2.7380279999999999</v>
      </c>
      <c r="N69" t="str">
        <f t="shared" si="15"/>
        <v>&gt;200%</v>
      </c>
      <c r="O69" s="9">
        <f>MIN($H69,$I69)*INDEX('2018_commission_structure'!$A$1:$I$4,MATCH($E69,'2018_commission_structure'!$A$1:$A$4,0),MATCH(O$1,'2018_commission_structure'!$A$1:$I$1,0))</f>
        <v>50000</v>
      </c>
      <c r="P69" s="9">
        <f>IF(H69&gt;I69, MIN(H69-I69, J69-I69)*INDEX('2018_commission_structure'!$A$1:$I$4,MATCH($E69,'2018_commission_structure'!$A$1:$A$4,0),MATCH(P$1,'2018_commission_structure'!$A$1:$I$1,0)),0)</f>
        <v>18750</v>
      </c>
      <c r="Q69" s="9">
        <f>IF($H69&gt;J69, MIN($H69-J69, K69-J69)*INDEX('2018_commission_structure'!$A$1:$I$4,MATCH($E69,'2018_commission_structure'!$A$1:$A$4,0),MATCH(Q$1,'2018_commission_structure'!$A$1:$I$1,0)),0)</f>
        <v>22500</v>
      </c>
      <c r="R69" s="9">
        <f>IF($H69&gt;K69, MIN($H69-K69, L69-K69)*INDEX('2018_commission_structure'!$A$1:$I$4,MATCH($E69,'2018_commission_structure'!$A$1:$A$4,0),MATCH(R$1,'2018_commission_structure'!$A$1:$I$1,0)),0)</f>
        <v>55000</v>
      </c>
      <c r="S69" s="9">
        <f>IF(H69&gt;L69,(H69-L69)*INDEX('2018_commission_structure'!$A$1:$I$4,MATCH($E69,'2018_commission_structure'!$A$1:$A$4,0),MATCH(S$1,'2018_commission_structure'!$A$1:$I$1,0)),0)</f>
        <v>36901.4</v>
      </c>
      <c r="T69" s="9">
        <f t="shared" si="16"/>
        <v>183151.4</v>
      </c>
      <c r="U69" s="9">
        <f t="shared" si="17"/>
        <v>242566.39999999999</v>
      </c>
      <c r="V69" s="9">
        <f>MIN($I69,$H69)*INDEX('Key Metrics'!$E$16:$N$19,MATCH($E69,'Key Metrics'!$E$16:$E$19,0),MATCH(V$1,'Key Metrics'!$E$16:$M$16,0))</f>
        <v>60000</v>
      </c>
      <c r="W69" s="9">
        <f>IF($H69&gt;I69, MIN($H69-I69, J69-I69)*INDEX('Key Metrics'!$E$16:$N$19,MATCH($E69,'Key Metrics'!$E$16:$E$19,0),MATCH(W$1,'Key Metrics'!$E$16:$M$16,0)),0)</f>
        <v>21250</v>
      </c>
      <c r="X69" s="9">
        <f>IF($H69&gt;J69, MIN($H69-J69, K69-J69)*INDEX('Key Metrics'!$E$16:$N$19,MATCH($E69,'Key Metrics'!$E$16:$E$19,0),MATCH(X$1,'Key Metrics'!$E$16:$M$16,0)),0)</f>
        <v>25000</v>
      </c>
      <c r="Y69" s="9">
        <f>IF($H69&gt;K69, MIN($H69-K69, L69-K69)*INDEX('Key Metrics'!$E$16:$N$19,MATCH($E69,'Key Metrics'!$E$16:$E$19,0),MATCH(Y$1,'Key Metrics'!$E$16:$M$16,0)),0)</f>
        <v>55000</v>
      </c>
      <c r="Z69" s="9">
        <f>IF($H69&gt;L69,($H69-L69)*INDEX('Key Metrics'!$E$16:$N$19,MATCH($E69,'Key Metrics'!$E$16:$E$19,0),MATCH(Z$1,'Key Metrics'!$E$16:$M$16,0)),0)</f>
        <v>36901.4</v>
      </c>
      <c r="AA69" s="9">
        <f t="shared" si="18"/>
        <v>198151.4</v>
      </c>
      <c r="AB69" s="9">
        <f t="shared" si="19"/>
        <v>198154.13802799999</v>
      </c>
    </row>
    <row r="70" spans="1:28" x14ac:dyDescent="0.55000000000000004">
      <c r="A70" t="str">
        <f t="shared" si="10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COUNTIF(deals_closed!$D$2:$D$20001,Calculations!B192)</f>
        <v>22</v>
      </c>
      <c r="H70" s="7">
        <f>SUMIF(deals_closed!$D:$D,Calculations!B192,deals_closed!$C:$C)</f>
        <v>756417</v>
      </c>
      <c r="I70" s="5">
        <f>VLOOKUP(E70,'2018_commission_structure'!$A$1:$I$4,9,FALSE)</f>
        <v>750000</v>
      </c>
      <c r="J70" s="9">
        <f t="shared" si="11"/>
        <v>937500</v>
      </c>
      <c r="K70" s="10">
        <f t="shared" si="12"/>
        <v>1125000</v>
      </c>
      <c r="L70" s="9">
        <f t="shared" si="13"/>
        <v>1500000</v>
      </c>
      <c r="M70" s="8">
        <f t="shared" si="14"/>
        <v>1.008556</v>
      </c>
      <c r="N70" t="str">
        <f t="shared" si="15"/>
        <v>100-125%</v>
      </c>
      <c r="O70" s="9">
        <f>MIN($H70,$I70)*INDEX('2018_commission_structure'!$A$1:$I$4,MATCH($E70,'2018_commission_structure'!$A$1:$A$4,0),MATCH(O$1,'2018_commission_structure'!$A$1:$I$1,0))</f>
        <v>112500</v>
      </c>
      <c r="P70" s="9">
        <f>IF(H70&gt;I70, MIN(H70-I70, J70-I70)*INDEX('2018_commission_structure'!$A$1:$I$4,MATCH($E70,'2018_commission_structure'!$A$1:$A$4,0),MATCH(P$1,'2018_commission_structure'!$A$1:$I$1,0)),0)</f>
        <v>1219.23</v>
      </c>
      <c r="Q70" s="9">
        <f>IF($H70&gt;J70, MIN($H70-J70, K70-J70)*INDEX('2018_commission_structure'!$A$1:$I$4,MATCH($E70,'2018_commission_structure'!$A$1:$A$4,0),MATCH(Q$1,'2018_commission_structure'!$A$1:$I$1,0)),0)</f>
        <v>0</v>
      </c>
      <c r="R70" s="9">
        <f>IF($H70&gt;K70, MIN($H70-K70, L70-K70)*INDEX('2018_commission_structure'!$A$1:$I$4,MATCH($E70,'2018_commission_structure'!$A$1:$A$4,0),MATCH(R$1,'2018_commission_structure'!$A$1:$I$1,0)),0)</f>
        <v>0</v>
      </c>
      <c r="S70" s="9">
        <f>IF(H70&gt;L70,(H70-L70)*INDEX('2018_commission_structure'!$A$1:$I$4,MATCH($E70,'2018_commission_structure'!$A$1:$A$4,0),MATCH(S$1,'2018_commission_structure'!$A$1:$I$1,0)),0)</f>
        <v>0</v>
      </c>
      <c r="T70" s="9">
        <f t="shared" si="16"/>
        <v>113719.23</v>
      </c>
      <c r="U70" s="9">
        <f t="shared" si="17"/>
        <v>224133.22999999998</v>
      </c>
      <c r="V70" s="9">
        <f>MIN($I70,$H70)*INDEX('Key Metrics'!$E$16:$N$19,MATCH($E70,'Key Metrics'!$E$16:$E$19,0),MATCH(V$1,'Key Metrics'!$E$16:$M$16,0))</f>
        <v>112500</v>
      </c>
      <c r="W70" s="9">
        <f>IF($H70&gt;I70, MIN($H70-I70, J70-I70)*INDEX('Key Metrics'!$E$16:$N$19,MATCH($E70,'Key Metrics'!$E$16:$E$19,0),MATCH(W$1,'Key Metrics'!$E$16:$M$16,0)),0)</f>
        <v>1411.74</v>
      </c>
      <c r="X70" s="9">
        <f>IF($H70&gt;J70, MIN($H70-J70, K70-J70)*INDEX('Key Metrics'!$E$16:$N$19,MATCH($E70,'Key Metrics'!$E$16:$E$19,0),MATCH(X$1,'Key Metrics'!$E$16:$M$16,0)),0)</f>
        <v>0</v>
      </c>
      <c r="Y70" s="9">
        <f>IF($H70&gt;K70, MIN($H70-K70, L70-K70)*INDEX('Key Metrics'!$E$16:$N$19,MATCH($E70,'Key Metrics'!$E$16:$E$19,0),MATCH(Y$1,'Key Metrics'!$E$16:$M$16,0)),0)</f>
        <v>0</v>
      </c>
      <c r="Z70" s="9">
        <f>IF($H70&gt;L70,($H70-L70)*INDEX('Key Metrics'!$E$16:$N$19,MATCH($E70,'Key Metrics'!$E$16:$E$19,0),MATCH(Z$1,'Key Metrics'!$E$16:$M$16,0)),0)</f>
        <v>0</v>
      </c>
      <c r="AA70" s="9">
        <f t="shared" si="18"/>
        <v>113911.74</v>
      </c>
      <c r="AB70" s="9">
        <f t="shared" si="19"/>
        <v>113912.74855600001</v>
      </c>
    </row>
    <row r="71" spans="1:28" x14ac:dyDescent="0.55000000000000004">
      <c r="A71" t="str">
        <f t="shared" si="10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COUNTIF(deals_closed!$D$2:$D$20001,Calculations!B241)</f>
        <v>15</v>
      </c>
      <c r="H71" s="7">
        <f>SUMIF(deals_closed!$D:$D,Calculations!B241,deals_closed!$C:$C)</f>
        <v>488228</v>
      </c>
      <c r="I71" s="5">
        <f>VLOOKUP(E71,'2018_commission_structure'!$A$1:$I$4,9,FALSE)</f>
        <v>750000</v>
      </c>
      <c r="J71" s="9">
        <f t="shared" si="11"/>
        <v>937500</v>
      </c>
      <c r="K71" s="10">
        <f t="shared" si="12"/>
        <v>1125000</v>
      </c>
      <c r="L71" s="9">
        <f t="shared" si="13"/>
        <v>1500000</v>
      </c>
      <c r="M71" s="8">
        <f t="shared" si="14"/>
        <v>0.6509706666666667</v>
      </c>
      <c r="N71" t="str">
        <f t="shared" si="15"/>
        <v>0-100%</v>
      </c>
      <c r="O71" s="9">
        <f>MIN($H71,$I71)*INDEX('2018_commission_structure'!$A$1:$I$4,MATCH($E71,'2018_commission_structure'!$A$1:$A$4,0),MATCH(O$1,'2018_commission_structure'!$A$1:$I$1,0))</f>
        <v>73234.2</v>
      </c>
      <c r="P71" s="9">
        <f>IF(H71&gt;I71, MIN(H71-I71, J71-I71)*INDEX('2018_commission_structure'!$A$1:$I$4,MATCH($E71,'2018_commission_structure'!$A$1:$A$4,0),MATCH(P$1,'2018_commission_structure'!$A$1:$I$1,0)),0)</f>
        <v>0</v>
      </c>
      <c r="Q71" s="9">
        <f>IF($H71&gt;J71, MIN($H71-J71, K71-J71)*INDEX('2018_commission_structure'!$A$1:$I$4,MATCH($E71,'2018_commission_structure'!$A$1:$A$4,0),MATCH(Q$1,'2018_commission_structure'!$A$1:$I$1,0)),0)</f>
        <v>0</v>
      </c>
      <c r="R71" s="9">
        <f>IF($H71&gt;K71, MIN($H71-K71, L71-K71)*INDEX('2018_commission_structure'!$A$1:$I$4,MATCH($E71,'2018_commission_structure'!$A$1:$A$4,0),MATCH(R$1,'2018_commission_structure'!$A$1:$I$1,0)),0)</f>
        <v>0</v>
      </c>
      <c r="S71" s="9">
        <f>IF(H71&gt;L71,(H71-L71)*INDEX('2018_commission_structure'!$A$1:$I$4,MATCH($E71,'2018_commission_structure'!$A$1:$A$4,0),MATCH(S$1,'2018_commission_structure'!$A$1:$I$1,0)),0)</f>
        <v>0</v>
      </c>
      <c r="T71" s="9">
        <f t="shared" si="16"/>
        <v>73234.2</v>
      </c>
      <c r="U71" s="9">
        <f t="shared" si="17"/>
        <v>172239.2</v>
      </c>
      <c r="V71" s="9">
        <f>MIN($I71,$H71)*INDEX('Key Metrics'!$E$16:$N$19,MATCH($E71,'Key Metrics'!$E$16:$E$19,0),MATCH(V$1,'Key Metrics'!$E$16:$M$16,0))</f>
        <v>73234.2</v>
      </c>
      <c r="W71" s="9">
        <f>IF($H71&gt;I71, MIN($H71-I71, J71-I71)*INDEX('Key Metrics'!$E$16:$N$19,MATCH($E71,'Key Metrics'!$E$16:$E$19,0),MATCH(W$1,'Key Metrics'!$E$16:$M$16,0)),0)</f>
        <v>0</v>
      </c>
      <c r="X71" s="9">
        <f>IF($H71&gt;J71, MIN($H71-J71, K71-J71)*INDEX('Key Metrics'!$E$16:$N$19,MATCH($E71,'Key Metrics'!$E$16:$E$19,0),MATCH(X$1,'Key Metrics'!$E$16:$M$16,0)),0)</f>
        <v>0</v>
      </c>
      <c r="Y71" s="9">
        <f>IF($H71&gt;K71, MIN($H71-K71, L71-K71)*INDEX('Key Metrics'!$E$16:$N$19,MATCH($E71,'Key Metrics'!$E$16:$E$19,0),MATCH(Y$1,'Key Metrics'!$E$16:$M$16,0)),0)</f>
        <v>0</v>
      </c>
      <c r="Z71" s="9">
        <f>IF($H71&gt;L71,($H71-L71)*INDEX('Key Metrics'!$E$16:$N$19,MATCH($E71,'Key Metrics'!$E$16:$E$19,0),MATCH(Z$1,'Key Metrics'!$E$16:$M$16,0)),0)</f>
        <v>0</v>
      </c>
      <c r="AA71" s="9">
        <f t="shared" si="18"/>
        <v>73234.2</v>
      </c>
      <c r="AB71" s="9">
        <f t="shared" si="19"/>
        <v>73234.850970666666</v>
      </c>
    </row>
    <row r="72" spans="1:28" x14ac:dyDescent="0.55000000000000004">
      <c r="A72" t="str">
        <f t="shared" si="10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COUNTIF(deals_closed!$D$2:$D$20001,Calculations!B289)</f>
        <v>9</v>
      </c>
      <c r="H72" s="7">
        <f>SUMIF(deals_closed!$D:$D,Calculations!B289,deals_closed!$C:$C)</f>
        <v>317530</v>
      </c>
      <c r="I72" s="5">
        <f>VLOOKUP(E72,'2018_commission_structure'!$A$1:$I$4,9,FALSE)</f>
        <v>600000</v>
      </c>
      <c r="J72" s="9">
        <f t="shared" si="11"/>
        <v>750000</v>
      </c>
      <c r="K72" s="10">
        <f t="shared" si="12"/>
        <v>900000</v>
      </c>
      <c r="L72" s="9">
        <f t="shared" si="13"/>
        <v>1200000</v>
      </c>
      <c r="M72" s="8">
        <f t="shared" si="14"/>
        <v>0.52921666666666667</v>
      </c>
      <c r="N72" t="str">
        <f t="shared" si="15"/>
        <v>0-100%</v>
      </c>
      <c r="O72" s="9">
        <f>MIN($H72,$I72)*INDEX('2018_commission_structure'!$A$1:$I$4,MATCH($E72,'2018_commission_structure'!$A$1:$A$4,0),MATCH(O$1,'2018_commission_structure'!$A$1:$I$1,0))</f>
        <v>41278.9</v>
      </c>
      <c r="P72" s="9">
        <f>IF(H72&gt;I72, MIN(H72-I72, J72-I72)*INDEX('2018_commission_structure'!$A$1:$I$4,MATCH($E72,'2018_commission_structure'!$A$1:$A$4,0),MATCH(P$1,'2018_commission_structure'!$A$1:$I$1,0)),0)</f>
        <v>0</v>
      </c>
      <c r="Q72" s="9">
        <f>IF($H72&gt;J72, MIN($H72-J72, K72-J72)*INDEX('2018_commission_structure'!$A$1:$I$4,MATCH($E72,'2018_commission_structure'!$A$1:$A$4,0),MATCH(Q$1,'2018_commission_structure'!$A$1:$I$1,0)),0)</f>
        <v>0</v>
      </c>
      <c r="R72" s="9">
        <f>IF($H72&gt;K72, MIN($H72-K72, L72-K72)*INDEX('2018_commission_structure'!$A$1:$I$4,MATCH($E72,'2018_commission_structure'!$A$1:$A$4,0),MATCH(R$1,'2018_commission_structure'!$A$1:$I$1,0)),0)</f>
        <v>0</v>
      </c>
      <c r="S72" s="9">
        <f>IF(H72&gt;L72,(H72-L72)*INDEX('2018_commission_structure'!$A$1:$I$4,MATCH($E72,'2018_commission_structure'!$A$1:$A$4,0),MATCH(S$1,'2018_commission_structure'!$A$1:$I$1,0)),0)</f>
        <v>0</v>
      </c>
      <c r="T72" s="9">
        <f t="shared" si="16"/>
        <v>41278.9</v>
      </c>
      <c r="U72" s="9">
        <f t="shared" si="17"/>
        <v>102753.9</v>
      </c>
      <c r="V72" s="9">
        <f>MIN($I72,$H72)*INDEX('Key Metrics'!$E$16:$N$19,MATCH($E72,'Key Metrics'!$E$16:$E$19,0),MATCH(V$1,'Key Metrics'!$E$16:$M$16,0))</f>
        <v>47629.5</v>
      </c>
      <c r="W72" s="9">
        <f>IF($H72&gt;I72, MIN($H72-I72, J72-I72)*INDEX('Key Metrics'!$E$16:$N$19,MATCH($E72,'Key Metrics'!$E$16:$E$19,0),MATCH(W$1,'Key Metrics'!$E$16:$M$16,0)),0)</f>
        <v>0</v>
      </c>
      <c r="X72" s="9">
        <f>IF($H72&gt;J72, MIN($H72-J72, K72-J72)*INDEX('Key Metrics'!$E$16:$N$19,MATCH($E72,'Key Metrics'!$E$16:$E$19,0),MATCH(X$1,'Key Metrics'!$E$16:$M$16,0)),0)</f>
        <v>0</v>
      </c>
      <c r="Y72" s="9">
        <f>IF($H72&gt;K72, MIN($H72-K72, L72-K72)*INDEX('Key Metrics'!$E$16:$N$19,MATCH($E72,'Key Metrics'!$E$16:$E$19,0),MATCH(Y$1,'Key Metrics'!$E$16:$M$16,0)),0)</f>
        <v>0</v>
      </c>
      <c r="Z72" s="9">
        <f>IF($H72&gt;L72,($H72-L72)*INDEX('Key Metrics'!$E$16:$N$19,MATCH($E72,'Key Metrics'!$E$16:$E$19,0),MATCH(Z$1,'Key Metrics'!$E$16:$M$16,0)),0)</f>
        <v>0</v>
      </c>
      <c r="AA72" s="9">
        <f t="shared" si="18"/>
        <v>47629.5</v>
      </c>
      <c r="AB72" s="9">
        <f t="shared" si="19"/>
        <v>47630.02921666667</v>
      </c>
    </row>
    <row r="73" spans="1:28" x14ac:dyDescent="0.55000000000000004">
      <c r="A73" t="str">
        <f t="shared" si="10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COUNTIF(deals_closed!$D$2:$D$20001,Calculations!B677)</f>
        <v>18</v>
      </c>
      <c r="H73" s="7">
        <f>SUMIF(deals_closed!$D:$D,Calculations!B677,deals_closed!$C:$C)</f>
        <v>615212</v>
      </c>
      <c r="I73" s="5">
        <f>VLOOKUP(E73,'2018_commission_structure'!$A$1:$I$4,9,FALSE)</f>
        <v>600000</v>
      </c>
      <c r="J73" s="9">
        <f t="shared" si="11"/>
        <v>750000</v>
      </c>
      <c r="K73" s="10">
        <f t="shared" si="12"/>
        <v>900000</v>
      </c>
      <c r="L73" s="9">
        <f t="shared" si="13"/>
        <v>1200000</v>
      </c>
      <c r="M73" s="8">
        <f t="shared" si="14"/>
        <v>1.0253533333333333</v>
      </c>
      <c r="N73" t="str">
        <f t="shared" si="15"/>
        <v>100-125%</v>
      </c>
      <c r="O73" s="9">
        <f>MIN($H73,$I73)*INDEX('2018_commission_structure'!$A$1:$I$4,MATCH($E73,'2018_commission_structure'!$A$1:$A$4,0),MATCH(O$1,'2018_commission_structure'!$A$1:$I$1,0))</f>
        <v>78000</v>
      </c>
      <c r="P73" s="9">
        <f>IF(H73&gt;I73, MIN(H73-I73, J73-I73)*INDEX('2018_commission_structure'!$A$1:$I$4,MATCH($E73,'2018_commission_structure'!$A$1:$A$4,0),MATCH(P$1,'2018_commission_structure'!$A$1:$I$1,0)),0)</f>
        <v>2586.04</v>
      </c>
      <c r="Q73" s="9">
        <f>IF($H73&gt;J73, MIN($H73-J73, K73-J73)*INDEX('2018_commission_structure'!$A$1:$I$4,MATCH($E73,'2018_commission_structure'!$A$1:$A$4,0),MATCH(Q$1,'2018_commission_structure'!$A$1:$I$1,0)),0)</f>
        <v>0</v>
      </c>
      <c r="R73" s="9">
        <f>IF($H73&gt;K73, MIN($H73-K73, L73-K73)*INDEX('2018_commission_structure'!$A$1:$I$4,MATCH($E73,'2018_commission_structure'!$A$1:$A$4,0),MATCH(R$1,'2018_commission_structure'!$A$1:$I$1,0)),0)</f>
        <v>0</v>
      </c>
      <c r="S73" s="9">
        <f>IF(H73&gt;L73,(H73-L73)*INDEX('2018_commission_structure'!$A$1:$I$4,MATCH($E73,'2018_commission_structure'!$A$1:$A$4,0),MATCH(S$1,'2018_commission_structure'!$A$1:$I$1,0)),0)</f>
        <v>0</v>
      </c>
      <c r="T73" s="9">
        <f t="shared" si="16"/>
        <v>80586.039999999994</v>
      </c>
      <c r="U73" s="9">
        <f t="shared" si="17"/>
        <v>151195.03999999998</v>
      </c>
      <c r="V73" s="9">
        <f>MIN($I73,$H73)*INDEX('Key Metrics'!$E$16:$N$19,MATCH($E73,'Key Metrics'!$E$16:$E$19,0),MATCH(V$1,'Key Metrics'!$E$16:$M$16,0))</f>
        <v>90000</v>
      </c>
      <c r="W73" s="9">
        <f>IF($H73&gt;I73, MIN($H73-I73, J73-I73)*INDEX('Key Metrics'!$E$16:$N$19,MATCH($E73,'Key Metrics'!$E$16:$E$19,0),MATCH(W$1,'Key Metrics'!$E$16:$M$16,0)),0)</f>
        <v>2738.16</v>
      </c>
      <c r="X73" s="9">
        <f>IF($H73&gt;J73, MIN($H73-J73, K73-J73)*INDEX('Key Metrics'!$E$16:$N$19,MATCH($E73,'Key Metrics'!$E$16:$E$19,0),MATCH(X$1,'Key Metrics'!$E$16:$M$16,0)),0)</f>
        <v>0</v>
      </c>
      <c r="Y73" s="9">
        <f>IF($H73&gt;K73, MIN($H73-K73, L73-K73)*INDEX('Key Metrics'!$E$16:$N$19,MATCH($E73,'Key Metrics'!$E$16:$E$19,0),MATCH(Y$1,'Key Metrics'!$E$16:$M$16,0)),0)</f>
        <v>0</v>
      </c>
      <c r="Z73" s="9">
        <f>IF($H73&gt;L73,($H73-L73)*INDEX('Key Metrics'!$E$16:$N$19,MATCH($E73,'Key Metrics'!$E$16:$E$19,0),MATCH(Z$1,'Key Metrics'!$E$16:$M$16,0)),0)</f>
        <v>0</v>
      </c>
      <c r="AA73" s="9">
        <f t="shared" si="18"/>
        <v>92738.16</v>
      </c>
      <c r="AB73" s="9">
        <f t="shared" si="19"/>
        <v>92739.185353333334</v>
      </c>
    </row>
    <row r="74" spans="1:28" x14ac:dyDescent="0.55000000000000004">
      <c r="A74" t="str">
        <f t="shared" si="10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COUNTIF(deals_closed!$D$2:$D$20001,Calculations!B459)</f>
        <v>25</v>
      </c>
      <c r="H74" s="7">
        <f>SUMIF(deals_closed!$D:$D,Calculations!B459,deals_closed!$C:$C)</f>
        <v>880318</v>
      </c>
      <c r="I74" s="5">
        <f>VLOOKUP(E74,'2018_commission_structure'!$A$1:$I$4,9,FALSE)</f>
        <v>500000</v>
      </c>
      <c r="J74" s="9">
        <f t="shared" si="11"/>
        <v>625000</v>
      </c>
      <c r="K74" s="10">
        <f t="shared" si="12"/>
        <v>750000</v>
      </c>
      <c r="L74" s="9">
        <f t="shared" si="13"/>
        <v>1000000</v>
      </c>
      <c r="M74" s="8">
        <f t="shared" si="14"/>
        <v>1.7606360000000001</v>
      </c>
      <c r="N74" t="str">
        <f t="shared" si="15"/>
        <v>150-200%</v>
      </c>
      <c r="O74" s="9">
        <f>MIN($H74,$I74)*INDEX('2018_commission_structure'!$A$1:$I$4,MATCH($E74,'2018_commission_structure'!$A$1:$A$4,0),MATCH(O$1,'2018_commission_structure'!$A$1:$I$1,0))</f>
        <v>50000</v>
      </c>
      <c r="P74" s="9">
        <f>IF(H74&gt;I74, MIN(H74-I74, J74-I74)*INDEX('2018_commission_structure'!$A$1:$I$4,MATCH($E74,'2018_commission_structure'!$A$1:$A$4,0),MATCH(P$1,'2018_commission_structure'!$A$1:$I$1,0)),0)</f>
        <v>18750</v>
      </c>
      <c r="Q74" s="9">
        <f>IF($H74&gt;J74, MIN($H74-J74, K74-J74)*INDEX('2018_commission_structure'!$A$1:$I$4,MATCH($E74,'2018_commission_structure'!$A$1:$A$4,0),MATCH(Q$1,'2018_commission_structure'!$A$1:$I$1,0)),0)</f>
        <v>22500</v>
      </c>
      <c r="R74" s="9">
        <f>IF($H74&gt;K74, MIN($H74-K74, L74-K74)*INDEX('2018_commission_structure'!$A$1:$I$4,MATCH($E74,'2018_commission_structure'!$A$1:$A$4,0),MATCH(R$1,'2018_commission_structure'!$A$1:$I$1,0)),0)</f>
        <v>28669.96</v>
      </c>
      <c r="S74" s="9">
        <f>IF(H74&gt;L74,(H74-L74)*INDEX('2018_commission_structure'!$A$1:$I$4,MATCH($E74,'2018_commission_structure'!$A$1:$A$4,0),MATCH(S$1,'2018_commission_structure'!$A$1:$I$1,0)),0)</f>
        <v>0</v>
      </c>
      <c r="T74" s="9">
        <f t="shared" si="16"/>
        <v>119919.95999999999</v>
      </c>
      <c r="U74" s="9">
        <f t="shared" si="17"/>
        <v>167750.96</v>
      </c>
      <c r="V74" s="9">
        <f>MIN($I74,$H74)*INDEX('Key Metrics'!$E$16:$N$19,MATCH($E74,'Key Metrics'!$E$16:$E$19,0),MATCH(V$1,'Key Metrics'!$E$16:$M$16,0))</f>
        <v>60000</v>
      </c>
      <c r="W74" s="9">
        <f>IF($H74&gt;I74, MIN($H74-I74, J74-I74)*INDEX('Key Metrics'!$E$16:$N$19,MATCH($E74,'Key Metrics'!$E$16:$E$19,0),MATCH(W$1,'Key Metrics'!$E$16:$M$16,0)),0)</f>
        <v>21250</v>
      </c>
      <c r="X74" s="9">
        <f>IF($H74&gt;J74, MIN($H74-J74, K74-J74)*INDEX('Key Metrics'!$E$16:$N$19,MATCH($E74,'Key Metrics'!$E$16:$E$19,0),MATCH(X$1,'Key Metrics'!$E$16:$M$16,0)),0)</f>
        <v>25000</v>
      </c>
      <c r="Y74" s="9">
        <f>IF($H74&gt;K74, MIN($H74-K74, L74-K74)*INDEX('Key Metrics'!$E$16:$N$19,MATCH($E74,'Key Metrics'!$E$16:$E$19,0),MATCH(Y$1,'Key Metrics'!$E$16:$M$16,0)),0)</f>
        <v>28669.96</v>
      </c>
      <c r="Z74" s="9">
        <f>IF($H74&gt;L74,($H74-L74)*INDEX('Key Metrics'!$E$16:$N$19,MATCH($E74,'Key Metrics'!$E$16:$E$19,0),MATCH(Z$1,'Key Metrics'!$E$16:$M$16,0)),0)</f>
        <v>0</v>
      </c>
      <c r="AA74" s="9">
        <f t="shared" si="18"/>
        <v>134919.96</v>
      </c>
      <c r="AB74" s="9">
        <f t="shared" si="19"/>
        <v>134921.72063599998</v>
      </c>
    </row>
    <row r="75" spans="1:28" x14ac:dyDescent="0.55000000000000004">
      <c r="A75" t="str">
        <f t="shared" si="10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COUNTIF(deals_closed!$D$2:$D$20001,Calculations!B93)</f>
        <v>16</v>
      </c>
      <c r="H75" s="7">
        <f>SUMIF(deals_closed!$D:$D,Calculations!B93,deals_closed!$C:$C)</f>
        <v>540953</v>
      </c>
      <c r="I75" s="5">
        <f>VLOOKUP(E75,'2018_commission_structure'!$A$1:$I$4,9,FALSE)</f>
        <v>750000</v>
      </c>
      <c r="J75" s="9">
        <f t="shared" si="11"/>
        <v>937500</v>
      </c>
      <c r="K75" s="10">
        <f t="shared" si="12"/>
        <v>1125000</v>
      </c>
      <c r="L75" s="9">
        <f t="shared" si="13"/>
        <v>1500000</v>
      </c>
      <c r="M75" s="8">
        <f t="shared" si="14"/>
        <v>0.72127066666666662</v>
      </c>
      <c r="N75" t="str">
        <f t="shared" si="15"/>
        <v>0-100%</v>
      </c>
      <c r="O75" s="9">
        <f>MIN($H75,$I75)*INDEX('2018_commission_structure'!$A$1:$I$4,MATCH($E75,'2018_commission_structure'!$A$1:$A$4,0),MATCH(O$1,'2018_commission_structure'!$A$1:$I$1,0))</f>
        <v>81142.95</v>
      </c>
      <c r="P75" s="9">
        <f>IF(H75&gt;I75, MIN(H75-I75, J75-I75)*INDEX('2018_commission_structure'!$A$1:$I$4,MATCH($E75,'2018_commission_structure'!$A$1:$A$4,0),MATCH(P$1,'2018_commission_structure'!$A$1:$I$1,0)),0)</f>
        <v>0</v>
      </c>
      <c r="Q75" s="9">
        <f>IF($H75&gt;J75, MIN($H75-J75, K75-J75)*INDEX('2018_commission_structure'!$A$1:$I$4,MATCH($E75,'2018_commission_structure'!$A$1:$A$4,0),MATCH(Q$1,'2018_commission_structure'!$A$1:$I$1,0)),0)</f>
        <v>0</v>
      </c>
      <c r="R75" s="9">
        <f>IF($H75&gt;K75, MIN($H75-K75, L75-K75)*INDEX('2018_commission_structure'!$A$1:$I$4,MATCH($E75,'2018_commission_structure'!$A$1:$A$4,0),MATCH(R$1,'2018_commission_structure'!$A$1:$I$1,0)),0)</f>
        <v>0</v>
      </c>
      <c r="S75" s="9">
        <f>IF(H75&gt;L75,(H75-L75)*INDEX('2018_commission_structure'!$A$1:$I$4,MATCH($E75,'2018_commission_structure'!$A$1:$A$4,0),MATCH(S$1,'2018_commission_structure'!$A$1:$I$1,0)),0)</f>
        <v>0</v>
      </c>
      <c r="T75" s="9">
        <f t="shared" si="16"/>
        <v>81142.95</v>
      </c>
      <c r="U75" s="9">
        <f t="shared" si="17"/>
        <v>191853.95</v>
      </c>
      <c r="V75" s="9">
        <f>MIN($I75,$H75)*INDEX('Key Metrics'!$E$16:$N$19,MATCH($E75,'Key Metrics'!$E$16:$E$19,0),MATCH(V$1,'Key Metrics'!$E$16:$M$16,0))</f>
        <v>81142.95</v>
      </c>
      <c r="W75" s="9">
        <f>IF($H75&gt;I75, MIN($H75-I75, J75-I75)*INDEX('Key Metrics'!$E$16:$N$19,MATCH($E75,'Key Metrics'!$E$16:$E$19,0),MATCH(W$1,'Key Metrics'!$E$16:$M$16,0)),0)</f>
        <v>0</v>
      </c>
      <c r="X75" s="9">
        <f>IF($H75&gt;J75, MIN($H75-J75, K75-J75)*INDEX('Key Metrics'!$E$16:$N$19,MATCH($E75,'Key Metrics'!$E$16:$E$19,0),MATCH(X$1,'Key Metrics'!$E$16:$M$16,0)),0)</f>
        <v>0</v>
      </c>
      <c r="Y75" s="9">
        <f>IF($H75&gt;K75, MIN($H75-K75, L75-K75)*INDEX('Key Metrics'!$E$16:$N$19,MATCH($E75,'Key Metrics'!$E$16:$E$19,0),MATCH(Y$1,'Key Metrics'!$E$16:$M$16,0)),0)</f>
        <v>0</v>
      </c>
      <c r="Z75" s="9">
        <f>IF($H75&gt;L75,($H75-L75)*INDEX('Key Metrics'!$E$16:$N$19,MATCH($E75,'Key Metrics'!$E$16:$E$19,0),MATCH(Z$1,'Key Metrics'!$E$16:$M$16,0)),0)</f>
        <v>0</v>
      </c>
      <c r="AA75" s="9">
        <f t="shared" si="18"/>
        <v>81142.95</v>
      </c>
      <c r="AB75" s="9">
        <f t="shared" si="19"/>
        <v>81143.671270666659</v>
      </c>
    </row>
    <row r="76" spans="1:28" x14ac:dyDescent="0.55000000000000004">
      <c r="A76" t="str">
        <f t="shared" si="10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COUNTIF(deals_closed!$D$2:$D$20001,Calculations!B576)</f>
        <v>21</v>
      </c>
      <c r="H76" s="7">
        <f>SUMIF(deals_closed!$D:$D,Calculations!B576,deals_closed!$C:$C)</f>
        <v>750884</v>
      </c>
      <c r="I76" s="5">
        <f>VLOOKUP(E76,'2018_commission_structure'!$A$1:$I$4,9,FALSE)</f>
        <v>500000</v>
      </c>
      <c r="J76" s="9">
        <f t="shared" si="11"/>
        <v>625000</v>
      </c>
      <c r="K76" s="10">
        <f t="shared" si="12"/>
        <v>750000</v>
      </c>
      <c r="L76" s="9">
        <f t="shared" si="13"/>
        <v>1000000</v>
      </c>
      <c r="M76" s="8">
        <f t="shared" si="14"/>
        <v>1.501768</v>
      </c>
      <c r="N76" t="str">
        <f t="shared" si="15"/>
        <v>150-200%</v>
      </c>
      <c r="O76" s="9">
        <f>MIN($H76,$I76)*INDEX('2018_commission_structure'!$A$1:$I$4,MATCH($E76,'2018_commission_structure'!$A$1:$A$4,0),MATCH(O$1,'2018_commission_structure'!$A$1:$I$1,0))</f>
        <v>50000</v>
      </c>
      <c r="P76" s="9">
        <f>IF(H76&gt;I76, MIN(H76-I76, J76-I76)*INDEX('2018_commission_structure'!$A$1:$I$4,MATCH($E76,'2018_commission_structure'!$A$1:$A$4,0),MATCH(P$1,'2018_commission_structure'!$A$1:$I$1,0)),0)</f>
        <v>18750</v>
      </c>
      <c r="Q76" s="9">
        <f>IF($H76&gt;J76, MIN($H76-J76, K76-J76)*INDEX('2018_commission_structure'!$A$1:$I$4,MATCH($E76,'2018_commission_structure'!$A$1:$A$4,0),MATCH(Q$1,'2018_commission_structure'!$A$1:$I$1,0)),0)</f>
        <v>22500</v>
      </c>
      <c r="R76" s="9">
        <f>IF($H76&gt;K76, MIN($H76-K76, L76-K76)*INDEX('2018_commission_structure'!$A$1:$I$4,MATCH($E76,'2018_commission_structure'!$A$1:$A$4,0),MATCH(R$1,'2018_commission_structure'!$A$1:$I$1,0)),0)</f>
        <v>194.48</v>
      </c>
      <c r="S76" s="9">
        <f>IF(H76&gt;L76,(H76-L76)*INDEX('2018_commission_structure'!$A$1:$I$4,MATCH($E76,'2018_commission_structure'!$A$1:$A$4,0),MATCH(S$1,'2018_commission_structure'!$A$1:$I$1,0)),0)</f>
        <v>0</v>
      </c>
      <c r="T76" s="9">
        <f t="shared" si="16"/>
        <v>91444.479999999996</v>
      </c>
      <c r="U76" s="9">
        <f t="shared" si="17"/>
        <v>155379.47999999998</v>
      </c>
      <c r="V76" s="9">
        <f>MIN($I76,$H76)*INDEX('Key Metrics'!$E$16:$N$19,MATCH($E76,'Key Metrics'!$E$16:$E$19,0),MATCH(V$1,'Key Metrics'!$E$16:$M$16,0))</f>
        <v>60000</v>
      </c>
      <c r="W76" s="9">
        <f>IF($H76&gt;I76, MIN($H76-I76, J76-I76)*INDEX('Key Metrics'!$E$16:$N$19,MATCH($E76,'Key Metrics'!$E$16:$E$19,0),MATCH(W$1,'Key Metrics'!$E$16:$M$16,0)),0)</f>
        <v>21250</v>
      </c>
      <c r="X76" s="9">
        <f>IF($H76&gt;J76, MIN($H76-J76, K76-J76)*INDEX('Key Metrics'!$E$16:$N$19,MATCH($E76,'Key Metrics'!$E$16:$E$19,0),MATCH(X$1,'Key Metrics'!$E$16:$M$16,0)),0)</f>
        <v>25000</v>
      </c>
      <c r="Y76" s="9">
        <f>IF($H76&gt;K76, MIN($H76-K76, L76-K76)*INDEX('Key Metrics'!$E$16:$N$19,MATCH($E76,'Key Metrics'!$E$16:$E$19,0),MATCH(Y$1,'Key Metrics'!$E$16:$M$16,0)),0)</f>
        <v>194.48</v>
      </c>
      <c r="Z76" s="9">
        <f>IF($H76&gt;L76,($H76-L76)*INDEX('Key Metrics'!$E$16:$N$19,MATCH($E76,'Key Metrics'!$E$16:$E$19,0),MATCH(Z$1,'Key Metrics'!$E$16:$M$16,0)),0)</f>
        <v>0</v>
      </c>
      <c r="AA76" s="9">
        <f t="shared" si="18"/>
        <v>106444.48</v>
      </c>
      <c r="AB76" s="9">
        <f t="shared" si="19"/>
        <v>106445.981768</v>
      </c>
    </row>
    <row r="77" spans="1:28" x14ac:dyDescent="0.55000000000000004">
      <c r="A77" t="str">
        <f t="shared" si="10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COUNTIF(deals_closed!$D$2:$D$20001,Calculations!B270)</f>
        <v>25</v>
      </c>
      <c r="H77" s="7">
        <f>SUMIF(deals_closed!$D:$D,Calculations!B270,deals_closed!$C:$C)</f>
        <v>864106</v>
      </c>
      <c r="I77" s="5">
        <f>VLOOKUP(E77,'2018_commission_structure'!$A$1:$I$4,9,FALSE)</f>
        <v>500000</v>
      </c>
      <c r="J77" s="9">
        <f t="shared" si="11"/>
        <v>625000</v>
      </c>
      <c r="K77" s="10">
        <f t="shared" si="12"/>
        <v>750000</v>
      </c>
      <c r="L77" s="9">
        <f t="shared" si="13"/>
        <v>1000000</v>
      </c>
      <c r="M77" s="8">
        <f t="shared" si="14"/>
        <v>1.7282120000000001</v>
      </c>
      <c r="N77" t="str">
        <f t="shared" si="15"/>
        <v>150-200%</v>
      </c>
      <c r="O77" s="9">
        <f>MIN($H77,$I77)*INDEX('2018_commission_structure'!$A$1:$I$4,MATCH($E77,'2018_commission_structure'!$A$1:$A$4,0),MATCH(O$1,'2018_commission_structure'!$A$1:$I$1,0))</f>
        <v>50000</v>
      </c>
      <c r="P77" s="9">
        <f>IF(H77&gt;I77, MIN(H77-I77, J77-I77)*INDEX('2018_commission_structure'!$A$1:$I$4,MATCH($E77,'2018_commission_structure'!$A$1:$A$4,0),MATCH(P$1,'2018_commission_structure'!$A$1:$I$1,0)),0)</f>
        <v>18750</v>
      </c>
      <c r="Q77" s="9">
        <f>IF($H77&gt;J77, MIN($H77-J77, K77-J77)*INDEX('2018_commission_structure'!$A$1:$I$4,MATCH($E77,'2018_commission_structure'!$A$1:$A$4,0),MATCH(Q$1,'2018_commission_structure'!$A$1:$I$1,0)),0)</f>
        <v>22500</v>
      </c>
      <c r="R77" s="9">
        <f>IF($H77&gt;K77, MIN($H77-K77, L77-K77)*INDEX('2018_commission_structure'!$A$1:$I$4,MATCH($E77,'2018_commission_structure'!$A$1:$A$4,0),MATCH(R$1,'2018_commission_structure'!$A$1:$I$1,0)),0)</f>
        <v>25103.32</v>
      </c>
      <c r="S77" s="9">
        <f>IF(H77&gt;L77,(H77-L77)*INDEX('2018_commission_structure'!$A$1:$I$4,MATCH($E77,'2018_commission_structure'!$A$1:$A$4,0),MATCH(S$1,'2018_commission_structure'!$A$1:$I$1,0)),0)</f>
        <v>0</v>
      </c>
      <c r="T77" s="9">
        <f t="shared" si="16"/>
        <v>116353.32</v>
      </c>
      <c r="U77" s="9">
        <f t="shared" si="17"/>
        <v>174164.32</v>
      </c>
      <c r="V77" s="9">
        <f>MIN($I77,$H77)*INDEX('Key Metrics'!$E$16:$N$19,MATCH($E77,'Key Metrics'!$E$16:$E$19,0),MATCH(V$1,'Key Metrics'!$E$16:$M$16,0))</f>
        <v>60000</v>
      </c>
      <c r="W77" s="9">
        <f>IF($H77&gt;I77, MIN($H77-I77, J77-I77)*INDEX('Key Metrics'!$E$16:$N$19,MATCH($E77,'Key Metrics'!$E$16:$E$19,0),MATCH(W$1,'Key Metrics'!$E$16:$M$16,0)),0)</f>
        <v>21250</v>
      </c>
      <c r="X77" s="9">
        <f>IF($H77&gt;J77, MIN($H77-J77, K77-J77)*INDEX('Key Metrics'!$E$16:$N$19,MATCH($E77,'Key Metrics'!$E$16:$E$19,0),MATCH(X$1,'Key Metrics'!$E$16:$M$16,0)),0)</f>
        <v>25000</v>
      </c>
      <c r="Y77" s="9">
        <f>IF($H77&gt;K77, MIN($H77-K77, L77-K77)*INDEX('Key Metrics'!$E$16:$N$19,MATCH($E77,'Key Metrics'!$E$16:$E$19,0),MATCH(Y$1,'Key Metrics'!$E$16:$M$16,0)),0)</f>
        <v>25103.32</v>
      </c>
      <c r="Z77" s="9">
        <f>IF($H77&gt;L77,($H77-L77)*INDEX('Key Metrics'!$E$16:$N$19,MATCH($E77,'Key Metrics'!$E$16:$E$19,0),MATCH(Z$1,'Key Metrics'!$E$16:$M$16,0)),0)</f>
        <v>0</v>
      </c>
      <c r="AA77" s="9">
        <f t="shared" si="18"/>
        <v>131353.32</v>
      </c>
      <c r="AB77" s="9">
        <f t="shared" si="19"/>
        <v>131355.04821199999</v>
      </c>
    </row>
    <row r="78" spans="1:28" x14ac:dyDescent="0.55000000000000004">
      <c r="A78" t="str">
        <f t="shared" si="10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COUNTIF(deals_closed!$D$2:$D$20001,Calculations!B70)</f>
        <v>21</v>
      </c>
      <c r="H78" s="7">
        <f>SUMIF(deals_closed!$D:$D,Calculations!B70,deals_closed!$C:$C)</f>
        <v>777563</v>
      </c>
      <c r="I78" s="5">
        <f>VLOOKUP(E78,'2018_commission_structure'!$A$1:$I$4,9,FALSE)</f>
        <v>600000</v>
      </c>
      <c r="J78" s="9">
        <f t="shared" si="11"/>
        <v>750000</v>
      </c>
      <c r="K78" s="10">
        <f t="shared" si="12"/>
        <v>900000</v>
      </c>
      <c r="L78" s="9">
        <f t="shared" si="13"/>
        <v>1200000</v>
      </c>
      <c r="M78" s="8">
        <f t="shared" si="14"/>
        <v>1.2959383333333334</v>
      </c>
      <c r="N78" t="str">
        <f t="shared" si="15"/>
        <v>125-150%</v>
      </c>
      <c r="O78" s="9">
        <f>MIN($H78,$I78)*INDEX('2018_commission_structure'!$A$1:$I$4,MATCH($E78,'2018_commission_structure'!$A$1:$A$4,0),MATCH(O$1,'2018_commission_structure'!$A$1:$I$1,0))</f>
        <v>78000</v>
      </c>
      <c r="P78" s="9">
        <f>IF(H78&gt;I78, MIN(H78-I78, J78-I78)*INDEX('2018_commission_structure'!$A$1:$I$4,MATCH($E78,'2018_commission_structure'!$A$1:$A$4,0),MATCH(P$1,'2018_commission_structure'!$A$1:$I$1,0)),0)</f>
        <v>25500.000000000004</v>
      </c>
      <c r="Q78" s="9">
        <f>IF($H78&gt;J78, MIN($H78-J78, K78-J78)*INDEX('2018_commission_structure'!$A$1:$I$4,MATCH($E78,'2018_commission_structure'!$A$1:$A$4,0),MATCH(Q$1,'2018_commission_structure'!$A$1:$I$1,0)),0)</f>
        <v>5788.23</v>
      </c>
      <c r="R78" s="9">
        <f>IF($H78&gt;K78, MIN($H78-K78, L78-K78)*INDEX('2018_commission_structure'!$A$1:$I$4,MATCH($E78,'2018_commission_structure'!$A$1:$A$4,0),MATCH(R$1,'2018_commission_structure'!$A$1:$I$1,0)),0)</f>
        <v>0</v>
      </c>
      <c r="S78" s="9">
        <f>IF(H78&gt;L78,(H78-L78)*INDEX('2018_commission_structure'!$A$1:$I$4,MATCH($E78,'2018_commission_structure'!$A$1:$A$4,0),MATCH(S$1,'2018_commission_structure'!$A$1:$I$1,0)),0)</f>
        <v>0</v>
      </c>
      <c r="T78" s="9">
        <f t="shared" si="16"/>
        <v>109288.23</v>
      </c>
      <c r="U78" s="9">
        <f t="shared" si="17"/>
        <v>165095.22999999998</v>
      </c>
      <c r="V78" s="9">
        <f>MIN($I78,$H78)*INDEX('Key Metrics'!$E$16:$N$19,MATCH($E78,'Key Metrics'!$E$16:$E$19,0),MATCH(V$1,'Key Metrics'!$E$16:$M$16,0))</f>
        <v>90000</v>
      </c>
      <c r="W78" s="9">
        <f>IF($H78&gt;I78, MIN($H78-I78, J78-I78)*INDEX('Key Metrics'!$E$16:$N$19,MATCH($E78,'Key Metrics'!$E$16:$E$19,0),MATCH(W$1,'Key Metrics'!$E$16:$M$16,0)),0)</f>
        <v>27000</v>
      </c>
      <c r="X78" s="9">
        <f>IF($H78&gt;J78, MIN($H78-J78, K78-J78)*INDEX('Key Metrics'!$E$16:$N$19,MATCH($E78,'Key Metrics'!$E$16:$E$19,0),MATCH(X$1,'Key Metrics'!$E$16:$M$16,0)),0)</f>
        <v>6890.75</v>
      </c>
      <c r="Y78" s="9">
        <f>IF($H78&gt;K78, MIN($H78-K78, L78-K78)*INDEX('Key Metrics'!$E$16:$N$19,MATCH($E78,'Key Metrics'!$E$16:$E$19,0),MATCH(Y$1,'Key Metrics'!$E$16:$M$16,0)),0)</f>
        <v>0</v>
      </c>
      <c r="Z78" s="9">
        <f>IF($H78&gt;L78,($H78-L78)*INDEX('Key Metrics'!$E$16:$N$19,MATCH($E78,'Key Metrics'!$E$16:$E$19,0),MATCH(Z$1,'Key Metrics'!$E$16:$M$16,0)),0)</f>
        <v>0</v>
      </c>
      <c r="AA78" s="9">
        <f t="shared" si="18"/>
        <v>123890.75</v>
      </c>
      <c r="AB78" s="9">
        <f t="shared" si="19"/>
        <v>123892.04593833334</v>
      </c>
    </row>
    <row r="79" spans="1:28" x14ac:dyDescent="0.55000000000000004">
      <c r="A79" t="str">
        <f t="shared" si="10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COUNTIF(deals_closed!$D$2:$D$20001,Calculations!B948)</f>
        <v>22</v>
      </c>
      <c r="H79" s="7">
        <f>SUMIF(deals_closed!$D:$D,Calculations!B948,deals_closed!$C:$C)</f>
        <v>717332</v>
      </c>
      <c r="I79" s="5">
        <f>VLOOKUP(E79,'2018_commission_structure'!$A$1:$I$4,9,FALSE)</f>
        <v>750000</v>
      </c>
      <c r="J79" s="9">
        <f t="shared" si="11"/>
        <v>937500</v>
      </c>
      <c r="K79" s="10">
        <f t="shared" si="12"/>
        <v>1125000</v>
      </c>
      <c r="L79" s="9">
        <f t="shared" si="13"/>
        <v>1500000</v>
      </c>
      <c r="M79" s="8">
        <f t="shared" si="14"/>
        <v>0.95644266666666666</v>
      </c>
      <c r="N79" t="str">
        <f t="shared" si="15"/>
        <v>0-100%</v>
      </c>
      <c r="O79" s="9">
        <f>MIN($H79,$I79)*INDEX('2018_commission_structure'!$A$1:$I$4,MATCH($E79,'2018_commission_structure'!$A$1:$A$4,0),MATCH(O$1,'2018_commission_structure'!$A$1:$I$1,0))</f>
        <v>107599.8</v>
      </c>
      <c r="P79" s="9">
        <f>IF(H79&gt;I79, MIN(H79-I79, J79-I79)*INDEX('2018_commission_structure'!$A$1:$I$4,MATCH($E79,'2018_commission_structure'!$A$1:$A$4,0),MATCH(P$1,'2018_commission_structure'!$A$1:$I$1,0)),0)</f>
        <v>0</v>
      </c>
      <c r="Q79" s="9">
        <f>IF($H79&gt;J79, MIN($H79-J79, K79-J79)*INDEX('2018_commission_structure'!$A$1:$I$4,MATCH($E79,'2018_commission_structure'!$A$1:$A$4,0),MATCH(Q$1,'2018_commission_structure'!$A$1:$I$1,0)),0)</f>
        <v>0</v>
      </c>
      <c r="R79" s="9">
        <f>IF($H79&gt;K79, MIN($H79-K79, L79-K79)*INDEX('2018_commission_structure'!$A$1:$I$4,MATCH($E79,'2018_commission_structure'!$A$1:$A$4,0),MATCH(R$1,'2018_commission_structure'!$A$1:$I$1,0)),0)</f>
        <v>0</v>
      </c>
      <c r="S79" s="9">
        <f>IF(H79&gt;L79,(H79-L79)*INDEX('2018_commission_structure'!$A$1:$I$4,MATCH($E79,'2018_commission_structure'!$A$1:$A$4,0),MATCH(S$1,'2018_commission_structure'!$A$1:$I$1,0)),0)</f>
        <v>0</v>
      </c>
      <c r="T79" s="9">
        <f t="shared" si="16"/>
        <v>107599.8</v>
      </c>
      <c r="U79" s="9">
        <f t="shared" si="17"/>
        <v>226915.8</v>
      </c>
      <c r="V79" s="9">
        <f>MIN($I79,$H79)*INDEX('Key Metrics'!$E$16:$N$19,MATCH($E79,'Key Metrics'!$E$16:$E$19,0),MATCH(V$1,'Key Metrics'!$E$16:$M$16,0))</f>
        <v>107599.8</v>
      </c>
      <c r="W79" s="9">
        <f>IF($H79&gt;I79, MIN($H79-I79, J79-I79)*INDEX('Key Metrics'!$E$16:$N$19,MATCH($E79,'Key Metrics'!$E$16:$E$19,0),MATCH(W$1,'Key Metrics'!$E$16:$M$16,0)),0)</f>
        <v>0</v>
      </c>
      <c r="X79" s="9">
        <f>IF($H79&gt;J79, MIN($H79-J79, K79-J79)*INDEX('Key Metrics'!$E$16:$N$19,MATCH($E79,'Key Metrics'!$E$16:$E$19,0),MATCH(X$1,'Key Metrics'!$E$16:$M$16,0)),0)</f>
        <v>0</v>
      </c>
      <c r="Y79" s="9">
        <f>IF($H79&gt;K79, MIN($H79-K79, L79-K79)*INDEX('Key Metrics'!$E$16:$N$19,MATCH($E79,'Key Metrics'!$E$16:$E$19,0),MATCH(Y$1,'Key Metrics'!$E$16:$M$16,0)),0)</f>
        <v>0</v>
      </c>
      <c r="Z79" s="9">
        <f>IF($H79&gt;L79,($H79-L79)*INDEX('Key Metrics'!$E$16:$N$19,MATCH($E79,'Key Metrics'!$E$16:$E$19,0),MATCH(Z$1,'Key Metrics'!$E$16:$M$16,0)),0)</f>
        <v>0</v>
      </c>
      <c r="AA79" s="9">
        <f t="shared" si="18"/>
        <v>107599.8</v>
      </c>
      <c r="AB79" s="9">
        <f t="shared" si="19"/>
        <v>107600.75644266666</v>
      </c>
    </row>
    <row r="80" spans="1:28" x14ac:dyDescent="0.55000000000000004">
      <c r="A80" t="str">
        <f t="shared" si="10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COUNTIF(deals_closed!$D$2:$D$20001,Calculations!B425)</f>
        <v>20</v>
      </c>
      <c r="H80" s="7">
        <f>SUMIF(deals_closed!$D:$D,Calculations!B425,deals_closed!$C:$C)</f>
        <v>665332</v>
      </c>
      <c r="I80" s="5">
        <f>VLOOKUP(E80,'2018_commission_structure'!$A$1:$I$4,9,FALSE)</f>
        <v>750000</v>
      </c>
      <c r="J80" s="9">
        <f t="shared" si="11"/>
        <v>937500</v>
      </c>
      <c r="K80" s="10">
        <f t="shared" si="12"/>
        <v>1125000</v>
      </c>
      <c r="L80" s="9">
        <f t="shared" si="13"/>
        <v>1500000</v>
      </c>
      <c r="M80" s="8">
        <f t="shared" si="14"/>
        <v>0.88710933333333331</v>
      </c>
      <c r="N80" t="str">
        <f t="shared" si="15"/>
        <v>0-100%</v>
      </c>
      <c r="O80" s="9">
        <f>MIN($H80,$I80)*INDEX('2018_commission_structure'!$A$1:$I$4,MATCH($E80,'2018_commission_structure'!$A$1:$A$4,0),MATCH(O$1,'2018_commission_structure'!$A$1:$I$1,0))</f>
        <v>99799.8</v>
      </c>
      <c r="P80" s="9">
        <f>IF(H80&gt;I80, MIN(H80-I80, J80-I80)*INDEX('2018_commission_structure'!$A$1:$I$4,MATCH($E80,'2018_commission_structure'!$A$1:$A$4,0),MATCH(P$1,'2018_commission_structure'!$A$1:$I$1,0)),0)</f>
        <v>0</v>
      </c>
      <c r="Q80" s="9">
        <f>IF($H80&gt;J80, MIN($H80-J80, K80-J80)*INDEX('2018_commission_structure'!$A$1:$I$4,MATCH($E80,'2018_commission_structure'!$A$1:$A$4,0),MATCH(Q$1,'2018_commission_structure'!$A$1:$I$1,0)),0)</f>
        <v>0</v>
      </c>
      <c r="R80" s="9">
        <f>IF($H80&gt;K80, MIN($H80-K80, L80-K80)*INDEX('2018_commission_structure'!$A$1:$I$4,MATCH($E80,'2018_commission_structure'!$A$1:$A$4,0),MATCH(R$1,'2018_commission_structure'!$A$1:$I$1,0)),0)</f>
        <v>0</v>
      </c>
      <c r="S80" s="9">
        <f>IF(H80&gt;L80,(H80-L80)*INDEX('2018_commission_structure'!$A$1:$I$4,MATCH($E80,'2018_commission_structure'!$A$1:$A$4,0),MATCH(S$1,'2018_commission_structure'!$A$1:$I$1,0)),0)</f>
        <v>0</v>
      </c>
      <c r="T80" s="9">
        <f t="shared" si="16"/>
        <v>99799.8</v>
      </c>
      <c r="U80" s="9">
        <f t="shared" si="17"/>
        <v>206310.8</v>
      </c>
      <c r="V80" s="9">
        <f>MIN($I80,$H80)*INDEX('Key Metrics'!$E$16:$N$19,MATCH($E80,'Key Metrics'!$E$16:$E$19,0),MATCH(V$1,'Key Metrics'!$E$16:$M$16,0))</f>
        <v>99799.8</v>
      </c>
      <c r="W80" s="9">
        <f>IF($H80&gt;I80, MIN($H80-I80, J80-I80)*INDEX('Key Metrics'!$E$16:$N$19,MATCH($E80,'Key Metrics'!$E$16:$E$19,0),MATCH(W$1,'Key Metrics'!$E$16:$M$16,0)),0)</f>
        <v>0</v>
      </c>
      <c r="X80" s="9">
        <f>IF($H80&gt;J80, MIN($H80-J80, K80-J80)*INDEX('Key Metrics'!$E$16:$N$19,MATCH($E80,'Key Metrics'!$E$16:$E$19,0),MATCH(X$1,'Key Metrics'!$E$16:$M$16,0)),0)</f>
        <v>0</v>
      </c>
      <c r="Y80" s="9">
        <f>IF($H80&gt;K80, MIN($H80-K80, L80-K80)*INDEX('Key Metrics'!$E$16:$N$19,MATCH($E80,'Key Metrics'!$E$16:$E$19,0),MATCH(Y$1,'Key Metrics'!$E$16:$M$16,0)),0)</f>
        <v>0</v>
      </c>
      <c r="Z80" s="9">
        <f>IF($H80&gt;L80,($H80-L80)*INDEX('Key Metrics'!$E$16:$N$19,MATCH($E80,'Key Metrics'!$E$16:$E$19,0),MATCH(Z$1,'Key Metrics'!$E$16:$M$16,0)),0)</f>
        <v>0</v>
      </c>
      <c r="AA80" s="9">
        <f t="shared" si="18"/>
        <v>99799.8</v>
      </c>
      <c r="AB80" s="9">
        <f t="shared" si="19"/>
        <v>99800.687109333332</v>
      </c>
    </row>
    <row r="81" spans="1:28" x14ac:dyDescent="0.55000000000000004">
      <c r="A81" t="str">
        <f t="shared" si="10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COUNTIF(deals_closed!$D$2:$D$20001,Calculations!B86)</f>
        <v>18</v>
      </c>
      <c r="H81" s="7">
        <f>SUMIF(deals_closed!$D:$D,Calculations!B86,deals_closed!$C:$C)</f>
        <v>589906</v>
      </c>
      <c r="I81" s="5">
        <f>VLOOKUP(E81,'2018_commission_structure'!$A$1:$I$4,9,FALSE)</f>
        <v>500000</v>
      </c>
      <c r="J81" s="9">
        <f t="shared" si="11"/>
        <v>625000</v>
      </c>
      <c r="K81" s="10">
        <f t="shared" si="12"/>
        <v>750000</v>
      </c>
      <c r="L81" s="9">
        <f t="shared" si="13"/>
        <v>1000000</v>
      </c>
      <c r="M81" s="8">
        <f t="shared" si="14"/>
        <v>1.1798120000000001</v>
      </c>
      <c r="N81" t="str">
        <f t="shared" si="15"/>
        <v>100-125%</v>
      </c>
      <c r="O81" s="9">
        <f>MIN($H81,$I81)*INDEX('2018_commission_structure'!$A$1:$I$4,MATCH($E81,'2018_commission_structure'!$A$1:$A$4,0),MATCH(O$1,'2018_commission_structure'!$A$1:$I$1,0))</f>
        <v>50000</v>
      </c>
      <c r="P81" s="9">
        <f>IF(H81&gt;I81, MIN(H81-I81, J81-I81)*INDEX('2018_commission_structure'!$A$1:$I$4,MATCH($E81,'2018_commission_structure'!$A$1:$A$4,0),MATCH(P$1,'2018_commission_structure'!$A$1:$I$1,0)),0)</f>
        <v>13485.9</v>
      </c>
      <c r="Q81" s="9">
        <f>IF($H81&gt;J81, MIN($H81-J81, K81-J81)*INDEX('2018_commission_structure'!$A$1:$I$4,MATCH($E81,'2018_commission_structure'!$A$1:$A$4,0),MATCH(Q$1,'2018_commission_structure'!$A$1:$I$1,0)),0)</f>
        <v>0</v>
      </c>
      <c r="R81" s="9">
        <f>IF($H81&gt;K81, MIN($H81-K81, L81-K81)*INDEX('2018_commission_structure'!$A$1:$I$4,MATCH($E81,'2018_commission_structure'!$A$1:$A$4,0),MATCH(R$1,'2018_commission_structure'!$A$1:$I$1,0)),0)</f>
        <v>0</v>
      </c>
      <c r="S81" s="9">
        <f>IF(H81&gt;L81,(H81-L81)*INDEX('2018_commission_structure'!$A$1:$I$4,MATCH($E81,'2018_commission_structure'!$A$1:$A$4,0),MATCH(S$1,'2018_commission_structure'!$A$1:$I$1,0)),0)</f>
        <v>0</v>
      </c>
      <c r="T81" s="9">
        <f t="shared" si="16"/>
        <v>63485.9</v>
      </c>
      <c r="U81" s="9">
        <f t="shared" si="17"/>
        <v>115596.9</v>
      </c>
      <c r="V81" s="9">
        <f>MIN($I81,$H81)*INDEX('Key Metrics'!$E$16:$N$19,MATCH($E81,'Key Metrics'!$E$16:$E$19,0),MATCH(V$1,'Key Metrics'!$E$16:$M$16,0))</f>
        <v>60000</v>
      </c>
      <c r="W81" s="9">
        <f>IF($H81&gt;I81, MIN($H81-I81, J81-I81)*INDEX('Key Metrics'!$E$16:$N$19,MATCH($E81,'Key Metrics'!$E$16:$E$19,0),MATCH(W$1,'Key Metrics'!$E$16:$M$16,0)),0)</f>
        <v>15284.02</v>
      </c>
      <c r="X81" s="9">
        <f>IF($H81&gt;J81, MIN($H81-J81, K81-J81)*INDEX('Key Metrics'!$E$16:$N$19,MATCH($E81,'Key Metrics'!$E$16:$E$19,0),MATCH(X$1,'Key Metrics'!$E$16:$M$16,0)),0)</f>
        <v>0</v>
      </c>
      <c r="Y81" s="9">
        <f>IF($H81&gt;K81, MIN($H81-K81, L81-K81)*INDEX('Key Metrics'!$E$16:$N$19,MATCH($E81,'Key Metrics'!$E$16:$E$19,0),MATCH(Y$1,'Key Metrics'!$E$16:$M$16,0)),0)</f>
        <v>0</v>
      </c>
      <c r="Z81" s="9">
        <f>IF($H81&gt;L81,($H81-L81)*INDEX('Key Metrics'!$E$16:$N$19,MATCH($E81,'Key Metrics'!$E$16:$E$19,0),MATCH(Z$1,'Key Metrics'!$E$16:$M$16,0)),0)</f>
        <v>0</v>
      </c>
      <c r="AA81" s="9">
        <f t="shared" si="18"/>
        <v>75284.02</v>
      </c>
      <c r="AB81" s="9">
        <f t="shared" si="19"/>
        <v>75285.199812000006</v>
      </c>
    </row>
    <row r="82" spans="1:28" x14ac:dyDescent="0.55000000000000004">
      <c r="A82" t="str">
        <f t="shared" si="10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COUNTIF(deals_closed!$D$2:$D$20001,Calculations!B220)</f>
        <v>23</v>
      </c>
      <c r="H82" s="7">
        <f>SUMIF(deals_closed!$D:$D,Calculations!B220,deals_closed!$C:$C)</f>
        <v>908049</v>
      </c>
      <c r="I82" s="5">
        <f>VLOOKUP(E82,'2018_commission_structure'!$A$1:$I$4,9,FALSE)</f>
        <v>600000</v>
      </c>
      <c r="J82" s="9">
        <f t="shared" si="11"/>
        <v>750000</v>
      </c>
      <c r="K82" s="10">
        <f t="shared" si="12"/>
        <v>900000</v>
      </c>
      <c r="L82" s="9">
        <f t="shared" si="13"/>
        <v>1200000</v>
      </c>
      <c r="M82" s="8">
        <f t="shared" si="14"/>
        <v>1.513415</v>
      </c>
      <c r="N82" t="str">
        <f t="shared" si="15"/>
        <v>150-200%</v>
      </c>
      <c r="O82" s="9">
        <f>MIN($H82,$I82)*INDEX('2018_commission_structure'!$A$1:$I$4,MATCH($E82,'2018_commission_structure'!$A$1:$A$4,0),MATCH(O$1,'2018_commission_structure'!$A$1:$I$1,0))</f>
        <v>78000</v>
      </c>
      <c r="P82" s="9">
        <f>IF(H82&gt;I82, MIN(H82-I82, J82-I82)*INDEX('2018_commission_structure'!$A$1:$I$4,MATCH($E82,'2018_commission_structure'!$A$1:$A$4,0),MATCH(P$1,'2018_commission_structure'!$A$1:$I$1,0)),0)</f>
        <v>25500.000000000004</v>
      </c>
      <c r="Q82" s="9">
        <f>IF($H82&gt;J82, MIN($H82-J82, K82-J82)*INDEX('2018_commission_structure'!$A$1:$I$4,MATCH($E82,'2018_commission_structure'!$A$1:$A$4,0),MATCH(Q$1,'2018_commission_structure'!$A$1:$I$1,0)),0)</f>
        <v>31500</v>
      </c>
      <c r="R82" s="9">
        <f>IF($H82&gt;K82, MIN($H82-K82, L82-K82)*INDEX('2018_commission_structure'!$A$1:$I$4,MATCH($E82,'2018_commission_structure'!$A$1:$A$4,0),MATCH(R$1,'2018_commission_structure'!$A$1:$I$1,0)),0)</f>
        <v>2092.7400000000002</v>
      </c>
      <c r="S82" s="9">
        <f>IF(H82&gt;L82,(H82-L82)*INDEX('2018_commission_structure'!$A$1:$I$4,MATCH($E82,'2018_commission_structure'!$A$1:$A$4,0),MATCH(S$1,'2018_commission_structure'!$A$1:$I$1,0)),0)</f>
        <v>0</v>
      </c>
      <c r="T82" s="9">
        <f t="shared" si="16"/>
        <v>137092.74</v>
      </c>
      <c r="U82" s="9">
        <f t="shared" si="17"/>
        <v>211718.74</v>
      </c>
      <c r="V82" s="9">
        <f>MIN($I82,$H82)*INDEX('Key Metrics'!$E$16:$N$19,MATCH($E82,'Key Metrics'!$E$16:$E$19,0),MATCH(V$1,'Key Metrics'!$E$16:$M$16,0))</f>
        <v>90000</v>
      </c>
      <c r="W82" s="9">
        <f>IF($H82&gt;I82, MIN($H82-I82, J82-I82)*INDEX('Key Metrics'!$E$16:$N$19,MATCH($E82,'Key Metrics'!$E$16:$E$19,0),MATCH(W$1,'Key Metrics'!$E$16:$M$16,0)),0)</f>
        <v>27000</v>
      </c>
      <c r="X82" s="9">
        <f>IF($H82&gt;J82, MIN($H82-J82, K82-J82)*INDEX('Key Metrics'!$E$16:$N$19,MATCH($E82,'Key Metrics'!$E$16:$E$19,0),MATCH(X$1,'Key Metrics'!$E$16:$M$16,0)),0)</f>
        <v>37500</v>
      </c>
      <c r="Y82" s="9">
        <f>IF($H82&gt;K82, MIN($H82-K82, L82-K82)*INDEX('Key Metrics'!$E$16:$N$19,MATCH($E82,'Key Metrics'!$E$16:$E$19,0),MATCH(Y$1,'Key Metrics'!$E$16:$M$16,0)),0)</f>
        <v>2414.6999999999998</v>
      </c>
      <c r="Z82" s="9">
        <f>IF($H82&gt;L82,($H82-L82)*INDEX('Key Metrics'!$E$16:$N$19,MATCH($E82,'Key Metrics'!$E$16:$E$19,0),MATCH(Z$1,'Key Metrics'!$E$16:$M$16,0)),0)</f>
        <v>0</v>
      </c>
      <c r="AA82" s="9">
        <f t="shared" si="18"/>
        <v>156914.70000000001</v>
      </c>
      <c r="AB82" s="9">
        <f t="shared" si="19"/>
        <v>156916.21341500001</v>
      </c>
    </row>
    <row r="83" spans="1:28" x14ac:dyDescent="0.55000000000000004">
      <c r="A83" t="str">
        <f t="shared" si="10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COUNTIF(deals_closed!$D$2:$D$20001,Calculations!B951)</f>
        <v>20</v>
      </c>
      <c r="H83" s="7">
        <f>SUMIF(deals_closed!$D:$D,Calculations!B951,deals_closed!$C:$C)</f>
        <v>618954</v>
      </c>
      <c r="I83" s="5">
        <f>VLOOKUP(E83,'2018_commission_structure'!$A$1:$I$4,9,FALSE)</f>
        <v>600000</v>
      </c>
      <c r="J83" s="9">
        <f t="shared" si="11"/>
        <v>750000</v>
      </c>
      <c r="K83" s="10">
        <f t="shared" si="12"/>
        <v>900000</v>
      </c>
      <c r="L83" s="9">
        <f t="shared" si="13"/>
        <v>1200000</v>
      </c>
      <c r="M83" s="8">
        <f t="shared" si="14"/>
        <v>1.03159</v>
      </c>
      <c r="N83" t="str">
        <f t="shared" si="15"/>
        <v>100-125%</v>
      </c>
      <c r="O83" s="9">
        <f>MIN($H83,$I83)*INDEX('2018_commission_structure'!$A$1:$I$4,MATCH($E83,'2018_commission_structure'!$A$1:$A$4,0),MATCH(O$1,'2018_commission_structure'!$A$1:$I$1,0))</f>
        <v>78000</v>
      </c>
      <c r="P83" s="9">
        <f>IF(H83&gt;I83, MIN(H83-I83, J83-I83)*INDEX('2018_commission_structure'!$A$1:$I$4,MATCH($E83,'2018_commission_structure'!$A$1:$A$4,0),MATCH(P$1,'2018_commission_structure'!$A$1:$I$1,0)),0)</f>
        <v>3222.1800000000003</v>
      </c>
      <c r="Q83" s="9">
        <f>IF($H83&gt;J83, MIN($H83-J83, K83-J83)*INDEX('2018_commission_structure'!$A$1:$I$4,MATCH($E83,'2018_commission_structure'!$A$1:$A$4,0),MATCH(Q$1,'2018_commission_structure'!$A$1:$I$1,0)),0)</f>
        <v>0</v>
      </c>
      <c r="R83" s="9">
        <f>IF($H83&gt;K83, MIN($H83-K83, L83-K83)*INDEX('2018_commission_structure'!$A$1:$I$4,MATCH($E83,'2018_commission_structure'!$A$1:$A$4,0),MATCH(R$1,'2018_commission_structure'!$A$1:$I$1,0)),0)</f>
        <v>0</v>
      </c>
      <c r="S83" s="9">
        <f>IF(H83&gt;L83,(H83-L83)*INDEX('2018_commission_structure'!$A$1:$I$4,MATCH($E83,'2018_commission_structure'!$A$1:$A$4,0),MATCH(S$1,'2018_commission_structure'!$A$1:$I$1,0)),0)</f>
        <v>0</v>
      </c>
      <c r="T83" s="9">
        <f t="shared" si="16"/>
        <v>81222.179999999993</v>
      </c>
      <c r="U83" s="9">
        <f t="shared" si="17"/>
        <v>146712.18</v>
      </c>
      <c r="V83" s="9">
        <f>MIN($I83,$H83)*INDEX('Key Metrics'!$E$16:$N$19,MATCH($E83,'Key Metrics'!$E$16:$E$19,0),MATCH(V$1,'Key Metrics'!$E$16:$M$16,0))</f>
        <v>90000</v>
      </c>
      <c r="W83" s="9">
        <f>IF($H83&gt;I83, MIN($H83-I83, J83-I83)*INDEX('Key Metrics'!$E$16:$N$19,MATCH($E83,'Key Metrics'!$E$16:$E$19,0),MATCH(W$1,'Key Metrics'!$E$16:$M$16,0)),0)</f>
        <v>3411.72</v>
      </c>
      <c r="X83" s="9">
        <f>IF($H83&gt;J83, MIN($H83-J83, K83-J83)*INDEX('Key Metrics'!$E$16:$N$19,MATCH($E83,'Key Metrics'!$E$16:$E$19,0),MATCH(X$1,'Key Metrics'!$E$16:$M$16,0)),0)</f>
        <v>0</v>
      </c>
      <c r="Y83" s="9">
        <f>IF($H83&gt;K83, MIN($H83-K83, L83-K83)*INDEX('Key Metrics'!$E$16:$N$19,MATCH($E83,'Key Metrics'!$E$16:$E$19,0),MATCH(Y$1,'Key Metrics'!$E$16:$M$16,0)),0)</f>
        <v>0</v>
      </c>
      <c r="Z83" s="9">
        <f>IF($H83&gt;L83,($H83-L83)*INDEX('Key Metrics'!$E$16:$N$19,MATCH($E83,'Key Metrics'!$E$16:$E$19,0),MATCH(Z$1,'Key Metrics'!$E$16:$M$16,0)),0)</f>
        <v>0</v>
      </c>
      <c r="AA83" s="9">
        <f t="shared" si="18"/>
        <v>93411.72</v>
      </c>
      <c r="AB83" s="9">
        <f t="shared" si="19"/>
        <v>93412.75159</v>
      </c>
    </row>
    <row r="84" spans="1:28" x14ac:dyDescent="0.55000000000000004">
      <c r="A84" t="str">
        <f t="shared" si="10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COUNTIF(deals_closed!$D$2:$D$20001,Calculations!B833)</f>
        <v>19</v>
      </c>
      <c r="H84" s="7">
        <f>SUMIF(deals_closed!$D:$D,Calculations!B833,deals_closed!$C:$C)</f>
        <v>642536</v>
      </c>
      <c r="I84" s="5">
        <f>VLOOKUP(E84,'2018_commission_structure'!$A$1:$I$4,9,FALSE)</f>
        <v>750000</v>
      </c>
      <c r="J84" s="9">
        <f t="shared" si="11"/>
        <v>937500</v>
      </c>
      <c r="K84" s="10">
        <f t="shared" si="12"/>
        <v>1125000</v>
      </c>
      <c r="L84" s="9">
        <f t="shared" si="13"/>
        <v>1500000</v>
      </c>
      <c r="M84" s="8">
        <f t="shared" si="14"/>
        <v>0.85671466666666662</v>
      </c>
      <c r="N84" t="str">
        <f t="shared" si="15"/>
        <v>0-100%</v>
      </c>
      <c r="O84" s="9">
        <f>MIN($H84,$I84)*INDEX('2018_commission_structure'!$A$1:$I$4,MATCH($E84,'2018_commission_structure'!$A$1:$A$4,0),MATCH(O$1,'2018_commission_structure'!$A$1:$I$1,0))</f>
        <v>96380.4</v>
      </c>
      <c r="P84" s="9">
        <f>IF(H84&gt;I84, MIN(H84-I84, J84-I84)*INDEX('2018_commission_structure'!$A$1:$I$4,MATCH($E84,'2018_commission_structure'!$A$1:$A$4,0),MATCH(P$1,'2018_commission_structure'!$A$1:$I$1,0)),0)</f>
        <v>0</v>
      </c>
      <c r="Q84" s="9">
        <f>IF($H84&gt;J84, MIN($H84-J84, K84-J84)*INDEX('2018_commission_structure'!$A$1:$I$4,MATCH($E84,'2018_commission_structure'!$A$1:$A$4,0),MATCH(Q$1,'2018_commission_structure'!$A$1:$I$1,0)),0)</f>
        <v>0</v>
      </c>
      <c r="R84" s="9">
        <f>IF($H84&gt;K84, MIN($H84-K84, L84-K84)*INDEX('2018_commission_structure'!$A$1:$I$4,MATCH($E84,'2018_commission_structure'!$A$1:$A$4,0),MATCH(R$1,'2018_commission_structure'!$A$1:$I$1,0)),0)</f>
        <v>0</v>
      </c>
      <c r="S84" s="9">
        <f>IF(H84&gt;L84,(H84-L84)*INDEX('2018_commission_structure'!$A$1:$I$4,MATCH($E84,'2018_commission_structure'!$A$1:$A$4,0),MATCH(S$1,'2018_commission_structure'!$A$1:$I$1,0)),0)</f>
        <v>0</v>
      </c>
      <c r="T84" s="9">
        <f t="shared" si="16"/>
        <v>96380.4</v>
      </c>
      <c r="U84" s="9">
        <f t="shared" si="17"/>
        <v>220465.4</v>
      </c>
      <c r="V84" s="9">
        <f>MIN($I84,$H84)*INDEX('Key Metrics'!$E$16:$N$19,MATCH($E84,'Key Metrics'!$E$16:$E$19,0),MATCH(V$1,'Key Metrics'!$E$16:$M$16,0))</f>
        <v>96380.4</v>
      </c>
      <c r="W84" s="9">
        <f>IF($H84&gt;I84, MIN($H84-I84, J84-I84)*INDEX('Key Metrics'!$E$16:$N$19,MATCH($E84,'Key Metrics'!$E$16:$E$19,0),MATCH(W$1,'Key Metrics'!$E$16:$M$16,0)),0)</f>
        <v>0</v>
      </c>
      <c r="X84" s="9">
        <f>IF($H84&gt;J84, MIN($H84-J84, K84-J84)*INDEX('Key Metrics'!$E$16:$N$19,MATCH($E84,'Key Metrics'!$E$16:$E$19,0),MATCH(X$1,'Key Metrics'!$E$16:$M$16,0)),0)</f>
        <v>0</v>
      </c>
      <c r="Y84" s="9">
        <f>IF($H84&gt;K84, MIN($H84-K84, L84-K84)*INDEX('Key Metrics'!$E$16:$N$19,MATCH($E84,'Key Metrics'!$E$16:$E$19,0),MATCH(Y$1,'Key Metrics'!$E$16:$M$16,0)),0)</f>
        <v>0</v>
      </c>
      <c r="Z84" s="9">
        <f>IF($H84&gt;L84,($H84-L84)*INDEX('Key Metrics'!$E$16:$N$19,MATCH($E84,'Key Metrics'!$E$16:$E$19,0),MATCH(Z$1,'Key Metrics'!$E$16:$M$16,0)),0)</f>
        <v>0</v>
      </c>
      <c r="AA84" s="9">
        <f t="shared" si="18"/>
        <v>96380.4</v>
      </c>
      <c r="AB84" s="9">
        <f t="shared" si="19"/>
        <v>96381.256714666655</v>
      </c>
    </row>
    <row r="85" spans="1:28" x14ac:dyDescent="0.55000000000000004">
      <c r="A85" t="str">
        <f t="shared" si="10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COUNTIF(deals_closed!$D$2:$D$20001,Calculations!B439)</f>
        <v>26</v>
      </c>
      <c r="H85" s="7">
        <f>SUMIF(deals_closed!$D:$D,Calculations!B439,deals_closed!$C:$C)</f>
        <v>885649</v>
      </c>
      <c r="I85" s="5">
        <f>VLOOKUP(E85,'2018_commission_structure'!$A$1:$I$4,9,FALSE)</f>
        <v>750000</v>
      </c>
      <c r="J85" s="9">
        <f t="shared" si="11"/>
        <v>937500</v>
      </c>
      <c r="K85" s="10">
        <f t="shared" si="12"/>
        <v>1125000</v>
      </c>
      <c r="L85" s="9">
        <f t="shared" si="13"/>
        <v>1500000</v>
      </c>
      <c r="M85" s="8">
        <f t="shared" si="14"/>
        <v>1.1808653333333334</v>
      </c>
      <c r="N85" t="str">
        <f t="shared" si="15"/>
        <v>100-125%</v>
      </c>
      <c r="O85" s="9">
        <f>MIN($H85,$I85)*INDEX('2018_commission_structure'!$A$1:$I$4,MATCH($E85,'2018_commission_structure'!$A$1:$A$4,0),MATCH(O$1,'2018_commission_structure'!$A$1:$I$1,0))</f>
        <v>112500</v>
      </c>
      <c r="P85" s="9">
        <f>IF(H85&gt;I85, MIN(H85-I85, J85-I85)*INDEX('2018_commission_structure'!$A$1:$I$4,MATCH($E85,'2018_commission_structure'!$A$1:$A$4,0),MATCH(P$1,'2018_commission_structure'!$A$1:$I$1,0)),0)</f>
        <v>25773.31</v>
      </c>
      <c r="Q85" s="9">
        <f>IF($H85&gt;J85, MIN($H85-J85, K85-J85)*INDEX('2018_commission_structure'!$A$1:$I$4,MATCH($E85,'2018_commission_structure'!$A$1:$A$4,0),MATCH(Q$1,'2018_commission_structure'!$A$1:$I$1,0)),0)</f>
        <v>0</v>
      </c>
      <c r="R85" s="9">
        <f>IF($H85&gt;K85, MIN($H85-K85, L85-K85)*INDEX('2018_commission_structure'!$A$1:$I$4,MATCH($E85,'2018_commission_structure'!$A$1:$A$4,0),MATCH(R$1,'2018_commission_structure'!$A$1:$I$1,0)),0)</f>
        <v>0</v>
      </c>
      <c r="S85" s="9">
        <f>IF(H85&gt;L85,(H85-L85)*INDEX('2018_commission_structure'!$A$1:$I$4,MATCH($E85,'2018_commission_structure'!$A$1:$A$4,0),MATCH(S$1,'2018_commission_structure'!$A$1:$I$1,0)),0)</f>
        <v>0</v>
      </c>
      <c r="T85" s="9">
        <f t="shared" si="16"/>
        <v>138273.31</v>
      </c>
      <c r="U85" s="9">
        <f t="shared" si="17"/>
        <v>229101.31</v>
      </c>
      <c r="V85" s="9">
        <f>MIN($I85,$H85)*INDEX('Key Metrics'!$E$16:$N$19,MATCH($E85,'Key Metrics'!$E$16:$E$19,0),MATCH(V$1,'Key Metrics'!$E$16:$M$16,0))</f>
        <v>112500</v>
      </c>
      <c r="W85" s="9">
        <f>IF($H85&gt;I85, MIN($H85-I85, J85-I85)*INDEX('Key Metrics'!$E$16:$N$19,MATCH($E85,'Key Metrics'!$E$16:$E$19,0),MATCH(W$1,'Key Metrics'!$E$16:$M$16,0)),0)</f>
        <v>29842.78</v>
      </c>
      <c r="X85" s="9">
        <f>IF($H85&gt;J85, MIN($H85-J85, K85-J85)*INDEX('Key Metrics'!$E$16:$N$19,MATCH($E85,'Key Metrics'!$E$16:$E$19,0),MATCH(X$1,'Key Metrics'!$E$16:$M$16,0)),0)</f>
        <v>0</v>
      </c>
      <c r="Y85" s="9">
        <f>IF($H85&gt;K85, MIN($H85-K85, L85-K85)*INDEX('Key Metrics'!$E$16:$N$19,MATCH($E85,'Key Metrics'!$E$16:$E$19,0),MATCH(Y$1,'Key Metrics'!$E$16:$M$16,0)),0)</f>
        <v>0</v>
      </c>
      <c r="Z85" s="9">
        <f>IF($H85&gt;L85,($H85-L85)*INDEX('Key Metrics'!$E$16:$N$19,MATCH($E85,'Key Metrics'!$E$16:$E$19,0),MATCH(Z$1,'Key Metrics'!$E$16:$M$16,0)),0)</f>
        <v>0</v>
      </c>
      <c r="AA85" s="9">
        <f t="shared" si="18"/>
        <v>142342.78</v>
      </c>
      <c r="AB85" s="9">
        <f t="shared" si="19"/>
        <v>142343.96086533333</v>
      </c>
    </row>
    <row r="86" spans="1:28" x14ac:dyDescent="0.55000000000000004">
      <c r="A86" t="str">
        <f t="shared" si="10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COUNTIF(deals_closed!$D$2:$D$20001,Calculations!B600)</f>
        <v>19</v>
      </c>
      <c r="H86" s="7">
        <f>SUMIF(deals_closed!$D:$D,Calculations!B600,deals_closed!$C:$C)</f>
        <v>694245</v>
      </c>
      <c r="I86" s="5">
        <f>VLOOKUP(E86,'2018_commission_structure'!$A$1:$I$4,9,FALSE)</f>
        <v>500000</v>
      </c>
      <c r="J86" s="9">
        <f t="shared" si="11"/>
        <v>625000</v>
      </c>
      <c r="K86" s="10">
        <f t="shared" si="12"/>
        <v>750000</v>
      </c>
      <c r="L86" s="9">
        <f t="shared" si="13"/>
        <v>1000000</v>
      </c>
      <c r="M86" s="8">
        <f t="shared" si="14"/>
        <v>1.38849</v>
      </c>
      <c r="N86" t="str">
        <f t="shared" si="15"/>
        <v>125-150%</v>
      </c>
      <c r="O86" s="9">
        <f>MIN($H86,$I86)*INDEX('2018_commission_structure'!$A$1:$I$4,MATCH($E86,'2018_commission_structure'!$A$1:$A$4,0),MATCH(O$1,'2018_commission_structure'!$A$1:$I$1,0))</f>
        <v>50000</v>
      </c>
      <c r="P86" s="9">
        <f>IF(H86&gt;I86, MIN(H86-I86, J86-I86)*INDEX('2018_commission_structure'!$A$1:$I$4,MATCH($E86,'2018_commission_structure'!$A$1:$A$4,0),MATCH(P$1,'2018_commission_structure'!$A$1:$I$1,0)),0)</f>
        <v>18750</v>
      </c>
      <c r="Q86" s="9">
        <f>IF($H86&gt;J86, MIN($H86-J86, K86-J86)*INDEX('2018_commission_structure'!$A$1:$I$4,MATCH($E86,'2018_commission_structure'!$A$1:$A$4,0),MATCH(Q$1,'2018_commission_structure'!$A$1:$I$1,0)),0)</f>
        <v>12464.1</v>
      </c>
      <c r="R86" s="9">
        <f>IF($H86&gt;K86, MIN($H86-K86, L86-K86)*INDEX('2018_commission_structure'!$A$1:$I$4,MATCH($E86,'2018_commission_structure'!$A$1:$A$4,0),MATCH(R$1,'2018_commission_structure'!$A$1:$I$1,0)),0)</f>
        <v>0</v>
      </c>
      <c r="S86" s="9">
        <f>IF(H86&gt;L86,(H86-L86)*INDEX('2018_commission_structure'!$A$1:$I$4,MATCH($E86,'2018_commission_structure'!$A$1:$A$4,0),MATCH(S$1,'2018_commission_structure'!$A$1:$I$1,0)),0)</f>
        <v>0</v>
      </c>
      <c r="T86" s="9">
        <f t="shared" si="16"/>
        <v>81214.100000000006</v>
      </c>
      <c r="U86" s="9">
        <f t="shared" si="17"/>
        <v>119915.1</v>
      </c>
      <c r="V86" s="9">
        <f>MIN($I86,$H86)*INDEX('Key Metrics'!$E$16:$N$19,MATCH($E86,'Key Metrics'!$E$16:$E$19,0),MATCH(V$1,'Key Metrics'!$E$16:$M$16,0))</f>
        <v>60000</v>
      </c>
      <c r="W86" s="9">
        <f>IF($H86&gt;I86, MIN($H86-I86, J86-I86)*INDEX('Key Metrics'!$E$16:$N$19,MATCH($E86,'Key Metrics'!$E$16:$E$19,0),MATCH(W$1,'Key Metrics'!$E$16:$M$16,0)),0)</f>
        <v>21250</v>
      </c>
      <c r="X86" s="9">
        <f>IF($H86&gt;J86, MIN($H86-J86, K86-J86)*INDEX('Key Metrics'!$E$16:$N$19,MATCH($E86,'Key Metrics'!$E$16:$E$19,0),MATCH(X$1,'Key Metrics'!$E$16:$M$16,0)),0)</f>
        <v>13849</v>
      </c>
      <c r="Y86" s="9">
        <f>IF($H86&gt;K86, MIN($H86-K86, L86-K86)*INDEX('Key Metrics'!$E$16:$N$19,MATCH($E86,'Key Metrics'!$E$16:$E$19,0),MATCH(Y$1,'Key Metrics'!$E$16:$M$16,0)),0)</f>
        <v>0</v>
      </c>
      <c r="Z86" s="9">
        <f>IF($H86&gt;L86,($H86-L86)*INDEX('Key Metrics'!$E$16:$N$19,MATCH($E86,'Key Metrics'!$E$16:$E$19,0),MATCH(Z$1,'Key Metrics'!$E$16:$M$16,0)),0)</f>
        <v>0</v>
      </c>
      <c r="AA86" s="9">
        <f t="shared" si="18"/>
        <v>95099</v>
      </c>
      <c r="AB86" s="9">
        <f t="shared" si="19"/>
        <v>95100.388489999998</v>
      </c>
    </row>
    <row r="87" spans="1:28" x14ac:dyDescent="0.55000000000000004">
      <c r="A87" t="str">
        <f t="shared" si="10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COUNTIF(deals_closed!$D$2:$D$20001,Calculations!B440)</f>
        <v>20</v>
      </c>
      <c r="H87" s="7">
        <f>SUMIF(deals_closed!$D:$D,Calculations!B440,deals_closed!$C:$C)</f>
        <v>638133</v>
      </c>
      <c r="I87" s="5">
        <f>VLOOKUP(E87,'2018_commission_structure'!$A$1:$I$4,9,FALSE)</f>
        <v>500000</v>
      </c>
      <c r="J87" s="9">
        <f t="shared" si="11"/>
        <v>625000</v>
      </c>
      <c r="K87" s="10">
        <f t="shared" si="12"/>
        <v>750000</v>
      </c>
      <c r="L87" s="9">
        <f t="shared" si="13"/>
        <v>1000000</v>
      </c>
      <c r="M87" s="8">
        <f t="shared" si="14"/>
        <v>1.2762659999999999</v>
      </c>
      <c r="N87" t="str">
        <f t="shared" si="15"/>
        <v>125-150%</v>
      </c>
      <c r="O87" s="9">
        <f>MIN($H87,$I87)*INDEX('2018_commission_structure'!$A$1:$I$4,MATCH($E87,'2018_commission_structure'!$A$1:$A$4,0),MATCH(O$1,'2018_commission_structure'!$A$1:$I$1,0))</f>
        <v>50000</v>
      </c>
      <c r="P87" s="9">
        <f>IF(H87&gt;I87, MIN(H87-I87, J87-I87)*INDEX('2018_commission_structure'!$A$1:$I$4,MATCH($E87,'2018_commission_structure'!$A$1:$A$4,0),MATCH(P$1,'2018_commission_structure'!$A$1:$I$1,0)),0)</f>
        <v>18750</v>
      </c>
      <c r="Q87" s="9">
        <f>IF($H87&gt;J87, MIN($H87-J87, K87-J87)*INDEX('2018_commission_structure'!$A$1:$I$4,MATCH($E87,'2018_commission_structure'!$A$1:$A$4,0),MATCH(Q$1,'2018_commission_structure'!$A$1:$I$1,0)),0)</f>
        <v>2363.94</v>
      </c>
      <c r="R87" s="9">
        <f>IF($H87&gt;K87, MIN($H87-K87, L87-K87)*INDEX('2018_commission_structure'!$A$1:$I$4,MATCH($E87,'2018_commission_structure'!$A$1:$A$4,0),MATCH(R$1,'2018_commission_structure'!$A$1:$I$1,0)),0)</f>
        <v>0</v>
      </c>
      <c r="S87" s="9">
        <f>IF(H87&gt;L87,(H87-L87)*INDEX('2018_commission_structure'!$A$1:$I$4,MATCH($E87,'2018_commission_structure'!$A$1:$A$4,0),MATCH(S$1,'2018_commission_structure'!$A$1:$I$1,0)),0)</f>
        <v>0</v>
      </c>
      <c r="T87" s="9">
        <f t="shared" si="16"/>
        <v>71113.94</v>
      </c>
      <c r="U87" s="9">
        <f t="shared" si="17"/>
        <v>105014.94</v>
      </c>
      <c r="V87" s="9">
        <f>MIN($I87,$H87)*INDEX('Key Metrics'!$E$16:$N$19,MATCH($E87,'Key Metrics'!$E$16:$E$19,0),MATCH(V$1,'Key Metrics'!$E$16:$M$16,0))</f>
        <v>60000</v>
      </c>
      <c r="W87" s="9">
        <f>IF($H87&gt;I87, MIN($H87-I87, J87-I87)*INDEX('Key Metrics'!$E$16:$N$19,MATCH($E87,'Key Metrics'!$E$16:$E$19,0),MATCH(W$1,'Key Metrics'!$E$16:$M$16,0)),0)</f>
        <v>21250</v>
      </c>
      <c r="X87" s="9">
        <f>IF($H87&gt;J87, MIN($H87-J87, K87-J87)*INDEX('Key Metrics'!$E$16:$N$19,MATCH($E87,'Key Metrics'!$E$16:$E$19,0),MATCH(X$1,'Key Metrics'!$E$16:$M$16,0)),0)</f>
        <v>2626.6000000000004</v>
      </c>
      <c r="Y87" s="9">
        <f>IF($H87&gt;K87, MIN($H87-K87, L87-K87)*INDEX('Key Metrics'!$E$16:$N$19,MATCH($E87,'Key Metrics'!$E$16:$E$19,0),MATCH(Y$1,'Key Metrics'!$E$16:$M$16,0)),0)</f>
        <v>0</v>
      </c>
      <c r="Z87" s="9">
        <f>IF($H87&gt;L87,($H87-L87)*INDEX('Key Metrics'!$E$16:$N$19,MATCH($E87,'Key Metrics'!$E$16:$E$19,0),MATCH(Z$1,'Key Metrics'!$E$16:$M$16,0)),0)</f>
        <v>0</v>
      </c>
      <c r="AA87" s="9">
        <f t="shared" si="18"/>
        <v>83876.600000000006</v>
      </c>
      <c r="AB87" s="9">
        <f t="shared" si="19"/>
        <v>83877.876266000007</v>
      </c>
    </row>
    <row r="88" spans="1:28" x14ac:dyDescent="0.55000000000000004">
      <c r="A88" t="str">
        <f t="shared" si="10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COUNTIF(deals_closed!$D$2:$D$20001,Calculations!B362)</f>
        <v>17</v>
      </c>
      <c r="H88" s="7">
        <f>SUMIF(deals_closed!$D:$D,Calculations!B362,deals_closed!$C:$C)</f>
        <v>574785</v>
      </c>
      <c r="I88" s="5">
        <f>VLOOKUP(E88,'2018_commission_structure'!$A$1:$I$4,9,FALSE)</f>
        <v>500000</v>
      </c>
      <c r="J88" s="9">
        <f t="shared" si="11"/>
        <v>625000</v>
      </c>
      <c r="K88" s="10">
        <f t="shared" si="12"/>
        <v>750000</v>
      </c>
      <c r="L88" s="9">
        <f t="shared" si="13"/>
        <v>1000000</v>
      </c>
      <c r="M88" s="8">
        <f t="shared" si="14"/>
        <v>1.14957</v>
      </c>
      <c r="N88" t="str">
        <f t="shared" si="15"/>
        <v>100-125%</v>
      </c>
      <c r="O88" s="9">
        <f>MIN($H88,$I88)*INDEX('2018_commission_structure'!$A$1:$I$4,MATCH($E88,'2018_commission_structure'!$A$1:$A$4,0),MATCH(O$1,'2018_commission_structure'!$A$1:$I$1,0))</f>
        <v>50000</v>
      </c>
      <c r="P88" s="9">
        <f>IF(H88&gt;I88, MIN(H88-I88, J88-I88)*INDEX('2018_commission_structure'!$A$1:$I$4,MATCH($E88,'2018_commission_structure'!$A$1:$A$4,0),MATCH(P$1,'2018_commission_structure'!$A$1:$I$1,0)),0)</f>
        <v>11217.75</v>
      </c>
      <c r="Q88" s="9">
        <f>IF($H88&gt;J88, MIN($H88-J88, K88-J88)*INDEX('2018_commission_structure'!$A$1:$I$4,MATCH($E88,'2018_commission_structure'!$A$1:$A$4,0),MATCH(Q$1,'2018_commission_structure'!$A$1:$I$1,0)),0)</f>
        <v>0</v>
      </c>
      <c r="R88" s="9">
        <f>IF($H88&gt;K88, MIN($H88-K88, L88-K88)*INDEX('2018_commission_structure'!$A$1:$I$4,MATCH($E88,'2018_commission_structure'!$A$1:$A$4,0),MATCH(R$1,'2018_commission_structure'!$A$1:$I$1,0)),0)</f>
        <v>0</v>
      </c>
      <c r="S88" s="9">
        <f>IF(H88&gt;L88,(H88-L88)*INDEX('2018_commission_structure'!$A$1:$I$4,MATCH($E88,'2018_commission_structure'!$A$1:$A$4,0),MATCH(S$1,'2018_commission_structure'!$A$1:$I$1,0)),0)</f>
        <v>0</v>
      </c>
      <c r="T88" s="9">
        <f t="shared" si="16"/>
        <v>61217.75</v>
      </c>
      <c r="U88" s="9">
        <f t="shared" si="17"/>
        <v>113078.75</v>
      </c>
      <c r="V88" s="9">
        <f>MIN($I88,$H88)*INDEX('Key Metrics'!$E$16:$N$19,MATCH($E88,'Key Metrics'!$E$16:$E$19,0),MATCH(V$1,'Key Metrics'!$E$16:$M$16,0))</f>
        <v>60000</v>
      </c>
      <c r="W88" s="9">
        <f>IF($H88&gt;I88, MIN($H88-I88, J88-I88)*INDEX('Key Metrics'!$E$16:$N$19,MATCH($E88,'Key Metrics'!$E$16:$E$19,0),MATCH(W$1,'Key Metrics'!$E$16:$M$16,0)),0)</f>
        <v>12713.45</v>
      </c>
      <c r="X88" s="9">
        <f>IF($H88&gt;J88, MIN($H88-J88, K88-J88)*INDEX('Key Metrics'!$E$16:$N$19,MATCH($E88,'Key Metrics'!$E$16:$E$19,0),MATCH(X$1,'Key Metrics'!$E$16:$M$16,0)),0)</f>
        <v>0</v>
      </c>
      <c r="Y88" s="9">
        <f>IF($H88&gt;K88, MIN($H88-K88, L88-K88)*INDEX('Key Metrics'!$E$16:$N$19,MATCH($E88,'Key Metrics'!$E$16:$E$19,0),MATCH(Y$1,'Key Metrics'!$E$16:$M$16,0)),0)</f>
        <v>0</v>
      </c>
      <c r="Z88" s="9">
        <f>IF($H88&gt;L88,($H88-L88)*INDEX('Key Metrics'!$E$16:$N$19,MATCH($E88,'Key Metrics'!$E$16:$E$19,0),MATCH(Z$1,'Key Metrics'!$E$16:$M$16,0)),0)</f>
        <v>0</v>
      </c>
      <c r="AA88" s="9">
        <f t="shared" si="18"/>
        <v>72713.45</v>
      </c>
      <c r="AB88" s="9">
        <f t="shared" si="19"/>
        <v>72714.599569999991</v>
      </c>
    </row>
    <row r="89" spans="1:28" x14ac:dyDescent="0.55000000000000004">
      <c r="A89" t="str">
        <f t="shared" si="10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COUNTIF(deals_closed!$D$2:$D$20001,Calculations!B35)</f>
        <v>15</v>
      </c>
      <c r="H89" s="7">
        <f>SUMIF(deals_closed!$D:$D,Calculations!B35,deals_closed!$C:$C)</f>
        <v>512176</v>
      </c>
      <c r="I89" s="5">
        <f>VLOOKUP(E89,'2018_commission_structure'!$A$1:$I$4,9,FALSE)</f>
        <v>750000</v>
      </c>
      <c r="J89" s="9">
        <f t="shared" si="11"/>
        <v>937500</v>
      </c>
      <c r="K89" s="10">
        <f t="shared" si="12"/>
        <v>1125000</v>
      </c>
      <c r="L89" s="9">
        <f t="shared" si="13"/>
        <v>1500000</v>
      </c>
      <c r="M89" s="8">
        <f t="shared" si="14"/>
        <v>0.68290133333333336</v>
      </c>
      <c r="N89" t="str">
        <f t="shared" si="15"/>
        <v>0-100%</v>
      </c>
      <c r="O89" s="9">
        <f>MIN($H89,$I89)*INDEX('2018_commission_structure'!$A$1:$I$4,MATCH($E89,'2018_commission_structure'!$A$1:$A$4,0),MATCH(O$1,'2018_commission_structure'!$A$1:$I$1,0))</f>
        <v>76826.399999999994</v>
      </c>
      <c r="P89" s="9">
        <f>IF(H89&gt;I89, MIN(H89-I89, J89-I89)*INDEX('2018_commission_structure'!$A$1:$I$4,MATCH($E89,'2018_commission_structure'!$A$1:$A$4,0),MATCH(P$1,'2018_commission_structure'!$A$1:$I$1,0)),0)</f>
        <v>0</v>
      </c>
      <c r="Q89" s="9">
        <f>IF($H89&gt;J89, MIN($H89-J89, K89-J89)*INDEX('2018_commission_structure'!$A$1:$I$4,MATCH($E89,'2018_commission_structure'!$A$1:$A$4,0),MATCH(Q$1,'2018_commission_structure'!$A$1:$I$1,0)),0)</f>
        <v>0</v>
      </c>
      <c r="R89" s="9">
        <f>IF($H89&gt;K89, MIN($H89-K89, L89-K89)*INDEX('2018_commission_structure'!$A$1:$I$4,MATCH($E89,'2018_commission_structure'!$A$1:$A$4,0),MATCH(R$1,'2018_commission_structure'!$A$1:$I$1,0)),0)</f>
        <v>0</v>
      </c>
      <c r="S89" s="9">
        <f>IF(H89&gt;L89,(H89-L89)*INDEX('2018_commission_structure'!$A$1:$I$4,MATCH($E89,'2018_commission_structure'!$A$1:$A$4,0),MATCH(S$1,'2018_commission_structure'!$A$1:$I$1,0)),0)</f>
        <v>0</v>
      </c>
      <c r="T89" s="9">
        <f t="shared" si="16"/>
        <v>76826.399999999994</v>
      </c>
      <c r="U89" s="9">
        <f t="shared" si="17"/>
        <v>175008.4</v>
      </c>
      <c r="V89" s="9">
        <f>MIN($I89,$H89)*INDEX('Key Metrics'!$E$16:$N$19,MATCH($E89,'Key Metrics'!$E$16:$E$19,0),MATCH(V$1,'Key Metrics'!$E$16:$M$16,0))</f>
        <v>76826.399999999994</v>
      </c>
      <c r="W89" s="9">
        <f>IF($H89&gt;I89, MIN($H89-I89, J89-I89)*INDEX('Key Metrics'!$E$16:$N$19,MATCH($E89,'Key Metrics'!$E$16:$E$19,0),MATCH(W$1,'Key Metrics'!$E$16:$M$16,0)),0)</f>
        <v>0</v>
      </c>
      <c r="X89" s="9">
        <f>IF($H89&gt;J89, MIN($H89-J89, K89-J89)*INDEX('Key Metrics'!$E$16:$N$19,MATCH($E89,'Key Metrics'!$E$16:$E$19,0),MATCH(X$1,'Key Metrics'!$E$16:$M$16,0)),0)</f>
        <v>0</v>
      </c>
      <c r="Y89" s="9">
        <f>IF($H89&gt;K89, MIN($H89-K89, L89-K89)*INDEX('Key Metrics'!$E$16:$N$19,MATCH($E89,'Key Metrics'!$E$16:$E$19,0),MATCH(Y$1,'Key Metrics'!$E$16:$M$16,0)),0)</f>
        <v>0</v>
      </c>
      <c r="Z89" s="9">
        <f>IF($H89&gt;L89,($H89-L89)*INDEX('Key Metrics'!$E$16:$N$19,MATCH($E89,'Key Metrics'!$E$16:$E$19,0),MATCH(Z$1,'Key Metrics'!$E$16:$M$16,0)),0)</f>
        <v>0</v>
      </c>
      <c r="AA89" s="9">
        <f t="shared" si="18"/>
        <v>76826.399999999994</v>
      </c>
      <c r="AB89" s="9">
        <f t="shared" si="19"/>
        <v>76827.082901333328</v>
      </c>
    </row>
    <row r="90" spans="1:28" x14ac:dyDescent="0.55000000000000004">
      <c r="A90" t="str">
        <f t="shared" si="10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COUNTIF(deals_closed!$D$2:$D$20001,Calculations!B974)</f>
        <v>13</v>
      </c>
      <c r="H90" s="7">
        <f>SUMIF(deals_closed!$D:$D,Calculations!B974,deals_closed!$C:$C)</f>
        <v>475164</v>
      </c>
      <c r="I90" s="5">
        <f>VLOOKUP(E90,'2018_commission_structure'!$A$1:$I$4,9,FALSE)</f>
        <v>600000</v>
      </c>
      <c r="J90" s="9">
        <f t="shared" si="11"/>
        <v>750000</v>
      </c>
      <c r="K90" s="10">
        <f t="shared" si="12"/>
        <v>900000</v>
      </c>
      <c r="L90" s="9">
        <f t="shared" si="13"/>
        <v>1200000</v>
      </c>
      <c r="M90" s="8">
        <f t="shared" si="14"/>
        <v>0.79193999999999998</v>
      </c>
      <c r="N90" t="str">
        <f t="shared" si="15"/>
        <v>0-100%</v>
      </c>
      <c r="O90" s="9">
        <f>MIN($H90,$I90)*INDEX('2018_commission_structure'!$A$1:$I$4,MATCH($E90,'2018_commission_structure'!$A$1:$A$4,0),MATCH(O$1,'2018_commission_structure'!$A$1:$I$1,0))</f>
        <v>61771.32</v>
      </c>
      <c r="P90" s="9">
        <f>IF(H90&gt;I90, MIN(H90-I90, J90-I90)*INDEX('2018_commission_structure'!$A$1:$I$4,MATCH($E90,'2018_commission_structure'!$A$1:$A$4,0),MATCH(P$1,'2018_commission_structure'!$A$1:$I$1,0)),0)</f>
        <v>0</v>
      </c>
      <c r="Q90" s="9">
        <f>IF($H90&gt;J90, MIN($H90-J90, K90-J90)*INDEX('2018_commission_structure'!$A$1:$I$4,MATCH($E90,'2018_commission_structure'!$A$1:$A$4,0),MATCH(Q$1,'2018_commission_structure'!$A$1:$I$1,0)),0)</f>
        <v>0</v>
      </c>
      <c r="R90" s="9">
        <f>IF($H90&gt;K90, MIN($H90-K90, L90-K90)*INDEX('2018_commission_structure'!$A$1:$I$4,MATCH($E90,'2018_commission_structure'!$A$1:$A$4,0),MATCH(R$1,'2018_commission_structure'!$A$1:$I$1,0)),0)</f>
        <v>0</v>
      </c>
      <c r="S90" s="9">
        <f>IF(H90&gt;L90,(H90-L90)*INDEX('2018_commission_structure'!$A$1:$I$4,MATCH($E90,'2018_commission_structure'!$A$1:$A$4,0),MATCH(S$1,'2018_commission_structure'!$A$1:$I$1,0)),0)</f>
        <v>0</v>
      </c>
      <c r="T90" s="9">
        <f t="shared" si="16"/>
        <v>61771.32</v>
      </c>
      <c r="U90" s="9">
        <f t="shared" si="17"/>
        <v>118821.32</v>
      </c>
      <c r="V90" s="9">
        <f>MIN($I90,$H90)*INDEX('Key Metrics'!$E$16:$N$19,MATCH($E90,'Key Metrics'!$E$16:$E$19,0),MATCH(V$1,'Key Metrics'!$E$16:$M$16,0))</f>
        <v>71274.599999999991</v>
      </c>
      <c r="W90" s="9">
        <f>IF($H90&gt;I90, MIN($H90-I90, J90-I90)*INDEX('Key Metrics'!$E$16:$N$19,MATCH($E90,'Key Metrics'!$E$16:$E$19,0),MATCH(W$1,'Key Metrics'!$E$16:$M$16,0)),0)</f>
        <v>0</v>
      </c>
      <c r="X90" s="9">
        <f>IF($H90&gt;J90, MIN($H90-J90, K90-J90)*INDEX('Key Metrics'!$E$16:$N$19,MATCH($E90,'Key Metrics'!$E$16:$E$19,0),MATCH(X$1,'Key Metrics'!$E$16:$M$16,0)),0)</f>
        <v>0</v>
      </c>
      <c r="Y90" s="9">
        <f>IF($H90&gt;K90, MIN($H90-K90, L90-K90)*INDEX('Key Metrics'!$E$16:$N$19,MATCH($E90,'Key Metrics'!$E$16:$E$19,0),MATCH(Y$1,'Key Metrics'!$E$16:$M$16,0)),0)</f>
        <v>0</v>
      </c>
      <c r="Z90" s="9">
        <f>IF($H90&gt;L90,($H90-L90)*INDEX('Key Metrics'!$E$16:$N$19,MATCH($E90,'Key Metrics'!$E$16:$E$19,0),MATCH(Z$1,'Key Metrics'!$E$16:$M$16,0)),0)</f>
        <v>0</v>
      </c>
      <c r="AA90" s="9">
        <f t="shared" si="18"/>
        <v>71274.599999999991</v>
      </c>
      <c r="AB90" s="9">
        <f t="shared" si="19"/>
        <v>71275.391939999987</v>
      </c>
    </row>
    <row r="91" spans="1:28" x14ac:dyDescent="0.55000000000000004">
      <c r="A91" t="str">
        <f t="shared" si="10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COUNTIF(deals_closed!$D$2:$D$20001,Calculations!B774)</f>
        <v>24</v>
      </c>
      <c r="H91" s="7">
        <f>SUMIF(deals_closed!$D:$D,Calculations!B774,deals_closed!$C:$C)</f>
        <v>846426</v>
      </c>
      <c r="I91" s="5">
        <f>VLOOKUP(E91,'2018_commission_structure'!$A$1:$I$4,9,FALSE)</f>
        <v>500000</v>
      </c>
      <c r="J91" s="9">
        <f t="shared" si="11"/>
        <v>625000</v>
      </c>
      <c r="K91" s="10">
        <f t="shared" si="12"/>
        <v>750000</v>
      </c>
      <c r="L91" s="9">
        <f t="shared" si="13"/>
        <v>1000000</v>
      </c>
      <c r="M91" s="8">
        <f t="shared" si="14"/>
        <v>1.692852</v>
      </c>
      <c r="N91" t="str">
        <f t="shared" si="15"/>
        <v>150-200%</v>
      </c>
      <c r="O91" s="9">
        <f>MIN($H91,$I91)*INDEX('2018_commission_structure'!$A$1:$I$4,MATCH($E91,'2018_commission_structure'!$A$1:$A$4,0),MATCH(O$1,'2018_commission_structure'!$A$1:$I$1,0))</f>
        <v>50000</v>
      </c>
      <c r="P91" s="9">
        <f>IF(H91&gt;I91, MIN(H91-I91, J91-I91)*INDEX('2018_commission_structure'!$A$1:$I$4,MATCH($E91,'2018_commission_structure'!$A$1:$A$4,0),MATCH(P$1,'2018_commission_structure'!$A$1:$I$1,0)),0)</f>
        <v>18750</v>
      </c>
      <c r="Q91" s="9">
        <f>IF($H91&gt;J91, MIN($H91-J91, K91-J91)*INDEX('2018_commission_structure'!$A$1:$I$4,MATCH($E91,'2018_commission_structure'!$A$1:$A$4,0),MATCH(Q$1,'2018_commission_structure'!$A$1:$I$1,0)),0)</f>
        <v>22500</v>
      </c>
      <c r="R91" s="9">
        <f>IF($H91&gt;K91, MIN($H91-K91, L91-K91)*INDEX('2018_commission_structure'!$A$1:$I$4,MATCH($E91,'2018_commission_structure'!$A$1:$A$4,0),MATCH(R$1,'2018_commission_structure'!$A$1:$I$1,0)),0)</f>
        <v>21213.72</v>
      </c>
      <c r="S91" s="9">
        <f>IF(H91&gt;L91,(H91-L91)*INDEX('2018_commission_structure'!$A$1:$I$4,MATCH($E91,'2018_commission_structure'!$A$1:$A$4,0),MATCH(S$1,'2018_commission_structure'!$A$1:$I$1,0)),0)</f>
        <v>0</v>
      </c>
      <c r="T91" s="9">
        <f t="shared" si="16"/>
        <v>112463.72</v>
      </c>
      <c r="U91" s="9">
        <f t="shared" si="17"/>
        <v>162063.72</v>
      </c>
      <c r="V91" s="9">
        <f>MIN($I91,$H91)*INDEX('Key Metrics'!$E$16:$N$19,MATCH($E91,'Key Metrics'!$E$16:$E$19,0),MATCH(V$1,'Key Metrics'!$E$16:$M$16,0))</f>
        <v>60000</v>
      </c>
      <c r="W91" s="9">
        <f>IF($H91&gt;I91, MIN($H91-I91, J91-I91)*INDEX('Key Metrics'!$E$16:$N$19,MATCH($E91,'Key Metrics'!$E$16:$E$19,0),MATCH(W$1,'Key Metrics'!$E$16:$M$16,0)),0)</f>
        <v>21250</v>
      </c>
      <c r="X91" s="9">
        <f>IF($H91&gt;J91, MIN($H91-J91, K91-J91)*INDEX('Key Metrics'!$E$16:$N$19,MATCH($E91,'Key Metrics'!$E$16:$E$19,0),MATCH(X$1,'Key Metrics'!$E$16:$M$16,0)),0)</f>
        <v>25000</v>
      </c>
      <c r="Y91" s="9">
        <f>IF($H91&gt;K91, MIN($H91-K91, L91-K91)*INDEX('Key Metrics'!$E$16:$N$19,MATCH($E91,'Key Metrics'!$E$16:$E$19,0),MATCH(Y$1,'Key Metrics'!$E$16:$M$16,0)),0)</f>
        <v>21213.72</v>
      </c>
      <c r="Z91" s="9">
        <f>IF($H91&gt;L91,($H91-L91)*INDEX('Key Metrics'!$E$16:$N$19,MATCH($E91,'Key Metrics'!$E$16:$E$19,0),MATCH(Z$1,'Key Metrics'!$E$16:$M$16,0)),0)</f>
        <v>0</v>
      </c>
      <c r="AA91" s="9">
        <f t="shared" si="18"/>
        <v>127463.72</v>
      </c>
      <c r="AB91" s="9">
        <f t="shared" si="19"/>
        <v>127465.41285199999</v>
      </c>
    </row>
    <row r="92" spans="1:28" x14ac:dyDescent="0.55000000000000004">
      <c r="A92" t="str">
        <f t="shared" si="10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COUNTIF(deals_closed!$D$2:$D$20001,Calculations!B915)</f>
        <v>25</v>
      </c>
      <c r="H92" s="7">
        <f>SUMIF(deals_closed!$D:$D,Calculations!B915,deals_closed!$C:$C)</f>
        <v>863714</v>
      </c>
      <c r="I92" s="5">
        <f>VLOOKUP(E92,'2018_commission_structure'!$A$1:$I$4,9,FALSE)</f>
        <v>600000</v>
      </c>
      <c r="J92" s="9">
        <f t="shared" si="11"/>
        <v>750000</v>
      </c>
      <c r="K92" s="10">
        <f t="shared" si="12"/>
        <v>900000</v>
      </c>
      <c r="L92" s="9">
        <f t="shared" si="13"/>
        <v>1200000</v>
      </c>
      <c r="M92" s="8">
        <f t="shared" si="14"/>
        <v>1.4395233333333333</v>
      </c>
      <c r="N92" t="str">
        <f t="shared" si="15"/>
        <v>125-150%</v>
      </c>
      <c r="O92" s="9">
        <f>MIN($H92,$I92)*INDEX('2018_commission_structure'!$A$1:$I$4,MATCH($E92,'2018_commission_structure'!$A$1:$A$4,0),MATCH(O$1,'2018_commission_structure'!$A$1:$I$1,0))</f>
        <v>78000</v>
      </c>
      <c r="P92" s="9">
        <f>IF(H92&gt;I92, MIN(H92-I92, J92-I92)*INDEX('2018_commission_structure'!$A$1:$I$4,MATCH($E92,'2018_commission_structure'!$A$1:$A$4,0),MATCH(P$1,'2018_commission_structure'!$A$1:$I$1,0)),0)</f>
        <v>25500.000000000004</v>
      </c>
      <c r="Q92" s="9">
        <f>IF($H92&gt;J92, MIN($H92-J92, K92-J92)*INDEX('2018_commission_structure'!$A$1:$I$4,MATCH($E92,'2018_commission_structure'!$A$1:$A$4,0),MATCH(Q$1,'2018_commission_structure'!$A$1:$I$1,0)),0)</f>
        <v>23879.94</v>
      </c>
      <c r="R92" s="9">
        <f>IF($H92&gt;K92, MIN($H92-K92, L92-K92)*INDEX('2018_commission_structure'!$A$1:$I$4,MATCH($E92,'2018_commission_structure'!$A$1:$A$4,0),MATCH(R$1,'2018_commission_structure'!$A$1:$I$1,0)),0)</f>
        <v>0</v>
      </c>
      <c r="S92" s="9">
        <f>IF(H92&gt;L92,(H92-L92)*INDEX('2018_commission_structure'!$A$1:$I$4,MATCH($E92,'2018_commission_structure'!$A$1:$A$4,0),MATCH(S$1,'2018_commission_structure'!$A$1:$I$1,0)),0)</f>
        <v>0</v>
      </c>
      <c r="T92" s="9">
        <f t="shared" si="16"/>
        <v>127379.94</v>
      </c>
      <c r="U92" s="9">
        <f t="shared" si="17"/>
        <v>197504.94</v>
      </c>
      <c r="V92" s="9">
        <f>MIN($I92,$H92)*INDEX('Key Metrics'!$E$16:$N$19,MATCH($E92,'Key Metrics'!$E$16:$E$19,0),MATCH(V$1,'Key Metrics'!$E$16:$M$16,0))</f>
        <v>90000</v>
      </c>
      <c r="W92" s="9">
        <f>IF($H92&gt;I92, MIN($H92-I92, J92-I92)*INDEX('Key Metrics'!$E$16:$N$19,MATCH($E92,'Key Metrics'!$E$16:$E$19,0),MATCH(W$1,'Key Metrics'!$E$16:$M$16,0)),0)</f>
        <v>27000</v>
      </c>
      <c r="X92" s="9">
        <f>IF($H92&gt;J92, MIN($H92-J92, K92-J92)*INDEX('Key Metrics'!$E$16:$N$19,MATCH($E92,'Key Metrics'!$E$16:$E$19,0),MATCH(X$1,'Key Metrics'!$E$16:$M$16,0)),0)</f>
        <v>28428.5</v>
      </c>
      <c r="Y92" s="9">
        <f>IF($H92&gt;K92, MIN($H92-K92, L92-K92)*INDEX('Key Metrics'!$E$16:$N$19,MATCH($E92,'Key Metrics'!$E$16:$E$19,0),MATCH(Y$1,'Key Metrics'!$E$16:$M$16,0)),0)</f>
        <v>0</v>
      </c>
      <c r="Z92" s="9">
        <f>IF($H92&gt;L92,($H92-L92)*INDEX('Key Metrics'!$E$16:$N$19,MATCH($E92,'Key Metrics'!$E$16:$E$19,0),MATCH(Z$1,'Key Metrics'!$E$16:$M$16,0)),0)</f>
        <v>0</v>
      </c>
      <c r="AA92" s="9">
        <f t="shared" si="18"/>
        <v>145428.5</v>
      </c>
      <c r="AB92" s="9">
        <f t="shared" si="19"/>
        <v>145429.93952333333</v>
      </c>
    </row>
    <row r="93" spans="1:28" x14ac:dyDescent="0.55000000000000004">
      <c r="A93" t="str">
        <f t="shared" si="10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COUNTIF(deals_closed!$D$2:$D$20001,Calculations!B180)</f>
        <v>21</v>
      </c>
      <c r="H93" s="7">
        <f>SUMIF(deals_closed!$D:$D,Calculations!B180,deals_closed!$C:$C)</f>
        <v>635919</v>
      </c>
      <c r="I93" s="5">
        <f>VLOOKUP(E93,'2018_commission_structure'!$A$1:$I$4,9,FALSE)</f>
        <v>750000</v>
      </c>
      <c r="J93" s="9">
        <f t="shared" si="11"/>
        <v>937500</v>
      </c>
      <c r="K93" s="10">
        <f t="shared" si="12"/>
        <v>1125000</v>
      </c>
      <c r="L93" s="9">
        <f t="shared" si="13"/>
        <v>1500000</v>
      </c>
      <c r="M93" s="8">
        <f t="shared" si="14"/>
        <v>0.84789199999999998</v>
      </c>
      <c r="N93" t="str">
        <f t="shared" si="15"/>
        <v>0-100%</v>
      </c>
      <c r="O93" s="9">
        <f>MIN($H93,$I93)*INDEX('2018_commission_structure'!$A$1:$I$4,MATCH($E93,'2018_commission_structure'!$A$1:$A$4,0),MATCH(O$1,'2018_commission_structure'!$A$1:$I$1,0))</f>
        <v>95387.849999999991</v>
      </c>
      <c r="P93" s="9">
        <f>IF(H93&gt;I93, MIN(H93-I93, J93-I93)*INDEX('2018_commission_structure'!$A$1:$I$4,MATCH($E93,'2018_commission_structure'!$A$1:$A$4,0),MATCH(P$1,'2018_commission_structure'!$A$1:$I$1,0)),0)</f>
        <v>0</v>
      </c>
      <c r="Q93" s="9">
        <f>IF($H93&gt;J93, MIN($H93-J93, K93-J93)*INDEX('2018_commission_structure'!$A$1:$I$4,MATCH($E93,'2018_commission_structure'!$A$1:$A$4,0),MATCH(Q$1,'2018_commission_structure'!$A$1:$I$1,0)),0)</f>
        <v>0</v>
      </c>
      <c r="R93" s="9">
        <f>IF($H93&gt;K93, MIN($H93-K93, L93-K93)*INDEX('2018_commission_structure'!$A$1:$I$4,MATCH($E93,'2018_commission_structure'!$A$1:$A$4,0),MATCH(R$1,'2018_commission_structure'!$A$1:$I$1,0)),0)</f>
        <v>0</v>
      </c>
      <c r="S93" s="9">
        <f>IF(H93&gt;L93,(H93-L93)*INDEX('2018_commission_structure'!$A$1:$I$4,MATCH($E93,'2018_commission_structure'!$A$1:$A$4,0),MATCH(S$1,'2018_commission_structure'!$A$1:$I$1,0)),0)</f>
        <v>0</v>
      </c>
      <c r="T93" s="9">
        <f t="shared" si="16"/>
        <v>95387.849999999991</v>
      </c>
      <c r="U93" s="9">
        <f t="shared" si="17"/>
        <v>179962.84999999998</v>
      </c>
      <c r="V93" s="9">
        <f>MIN($I93,$H93)*INDEX('Key Metrics'!$E$16:$N$19,MATCH($E93,'Key Metrics'!$E$16:$E$19,0),MATCH(V$1,'Key Metrics'!$E$16:$M$16,0))</f>
        <v>95387.849999999991</v>
      </c>
      <c r="W93" s="9">
        <f>IF($H93&gt;I93, MIN($H93-I93, J93-I93)*INDEX('Key Metrics'!$E$16:$N$19,MATCH($E93,'Key Metrics'!$E$16:$E$19,0),MATCH(W$1,'Key Metrics'!$E$16:$M$16,0)),0)</f>
        <v>0</v>
      </c>
      <c r="X93" s="9">
        <f>IF($H93&gt;J93, MIN($H93-J93, K93-J93)*INDEX('Key Metrics'!$E$16:$N$19,MATCH($E93,'Key Metrics'!$E$16:$E$19,0),MATCH(X$1,'Key Metrics'!$E$16:$M$16,0)),0)</f>
        <v>0</v>
      </c>
      <c r="Y93" s="9">
        <f>IF($H93&gt;K93, MIN($H93-K93, L93-K93)*INDEX('Key Metrics'!$E$16:$N$19,MATCH($E93,'Key Metrics'!$E$16:$E$19,0),MATCH(Y$1,'Key Metrics'!$E$16:$M$16,0)),0)</f>
        <v>0</v>
      </c>
      <c r="Z93" s="9">
        <f>IF($H93&gt;L93,($H93-L93)*INDEX('Key Metrics'!$E$16:$N$19,MATCH($E93,'Key Metrics'!$E$16:$E$19,0),MATCH(Z$1,'Key Metrics'!$E$16:$M$16,0)),0)</f>
        <v>0</v>
      </c>
      <c r="AA93" s="9">
        <f t="shared" si="18"/>
        <v>95387.849999999991</v>
      </c>
      <c r="AB93" s="9">
        <f t="shared" si="19"/>
        <v>95388.697891999997</v>
      </c>
    </row>
    <row r="94" spans="1:28" x14ac:dyDescent="0.55000000000000004">
      <c r="A94" t="str">
        <f t="shared" si="10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COUNTIF(deals_closed!$D$2:$D$20001,Calculations!B473)</f>
        <v>16</v>
      </c>
      <c r="H94" s="7">
        <f>SUMIF(deals_closed!$D:$D,Calculations!B473,deals_closed!$C:$C)</f>
        <v>529642</v>
      </c>
      <c r="I94" s="5">
        <f>VLOOKUP(E94,'2018_commission_structure'!$A$1:$I$4,9,FALSE)</f>
        <v>500000</v>
      </c>
      <c r="J94" s="9">
        <f t="shared" si="11"/>
        <v>625000</v>
      </c>
      <c r="K94" s="10">
        <f t="shared" si="12"/>
        <v>750000</v>
      </c>
      <c r="L94" s="9">
        <f t="shared" si="13"/>
        <v>1000000</v>
      </c>
      <c r="M94" s="8">
        <f t="shared" si="14"/>
        <v>1.0592839999999999</v>
      </c>
      <c r="N94" t="str">
        <f t="shared" si="15"/>
        <v>100-125%</v>
      </c>
      <c r="O94" s="9">
        <f>MIN($H94,$I94)*INDEX('2018_commission_structure'!$A$1:$I$4,MATCH($E94,'2018_commission_structure'!$A$1:$A$4,0),MATCH(O$1,'2018_commission_structure'!$A$1:$I$1,0))</f>
        <v>50000</v>
      </c>
      <c r="P94" s="9">
        <f>IF(H94&gt;I94, MIN(H94-I94, J94-I94)*INDEX('2018_commission_structure'!$A$1:$I$4,MATCH($E94,'2018_commission_structure'!$A$1:$A$4,0),MATCH(P$1,'2018_commission_structure'!$A$1:$I$1,0)),0)</f>
        <v>4446.3</v>
      </c>
      <c r="Q94" s="9">
        <f>IF($H94&gt;J94, MIN($H94-J94, K94-J94)*INDEX('2018_commission_structure'!$A$1:$I$4,MATCH($E94,'2018_commission_structure'!$A$1:$A$4,0),MATCH(Q$1,'2018_commission_structure'!$A$1:$I$1,0)),0)</f>
        <v>0</v>
      </c>
      <c r="R94" s="9">
        <f>IF($H94&gt;K94, MIN($H94-K94, L94-K94)*INDEX('2018_commission_structure'!$A$1:$I$4,MATCH($E94,'2018_commission_structure'!$A$1:$A$4,0),MATCH(R$1,'2018_commission_structure'!$A$1:$I$1,0)),0)</f>
        <v>0</v>
      </c>
      <c r="S94" s="9">
        <f>IF(H94&gt;L94,(H94-L94)*INDEX('2018_commission_structure'!$A$1:$I$4,MATCH($E94,'2018_commission_structure'!$A$1:$A$4,0),MATCH(S$1,'2018_commission_structure'!$A$1:$I$1,0)),0)</f>
        <v>0</v>
      </c>
      <c r="T94" s="9">
        <f t="shared" si="16"/>
        <v>54446.3</v>
      </c>
      <c r="U94" s="9">
        <f t="shared" si="17"/>
        <v>117770.3</v>
      </c>
      <c r="V94" s="9">
        <f>MIN($I94,$H94)*INDEX('Key Metrics'!$E$16:$N$19,MATCH($E94,'Key Metrics'!$E$16:$E$19,0),MATCH(V$1,'Key Metrics'!$E$16:$M$16,0))</f>
        <v>60000</v>
      </c>
      <c r="W94" s="9">
        <f>IF($H94&gt;I94, MIN($H94-I94, J94-I94)*INDEX('Key Metrics'!$E$16:$N$19,MATCH($E94,'Key Metrics'!$E$16:$E$19,0),MATCH(W$1,'Key Metrics'!$E$16:$M$16,0)),0)</f>
        <v>5039.1400000000003</v>
      </c>
      <c r="X94" s="9">
        <f>IF($H94&gt;J94, MIN($H94-J94, K94-J94)*INDEX('Key Metrics'!$E$16:$N$19,MATCH($E94,'Key Metrics'!$E$16:$E$19,0),MATCH(X$1,'Key Metrics'!$E$16:$M$16,0)),0)</f>
        <v>0</v>
      </c>
      <c r="Y94" s="9">
        <f>IF($H94&gt;K94, MIN($H94-K94, L94-K94)*INDEX('Key Metrics'!$E$16:$N$19,MATCH($E94,'Key Metrics'!$E$16:$E$19,0),MATCH(Y$1,'Key Metrics'!$E$16:$M$16,0)),0)</f>
        <v>0</v>
      </c>
      <c r="Z94" s="9">
        <f>IF($H94&gt;L94,($H94-L94)*INDEX('Key Metrics'!$E$16:$N$19,MATCH($E94,'Key Metrics'!$E$16:$E$19,0),MATCH(Z$1,'Key Metrics'!$E$16:$M$16,0)),0)</f>
        <v>0</v>
      </c>
      <c r="AA94" s="9">
        <f t="shared" si="18"/>
        <v>65039.14</v>
      </c>
      <c r="AB94" s="9">
        <f t="shared" si="19"/>
        <v>65040.199284000002</v>
      </c>
    </row>
    <row r="95" spans="1:28" x14ac:dyDescent="0.55000000000000004">
      <c r="A95" t="str">
        <f t="shared" si="10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COUNTIF(deals_closed!$D$2:$D$20001,Calculations!B986)</f>
        <v>22</v>
      </c>
      <c r="H95" s="7">
        <f>SUMIF(deals_closed!$D:$D,Calculations!B986,deals_closed!$C:$C)</f>
        <v>886977</v>
      </c>
      <c r="I95" s="5">
        <f>VLOOKUP(E95,'2018_commission_structure'!$A$1:$I$4,9,FALSE)</f>
        <v>500000</v>
      </c>
      <c r="J95" s="9">
        <f t="shared" si="11"/>
        <v>625000</v>
      </c>
      <c r="K95" s="10">
        <f t="shared" si="12"/>
        <v>750000</v>
      </c>
      <c r="L95" s="9">
        <f t="shared" si="13"/>
        <v>1000000</v>
      </c>
      <c r="M95" s="8">
        <f t="shared" si="14"/>
        <v>1.773954</v>
      </c>
      <c r="N95" t="str">
        <f t="shared" si="15"/>
        <v>150-200%</v>
      </c>
      <c r="O95" s="9">
        <f>MIN($H95,$I95)*INDEX('2018_commission_structure'!$A$1:$I$4,MATCH($E95,'2018_commission_structure'!$A$1:$A$4,0),MATCH(O$1,'2018_commission_structure'!$A$1:$I$1,0))</f>
        <v>50000</v>
      </c>
      <c r="P95" s="9">
        <f>IF(H95&gt;I95, MIN(H95-I95, J95-I95)*INDEX('2018_commission_structure'!$A$1:$I$4,MATCH($E95,'2018_commission_structure'!$A$1:$A$4,0),MATCH(P$1,'2018_commission_structure'!$A$1:$I$1,0)),0)</f>
        <v>18750</v>
      </c>
      <c r="Q95" s="9">
        <f>IF($H95&gt;J95, MIN($H95-J95, K95-J95)*INDEX('2018_commission_structure'!$A$1:$I$4,MATCH($E95,'2018_commission_structure'!$A$1:$A$4,0),MATCH(Q$1,'2018_commission_structure'!$A$1:$I$1,0)),0)</f>
        <v>22500</v>
      </c>
      <c r="R95" s="9">
        <f>IF($H95&gt;K95, MIN($H95-K95, L95-K95)*INDEX('2018_commission_structure'!$A$1:$I$4,MATCH($E95,'2018_commission_structure'!$A$1:$A$4,0),MATCH(R$1,'2018_commission_structure'!$A$1:$I$1,0)),0)</f>
        <v>30134.94</v>
      </c>
      <c r="S95" s="9">
        <f>IF(H95&gt;L95,(H95-L95)*INDEX('2018_commission_structure'!$A$1:$I$4,MATCH($E95,'2018_commission_structure'!$A$1:$A$4,0),MATCH(S$1,'2018_commission_structure'!$A$1:$I$1,0)),0)</f>
        <v>0</v>
      </c>
      <c r="T95" s="9">
        <f t="shared" si="16"/>
        <v>121384.94</v>
      </c>
      <c r="U95" s="9">
        <f t="shared" si="17"/>
        <v>177212.94</v>
      </c>
      <c r="V95" s="9">
        <f>MIN($I95,$H95)*INDEX('Key Metrics'!$E$16:$N$19,MATCH($E95,'Key Metrics'!$E$16:$E$19,0),MATCH(V$1,'Key Metrics'!$E$16:$M$16,0))</f>
        <v>60000</v>
      </c>
      <c r="W95" s="9">
        <f>IF($H95&gt;I95, MIN($H95-I95, J95-I95)*INDEX('Key Metrics'!$E$16:$N$19,MATCH($E95,'Key Metrics'!$E$16:$E$19,0),MATCH(W$1,'Key Metrics'!$E$16:$M$16,0)),0)</f>
        <v>21250</v>
      </c>
      <c r="X95" s="9">
        <f>IF($H95&gt;J95, MIN($H95-J95, K95-J95)*INDEX('Key Metrics'!$E$16:$N$19,MATCH($E95,'Key Metrics'!$E$16:$E$19,0),MATCH(X$1,'Key Metrics'!$E$16:$M$16,0)),0)</f>
        <v>25000</v>
      </c>
      <c r="Y95" s="9">
        <f>IF($H95&gt;K95, MIN($H95-K95, L95-K95)*INDEX('Key Metrics'!$E$16:$N$19,MATCH($E95,'Key Metrics'!$E$16:$E$19,0),MATCH(Y$1,'Key Metrics'!$E$16:$M$16,0)),0)</f>
        <v>30134.94</v>
      </c>
      <c r="Z95" s="9">
        <f>IF($H95&gt;L95,($H95-L95)*INDEX('Key Metrics'!$E$16:$N$19,MATCH($E95,'Key Metrics'!$E$16:$E$19,0),MATCH(Z$1,'Key Metrics'!$E$16:$M$16,0)),0)</f>
        <v>0</v>
      </c>
      <c r="AA95" s="9">
        <f t="shared" si="18"/>
        <v>136384.94</v>
      </c>
      <c r="AB95" s="9">
        <f t="shared" si="19"/>
        <v>136386.71395400001</v>
      </c>
    </row>
    <row r="96" spans="1:28" x14ac:dyDescent="0.55000000000000004">
      <c r="A96" t="str">
        <f t="shared" si="10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COUNTIF(deals_closed!$D$2:$D$20001,Calculations!B42)</f>
        <v>18</v>
      </c>
      <c r="H96" s="7">
        <f>SUMIF(deals_closed!$D:$D,Calculations!B42,deals_closed!$C:$C)</f>
        <v>621994</v>
      </c>
      <c r="I96" s="5">
        <f>VLOOKUP(E96,'2018_commission_structure'!$A$1:$I$4,9,FALSE)</f>
        <v>750000</v>
      </c>
      <c r="J96" s="9">
        <f t="shared" si="11"/>
        <v>937500</v>
      </c>
      <c r="K96" s="10">
        <f t="shared" si="12"/>
        <v>1125000</v>
      </c>
      <c r="L96" s="9">
        <f t="shared" si="13"/>
        <v>1500000</v>
      </c>
      <c r="M96" s="8">
        <f t="shared" si="14"/>
        <v>0.82932533333333336</v>
      </c>
      <c r="N96" t="str">
        <f t="shared" si="15"/>
        <v>0-100%</v>
      </c>
      <c r="O96" s="9">
        <f>MIN($H96,$I96)*INDEX('2018_commission_structure'!$A$1:$I$4,MATCH($E96,'2018_commission_structure'!$A$1:$A$4,0),MATCH(O$1,'2018_commission_structure'!$A$1:$I$1,0))</f>
        <v>93299.099999999991</v>
      </c>
      <c r="P96" s="9">
        <f>IF(H96&gt;I96, MIN(H96-I96, J96-I96)*INDEX('2018_commission_structure'!$A$1:$I$4,MATCH($E96,'2018_commission_structure'!$A$1:$A$4,0),MATCH(P$1,'2018_commission_structure'!$A$1:$I$1,0)),0)</f>
        <v>0</v>
      </c>
      <c r="Q96" s="9">
        <f>IF($H96&gt;J96, MIN($H96-J96, K96-J96)*INDEX('2018_commission_structure'!$A$1:$I$4,MATCH($E96,'2018_commission_structure'!$A$1:$A$4,0),MATCH(Q$1,'2018_commission_structure'!$A$1:$I$1,0)),0)</f>
        <v>0</v>
      </c>
      <c r="R96" s="9">
        <f>IF($H96&gt;K96, MIN($H96-K96, L96-K96)*INDEX('2018_commission_structure'!$A$1:$I$4,MATCH($E96,'2018_commission_structure'!$A$1:$A$4,0),MATCH(R$1,'2018_commission_structure'!$A$1:$I$1,0)),0)</f>
        <v>0</v>
      </c>
      <c r="S96" s="9">
        <f>IF(H96&gt;L96,(H96-L96)*INDEX('2018_commission_structure'!$A$1:$I$4,MATCH($E96,'2018_commission_structure'!$A$1:$A$4,0),MATCH(S$1,'2018_commission_structure'!$A$1:$I$1,0)),0)</f>
        <v>0</v>
      </c>
      <c r="T96" s="9">
        <f t="shared" si="16"/>
        <v>93299.099999999991</v>
      </c>
      <c r="U96" s="9">
        <f t="shared" si="17"/>
        <v>173054.09999999998</v>
      </c>
      <c r="V96" s="9">
        <f>MIN($I96,$H96)*INDEX('Key Metrics'!$E$16:$N$19,MATCH($E96,'Key Metrics'!$E$16:$E$19,0),MATCH(V$1,'Key Metrics'!$E$16:$M$16,0))</f>
        <v>93299.099999999991</v>
      </c>
      <c r="W96" s="9">
        <f>IF($H96&gt;I96, MIN($H96-I96, J96-I96)*INDEX('Key Metrics'!$E$16:$N$19,MATCH($E96,'Key Metrics'!$E$16:$E$19,0),MATCH(W$1,'Key Metrics'!$E$16:$M$16,0)),0)</f>
        <v>0</v>
      </c>
      <c r="X96" s="9">
        <f>IF($H96&gt;J96, MIN($H96-J96, K96-J96)*INDEX('Key Metrics'!$E$16:$N$19,MATCH($E96,'Key Metrics'!$E$16:$E$19,0),MATCH(X$1,'Key Metrics'!$E$16:$M$16,0)),0)</f>
        <v>0</v>
      </c>
      <c r="Y96" s="9">
        <f>IF($H96&gt;K96, MIN($H96-K96, L96-K96)*INDEX('Key Metrics'!$E$16:$N$19,MATCH($E96,'Key Metrics'!$E$16:$E$19,0),MATCH(Y$1,'Key Metrics'!$E$16:$M$16,0)),0)</f>
        <v>0</v>
      </c>
      <c r="Z96" s="9">
        <f>IF($H96&gt;L96,($H96-L96)*INDEX('Key Metrics'!$E$16:$N$19,MATCH($E96,'Key Metrics'!$E$16:$E$19,0),MATCH(Z$1,'Key Metrics'!$E$16:$M$16,0)),0)</f>
        <v>0</v>
      </c>
      <c r="AA96" s="9">
        <f t="shared" si="18"/>
        <v>93299.099999999991</v>
      </c>
      <c r="AB96" s="9">
        <f t="shared" si="19"/>
        <v>93299.929325333331</v>
      </c>
    </row>
    <row r="97" spans="1:28" x14ac:dyDescent="0.55000000000000004">
      <c r="A97" t="str">
        <f t="shared" si="10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COUNTIF(deals_closed!$D$2:$D$20001,Calculations!B343)</f>
        <v>23</v>
      </c>
      <c r="H97" s="7">
        <f>SUMIF(deals_closed!$D:$D,Calculations!B343,deals_closed!$C:$C)</f>
        <v>854570</v>
      </c>
      <c r="I97" s="5">
        <f>VLOOKUP(E97,'2018_commission_structure'!$A$1:$I$4,9,FALSE)</f>
        <v>500000</v>
      </c>
      <c r="J97" s="9">
        <f t="shared" si="11"/>
        <v>625000</v>
      </c>
      <c r="K97" s="10">
        <f t="shared" si="12"/>
        <v>750000</v>
      </c>
      <c r="L97" s="9">
        <f t="shared" si="13"/>
        <v>1000000</v>
      </c>
      <c r="M97" s="8">
        <f t="shared" si="14"/>
        <v>1.7091400000000001</v>
      </c>
      <c r="N97" t="str">
        <f t="shared" si="15"/>
        <v>150-200%</v>
      </c>
      <c r="O97" s="9">
        <f>MIN($H97,$I97)*INDEX('2018_commission_structure'!$A$1:$I$4,MATCH($E97,'2018_commission_structure'!$A$1:$A$4,0),MATCH(O$1,'2018_commission_structure'!$A$1:$I$1,0))</f>
        <v>50000</v>
      </c>
      <c r="P97" s="9">
        <f>IF(H97&gt;I97, MIN(H97-I97, J97-I97)*INDEX('2018_commission_structure'!$A$1:$I$4,MATCH($E97,'2018_commission_structure'!$A$1:$A$4,0),MATCH(P$1,'2018_commission_structure'!$A$1:$I$1,0)),0)</f>
        <v>18750</v>
      </c>
      <c r="Q97" s="9">
        <f>IF($H97&gt;J97, MIN($H97-J97, K97-J97)*INDEX('2018_commission_structure'!$A$1:$I$4,MATCH($E97,'2018_commission_structure'!$A$1:$A$4,0),MATCH(Q$1,'2018_commission_structure'!$A$1:$I$1,0)),0)</f>
        <v>22500</v>
      </c>
      <c r="R97" s="9">
        <f>IF($H97&gt;K97, MIN($H97-K97, L97-K97)*INDEX('2018_commission_structure'!$A$1:$I$4,MATCH($E97,'2018_commission_structure'!$A$1:$A$4,0),MATCH(R$1,'2018_commission_structure'!$A$1:$I$1,0)),0)</f>
        <v>23005.4</v>
      </c>
      <c r="S97" s="9">
        <f>IF(H97&gt;L97,(H97-L97)*INDEX('2018_commission_structure'!$A$1:$I$4,MATCH($E97,'2018_commission_structure'!$A$1:$A$4,0),MATCH(S$1,'2018_commission_structure'!$A$1:$I$1,0)),0)</f>
        <v>0</v>
      </c>
      <c r="T97" s="9">
        <f t="shared" si="16"/>
        <v>114255.4</v>
      </c>
      <c r="U97" s="9">
        <f t="shared" si="17"/>
        <v>168374.39999999999</v>
      </c>
      <c r="V97" s="9">
        <f>MIN($I97,$H97)*INDEX('Key Metrics'!$E$16:$N$19,MATCH($E97,'Key Metrics'!$E$16:$E$19,0),MATCH(V$1,'Key Metrics'!$E$16:$M$16,0))</f>
        <v>60000</v>
      </c>
      <c r="W97" s="9">
        <f>IF($H97&gt;I97, MIN($H97-I97, J97-I97)*INDEX('Key Metrics'!$E$16:$N$19,MATCH($E97,'Key Metrics'!$E$16:$E$19,0),MATCH(W$1,'Key Metrics'!$E$16:$M$16,0)),0)</f>
        <v>21250</v>
      </c>
      <c r="X97" s="9">
        <f>IF($H97&gt;J97, MIN($H97-J97, K97-J97)*INDEX('Key Metrics'!$E$16:$N$19,MATCH($E97,'Key Metrics'!$E$16:$E$19,0),MATCH(X$1,'Key Metrics'!$E$16:$M$16,0)),0)</f>
        <v>25000</v>
      </c>
      <c r="Y97" s="9">
        <f>IF($H97&gt;K97, MIN($H97-K97, L97-K97)*INDEX('Key Metrics'!$E$16:$N$19,MATCH($E97,'Key Metrics'!$E$16:$E$19,0),MATCH(Y$1,'Key Metrics'!$E$16:$M$16,0)),0)</f>
        <v>23005.4</v>
      </c>
      <c r="Z97" s="9">
        <f>IF($H97&gt;L97,($H97-L97)*INDEX('Key Metrics'!$E$16:$N$19,MATCH($E97,'Key Metrics'!$E$16:$E$19,0),MATCH(Z$1,'Key Metrics'!$E$16:$M$16,0)),0)</f>
        <v>0</v>
      </c>
      <c r="AA97" s="9">
        <f t="shared" si="18"/>
        <v>129255.4</v>
      </c>
      <c r="AB97" s="9">
        <f t="shared" si="19"/>
        <v>129257.10914</v>
      </c>
    </row>
    <row r="98" spans="1:28" x14ac:dyDescent="0.55000000000000004">
      <c r="A98" t="str">
        <f t="shared" si="10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COUNTIF(deals_closed!$D$2:$D$20001,Calculations!B90)</f>
        <v>14</v>
      </c>
      <c r="H98" s="7">
        <f>SUMIF(deals_closed!$D:$D,Calculations!B90,deals_closed!$C:$C)</f>
        <v>412896</v>
      </c>
      <c r="I98" s="5">
        <f>VLOOKUP(E98,'2018_commission_structure'!$A$1:$I$4,9,FALSE)</f>
        <v>500000</v>
      </c>
      <c r="J98" s="9">
        <f t="shared" si="11"/>
        <v>625000</v>
      </c>
      <c r="K98" s="10">
        <f t="shared" si="12"/>
        <v>750000</v>
      </c>
      <c r="L98" s="9">
        <f t="shared" si="13"/>
        <v>1000000</v>
      </c>
      <c r="M98" s="8">
        <f t="shared" si="14"/>
        <v>0.82579199999999997</v>
      </c>
      <c r="N98" t="str">
        <f t="shared" si="15"/>
        <v>0-100%</v>
      </c>
      <c r="O98" s="9">
        <f>MIN($H98,$I98)*INDEX('2018_commission_structure'!$A$1:$I$4,MATCH($E98,'2018_commission_structure'!$A$1:$A$4,0),MATCH(O$1,'2018_commission_structure'!$A$1:$I$1,0))</f>
        <v>41289.600000000006</v>
      </c>
      <c r="P98" s="9">
        <f>IF(H98&gt;I98, MIN(H98-I98, J98-I98)*INDEX('2018_commission_structure'!$A$1:$I$4,MATCH($E98,'2018_commission_structure'!$A$1:$A$4,0),MATCH(P$1,'2018_commission_structure'!$A$1:$I$1,0)),0)</f>
        <v>0</v>
      </c>
      <c r="Q98" s="9">
        <f>IF($H98&gt;J98, MIN($H98-J98, K98-J98)*INDEX('2018_commission_structure'!$A$1:$I$4,MATCH($E98,'2018_commission_structure'!$A$1:$A$4,0),MATCH(Q$1,'2018_commission_structure'!$A$1:$I$1,0)),0)</f>
        <v>0</v>
      </c>
      <c r="R98" s="9">
        <f>IF($H98&gt;K98, MIN($H98-K98, L98-K98)*INDEX('2018_commission_structure'!$A$1:$I$4,MATCH($E98,'2018_commission_structure'!$A$1:$A$4,0),MATCH(R$1,'2018_commission_structure'!$A$1:$I$1,0)),0)</f>
        <v>0</v>
      </c>
      <c r="S98" s="9">
        <f>IF(H98&gt;L98,(H98-L98)*INDEX('2018_commission_structure'!$A$1:$I$4,MATCH($E98,'2018_commission_structure'!$A$1:$A$4,0),MATCH(S$1,'2018_commission_structure'!$A$1:$I$1,0)),0)</f>
        <v>0</v>
      </c>
      <c r="T98" s="9">
        <f t="shared" si="16"/>
        <v>41289.600000000006</v>
      </c>
      <c r="U98" s="9">
        <f t="shared" si="17"/>
        <v>86134.6</v>
      </c>
      <c r="V98" s="9">
        <f>MIN($I98,$H98)*INDEX('Key Metrics'!$E$16:$N$19,MATCH($E98,'Key Metrics'!$E$16:$E$19,0),MATCH(V$1,'Key Metrics'!$E$16:$M$16,0))</f>
        <v>49547.519999999997</v>
      </c>
      <c r="W98" s="9">
        <f>IF($H98&gt;I98, MIN($H98-I98, J98-I98)*INDEX('Key Metrics'!$E$16:$N$19,MATCH($E98,'Key Metrics'!$E$16:$E$19,0),MATCH(W$1,'Key Metrics'!$E$16:$M$16,0)),0)</f>
        <v>0</v>
      </c>
      <c r="X98" s="9">
        <f>IF($H98&gt;J98, MIN($H98-J98, K98-J98)*INDEX('Key Metrics'!$E$16:$N$19,MATCH($E98,'Key Metrics'!$E$16:$E$19,0),MATCH(X$1,'Key Metrics'!$E$16:$M$16,0)),0)</f>
        <v>0</v>
      </c>
      <c r="Y98" s="9">
        <f>IF($H98&gt;K98, MIN($H98-K98, L98-K98)*INDEX('Key Metrics'!$E$16:$N$19,MATCH($E98,'Key Metrics'!$E$16:$E$19,0),MATCH(Y$1,'Key Metrics'!$E$16:$M$16,0)),0)</f>
        <v>0</v>
      </c>
      <c r="Z98" s="9">
        <f>IF($H98&gt;L98,($H98-L98)*INDEX('Key Metrics'!$E$16:$N$19,MATCH($E98,'Key Metrics'!$E$16:$E$19,0),MATCH(Z$1,'Key Metrics'!$E$16:$M$16,0)),0)</f>
        <v>0</v>
      </c>
      <c r="AA98" s="9">
        <f t="shared" si="18"/>
        <v>49547.519999999997</v>
      </c>
      <c r="AB98" s="9">
        <f t="shared" si="19"/>
        <v>49548.345792</v>
      </c>
    </row>
    <row r="99" spans="1:28" x14ac:dyDescent="0.55000000000000004">
      <c r="A99" t="str">
        <f t="shared" si="10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COUNTIF(deals_closed!$D$2:$D$20001,Calculations!B863)</f>
        <v>19</v>
      </c>
      <c r="H99" s="7">
        <f>SUMIF(deals_closed!$D:$D,Calculations!B863,deals_closed!$C:$C)</f>
        <v>632661</v>
      </c>
      <c r="I99" s="5">
        <f>VLOOKUP(E99,'2018_commission_structure'!$A$1:$I$4,9,FALSE)</f>
        <v>750000</v>
      </c>
      <c r="J99" s="9">
        <f t="shared" si="11"/>
        <v>937500</v>
      </c>
      <c r="K99" s="10">
        <f t="shared" si="12"/>
        <v>1125000</v>
      </c>
      <c r="L99" s="9">
        <f t="shared" si="13"/>
        <v>1500000</v>
      </c>
      <c r="M99" s="8">
        <f t="shared" si="14"/>
        <v>0.84354799999999996</v>
      </c>
      <c r="N99" t="str">
        <f t="shared" si="15"/>
        <v>0-100%</v>
      </c>
      <c r="O99" s="9">
        <f>MIN($H99,$I99)*INDEX('2018_commission_structure'!$A$1:$I$4,MATCH($E99,'2018_commission_structure'!$A$1:$A$4,0),MATCH(O$1,'2018_commission_structure'!$A$1:$I$1,0))</f>
        <v>94899.15</v>
      </c>
      <c r="P99" s="9">
        <f>IF(H99&gt;I99, MIN(H99-I99, J99-I99)*INDEX('2018_commission_structure'!$A$1:$I$4,MATCH($E99,'2018_commission_structure'!$A$1:$A$4,0),MATCH(P$1,'2018_commission_structure'!$A$1:$I$1,0)),0)</f>
        <v>0</v>
      </c>
      <c r="Q99" s="9">
        <f>IF($H99&gt;J99, MIN($H99-J99, K99-J99)*INDEX('2018_commission_structure'!$A$1:$I$4,MATCH($E99,'2018_commission_structure'!$A$1:$A$4,0),MATCH(Q$1,'2018_commission_structure'!$A$1:$I$1,0)),0)</f>
        <v>0</v>
      </c>
      <c r="R99" s="9">
        <f>IF($H99&gt;K99, MIN($H99-K99, L99-K99)*INDEX('2018_commission_structure'!$A$1:$I$4,MATCH($E99,'2018_commission_structure'!$A$1:$A$4,0),MATCH(R$1,'2018_commission_structure'!$A$1:$I$1,0)),0)</f>
        <v>0</v>
      </c>
      <c r="S99" s="9">
        <f>IF(H99&gt;L99,(H99-L99)*INDEX('2018_commission_structure'!$A$1:$I$4,MATCH($E99,'2018_commission_structure'!$A$1:$A$4,0),MATCH(S$1,'2018_commission_structure'!$A$1:$I$1,0)),0)</f>
        <v>0</v>
      </c>
      <c r="T99" s="9">
        <f t="shared" si="16"/>
        <v>94899.15</v>
      </c>
      <c r="U99" s="9">
        <f t="shared" si="17"/>
        <v>207787.15</v>
      </c>
      <c r="V99" s="9">
        <f>MIN($I99,$H99)*INDEX('Key Metrics'!$E$16:$N$19,MATCH($E99,'Key Metrics'!$E$16:$E$19,0),MATCH(V$1,'Key Metrics'!$E$16:$M$16,0))</f>
        <v>94899.15</v>
      </c>
      <c r="W99" s="9">
        <f>IF($H99&gt;I99, MIN($H99-I99, J99-I99)*INDEX('Key Metrics'!$E$16:$N$19,MATCH($E99,'Key Metrics'!$E$16:$E$19,0),MATCH(W$1,'Key Metrics'!$E$16:$M$16,0)),0)</f>
        <v>0</v>
      </c>
      <c r="X99" s="9">
        <f>IF($H99&gt;J99, MIN($H99-J99, K99-J99)*INDEX('Key Metrics'!$E$16:$N$19,MATCH($E99,'Key Metrics'!$E$16:$E$19,0),MATCH(X$1,'Key Metrics'!$E$16:$M$16,0)),0)</f>
        <v>0</v>
      </c>
      <c r="Y99" s="9">
        <f>IF($H99&gt;K99, MIN($H99-K99, L99-K99)*INDEX('Key Metrics'!$E$16:$N$19,MATCH($E99,'Key Metrics'!$E$16:$E$19,0),MATCH(Y$1,'Key Metrics'!$E$16:$M$16,0)),0)</f>
        <v>0</v>
      </c>
      <c r="Z99" s="9">
        <f>IF($H99&gt;L99,($H99-L99)*INDEX('Key Metrics'!$E$16:$N$19,MATCH($E99,'Key Metrics'!$E$16:$E$19,0),MATCH(Z$1,'Key Metrics'!$E$16:$M$16,0)),0)</f>
        <v>0</v>
      </c>
      <c r="AA99" s="9">
        <f t="shared" si="18"/>
        <v>94899.15</v>
      </c>
      <c r="AB99" s="9">
        <f t="shared" si="19"/>
        <v>94899.993547999999</v>
      </c>
    </row>
    <row r="100" spans="1:28" x14ac:dyDescent="0.55000000000000004">
      <c r="A100" t="str">
        <f t="shared" si="10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COUNTIF(deals_closed!$D$2:$D$20001,Calculations!B648)</f>
        <v>17</v>
      </c>
      <c r="H100" s="7">
        <f>SUMIF(deals_closed!$D:$D,Calculations!B648,deals_closed!$C:$C)</f>
        <v>471173</v>
      </c>
      <c r="I100" s="5">
        <f>VLOOKUP(E100,'2018_commission_structure'!$A$1:$I$4,9,FALSE)</f>
        <v>600000</v>
      </c>
      <c r="J100" s="9">
        <f t="shared" si="11"/>
        <v>750000</v>
      </c>
      <c r="K100" s="10">
        <f t="shared" si="12"/>
        <v>900000</v>
      </c>
      <c r="L100" s="9">
        <f t="shared" si="13"/>
        <v>1200000</v>
      </c>
      <c r="M100" s="8">
        <f t="shared" si="14"/>
        <v>0.78528833333333337</v>
      </c>
      <c r="N100" t="str">
        <f t="shared" si="15"/>
        <v>0-100%</v>
      </c>
      <c r="O100" s="9">
        <f>MIN($H100,$I100)*INDEX('2018_commission_structure'!$A$1:$I$4,MATCH($E100,'2018_commission_structure'!$A$1:$A$4,0),MATCH(O$1,'2018_commission_structure'!$A$1:$I$1,0))</f>
        <v>61252.490000000005</v>
      </c>
      <c r="P100" s="9">
        <f>IF(H100&gt;I100, MIN(H100-I100, J100-I100)*INDEX('2018_commission_structure'!$A$1:$I$4,MATCH($E100,'2018_commission_structure'!$A$1:$A$4,0),MATCH(P$1,'2018_commission_structure'!$A$1:$I$1,0)),0)</f>
        <v>0</v>
      </c>
      <c r="Q100" s="9">
        <f>IF($H100&gt;J100, MIN($H100-J100, K100-J100)*INDEX('2018_commission_structure'!$A$1:$I$4,MATCH($E100,'2018_commission_structure'!$A$1:$A$4,0),MATCH(Q$1,'2018_commission_structure'!$A$1:$I$1,0)),0)</f>
        <v>0</v>
      </c>
      <c r="R100" s="9">
        <f>IF($H100&gt;K100, MIN($H100-K100, L100-K100)*INDEX('2018_commission_structure'!$A$1:$I$4,MATCH($E100,'2018_commission_structure'!$A$1:$A$4,0),MATCH(R$1,'2018_commission_structure'!$A$1:$I$1,0)),0)</f>
        <v>0</v>
      </c>
      <c r="S100" s="9">
        <f>IF(H100&gt;L100,(H100-L100)*INDEX('2018_commission_structure'!$A$1:$I$4,MATCH($E100,'2018_commission_structure'!$A$1:$A$4,0),MATCH(S$1,'2018_commission_structure'!$A$1:$I$1,0)),0)</f>
        <v>0</v>
      </c>
      <c r="T100" s="9">
        <f t="shared" si="16"/>
        <v>61252.490000000005</v>
      </c>
      <c r="U100" s="9">
        <f t="shared" si="17"/>
        <v>119882.49</v>
      </c>
      <c r="V100" s="9">
        <f>MIN($I100,$H100)*INDEX('Key Metrics'!$E$16:$N$19,MATCH($E100,'Key Metrics'!$E$16:$E$19,0),MATCH(V$1,'Key Metrics'!$E$16:$M$16,0))</f>
        <v>70675.95</v>
      </c>
      <c r="W100" s="9">
        <f>IF($H100&gt;I100, MIN($H100-I100, J100-I100)*INDEX('Key Metrics'!$E$16:$N$19,MATCH($E100,'Key Metrics'!$E$16:$E$19,0),MATCH(W$1,'Key Metrics'!$E$16:$M$16,0)),0)</f>
        <v>0</v>
      </c>
      <c r="X100" s="9">
        <f>IF($H100&gt;J100, MIN($H100-J100, K100-J100)*INDEX('Key Metrics'!$E$16:$N$19,MATCH($E100,'Key Metrics'!$E$16:$E$19,0),MATCH(X$1,'Key Metrics'!$E$16:$M$16,0)),0)</f>
        <v>0</v>
      </c>
      <c r="Y100" s="9">
        <f>IF($H100&gt;K100, MIN($H100-K100, L100-K100)*INDEX('Key Metrics'!$E$16:$N$19,MATCH($E100,'Key Metrics'!$E$16:$E$19,0),MATCH(Y$1,'Key Metrics'!$E$16:$M$16,0)),0)</f>
        <v>0</v>
      </c>
      <c r="Z100" s="9">
        <f>IF($H100&gt;L100,($H100-L100)*INDEX('Key Metrics'!$E$16:$N$19,MATCH($E100,'Key Metrics'!$E$16:$E$19,0),MATCH(Z$1,'Key Metrics'!$E$16:$M$16,0)),0)</f>
        <v>0</v>
      </c>
      <c r="AA100" s="9">
        <f t="shared" si="18"/>
        <v>70675.95</v>
      </c>
      <c r="AB100" s="9">
        <f t="shared" si="19"/>
        <v>70676.735288333337</v>
      </c>
    </row>
    <row r="101" spans="1:28" x14ac:dyDescent="0.55000000000000004">
      <c r="A101" t="str">
        <f t="shared" si="10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COUNTIF(deals_closed!$D$2:$D$20001,Calculations!B279)</f>
        <v>19</v>
      </c>
      <c r="H101" s="7">
        <f>SUMIF(deals_closed!$D:$D,Calculations!B279,deals_closed!$C:$C)</f>
        <v>649888</v>
      </c>
      <c r="I101" s="5">
        <f>VLOOKUP(E101,'2018_commission_structure'!$A$1:$I$4,9,FALSE)</f>
        <v>750000</v>
      </c>
      <c r="J101" s="9">
        <f t="shared" si="11"/>
        <v>937500</v>
      </c>
      <c r="K101" s="10">
        <f t="shared" si="12"/>
        <v>1125000</v>
      </c>
      <c r="L101" s="9">
        <f t="shared" si="13"/>
        <v>1500000</v>
      </c>
      <c r="M101" s="8">
        <f t="shared" si="14"/>
        <v>0.86651733333333336</v>
      </c>
      <c r="N101" t="str">
        <f t="shared" si="15"/>
        <v>0-100%</v>
      </c>
      <c r="O101" s="9">
        <f>MIN($H101,$I101)*INDEX('2018_commission_structure'!$A$1:$I$4,MATCH($E101,'2018_commission_structure'!$A$1:$A$4,0),MATCH(O$1,'2018_commission_structure'!$A$1:$I$1,0))</f>
        <v>97483.199999999997</v>
      </c>
      <c r="P101" s="9">
        <f>IF(H101&gt;I101, MIN(H101-I101, J101-I101)*INDEX('2018_commission_structure'!$A$1:$I$4,MATCH($E101,'2018_commission_structure'!$A$1:$A$4,0),MATCH(P$1,'2018_commission_structure'!$A$1:$I$1,0)),0)</f>
        <v>0</v>
      </c>
      <c r="Q101" s="9">
        <f>IF($H101&gt;J101, MIN($H101-J101, K101-J101)*INDEX('2018_commission_structure'!$A$1:$I$4,MATCH($E101,'2018_commission_structure'!$A$1:$A$4,0),MATCH(Q$1,'2018_commission_structure'!$A$1:$I$1,0)),0)</f>
        <v>0</v>
      </c>
      <c r="R101" s="9">
        <f>IF($H101&gt;K101, MIN($H101-K101, L101-K101)*INDEX('2018_commission_structure'!$A$1:$I$4,MATCH($E101,'2018_commission_structure'!$A$1:$A$4,0),MATCH(R$1,'2018_commission_structure'!$A$1:$I$1,0)),0)</f>
        <v>0</v>
      </c>
      <c r="S101" s="9">
        <f>IF(H101&gt;L101,(H101-L101)*INDEX('2018_commission_structure'!$A$1:$I$4,MATCH($E101,'2018_commission_structure'!$A$1:$A$4,0),MATCH(S$1,'2018_commission_structure'!$A$1:$I$1,0)),0)</f>
        <v>0</v>
      </c>
      <c r="T101" s="9">
        <f t="shared" si="16"/>
        <v>97483.199999999997</v>
      </c>
      <c r="U101" s="9">
        <f t="shared" si="17"/>
        <v>208500.2</v>
      </c>
      <c r="V101" s="9">
        <f>MIN($I101,$H101)*INDEX('Key Metrics'!$E$16:$N$19,MATCH($E101,'Key Metrics'!$E$16:$E$19,0),MATCH(V$1,'Key Metrics'!$E$16:$M$16,0))</f>
        <v>97483.199999999997</v>
      </c>
      <c r="W101" s="9">
        <f>IF($H101&gt;I101, MIN($H101-I101, J101-I101)*INDEX('Key Metrics'!$E$16:$N$19,MATCH($E101,'Key Metrics'!$E$16:$E$19,0),MATCH(W$1,'Key Metrics'!$E$16:$M$16,0)),0)</f>
        <v>0</v>
      </c>
      <c r="X101" s="9">
        <f>IF($H101&gt;J101, MIN($H101-J101, K101-J101)*INDEX('Key Metrics'!$E$16:$N$19,MATCH($E101,'Key Metrics'!$E$16:$E$19,0),MATCH(X$1,'Key Metrics'!$E$16:$M$16,0)),0)</f>
        <v>0</v>
      </c>
      <c r="Y101" s="9">
        <f>IF($H101&gt;K101, MIN($H101-K101, L101-K101)*INDEX('Key Metrics'!$E$16:$N$19,MATCH($E101,'Key Metrics'!$E$16:$E$19,0),MATCH(Y$1,'Key Metrics'!$E$16:$M$16,0)),0)</f>
        <v>0</v>
      </c>
      <c r="Z101" s="9">
        <f>IF($H101&gt;L101,($H101-L101)*INDEX('Key Metrics'!$E$16:$N$19,MATCH($E101,'Key Metrics'!$E$16:$E$19,0),MATCH(Z$1,'Key Metrics'!$E$16:$M$16,0)),0)</f>
        <v>0</v>
      </c>
      <c r="AA101" s="9">
        <f t="shared" si="18"/>
        <v>97483.199999999997</v>
      </c>
      <c r="AB101" s="9">
        <f t="shared" si="19"/>
        <v>97484.066517333325</v>
      </c>
    </row>
    <row r="102" spans="1:28" x14ac:dyDescent="0.55000000000000004">
      <c r="A102" t="str">
        <f t="shared" si="10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COUNTIF(deals_closed!$D$2:$D$20001,Calculations!B141)</f>
        <v>23</v>
      </c>
      <c r="H102" s="7">
        <f>SUMIF(deals_closed!$D:$D,Calculations!B141,deals_closed!$C:$C)</f>
        <v>795625</v>
      </c>
      <c r="I102" s="5">
        <f>VLOOKUP(E102,'2018_commission_structure'!$A$1:$I$4,9,FALSE)</f>
        <v>750000</v>
      </c>
      <c r="J102" s="9">
        <f t="shared" si="11"/>
        <v>937500</v>
      </c>
      <c r="K102" s="10">
        <f t="shared" si="12"/>
        <v>1125000</v>
      </c>
      <c r="L102" s="9">
        <f t="shared" si="13"/>
        <v>1500000</v>
      </c>
      <c r="M102" s="8">
        <f t="shared" si="14"/>
        <v>1.0608333333333333</v>
      </c>
      <c r="N102" t="str">
        <f t="shared" si="15"/>
        <v>100-125%</v>
      </c>
      <c r="O102" s="9">
        <f>MIN($H102,$I102)*INDEX('2018_commission_structure'!$A$1:$I$4,MATCH($E102,'2018_commission_structure'!$A$1:$A$4,0),MATCH(O$1,'2018_commission_structure'!$A$1:$I$1,0))</f>
        <v>112500</v>
      </c>
      <c r="P102" s="9">
        <f>IF(H102&gt;I102, MIN(H102-I102, J102-I102)*INDEX('2018_commission_structure'!$A$1:$I$4,MATCH($E102,'2018_commission_structure'!$A$1:$A$4,0),MATCH(P$1,'2018_commission_structure'!$A$1:$I$1,0)),0)</f>
        <v>8668.75</v>
      </c>
      <c r="Q102" s="9">
        <f>IF($H102&gt;J102, MIN($H102-J102, K102-J102)*INDEX('2018_commission_structure'!$A$1:$I$4,MATCH($E102,'2018_commission_structure'!$A$1:$A$4,0),MATCH(Q$1,'2018_commission_structure'!$A$1:$I$1,0)),0)</f>
        <v>0</v>
      </c>
      <c r="R102" s="9">
        <f>IF($H102&gt;K102, MIN($H102-K102, L102-K102)*INDEX('2018_commission_structure'!$A$1:$I$4,MATCH($E102,'2018_commission_structure'!$A$1:$A$4,0),MATCH(R$1,'2018_commission_structure'!$A$1:$I$1,0)),0)</f>
        <v>0</v>
      </c>
      <c r="S102" s="9">
        <f>IF(H102&gt;L102,(H102-L102)*INDEX('2018_commission_structure'!$A$1:$I$4,MATCH($E102,'2018_commission_structure'!$A$1:$A$4,0),MATCH(S$1,'2018_commission_structure'!$A$1:$I$1,0)),0)</f>
        <v>0</v>
      </c>
      <c r="T102" s="9">
        <f t="shared" si="16"/>
        <v>121168.75</v>
      </c>
      <c r="U102" s="9">
        <f t="shared" si="17"/>
        <v>243794.75</v>
      </c>
      <c r="V102" s="9">
        <f>MIN($I102,$H102)*INDEX('Key Metrics'!$E$16:$N$19,MATCH($E102,'Key Metrics'!$E$16:$E$19,0),MATCH(V$1,'Key Metrics'!$E$16:$M$16,0))</f>
        <v>112500</v>
      </c>
      <c r="W102" s="9">
        <f>IF($H102&gt;I102, MIN($H102-I102, J102-I102)*INDEX('Key Metrics'!$E$16:$N$19,MATCH($E102,'Key Metrics'!$E$16:$E$19,0),MATCH(W$1,'Key Metrics'!$E$16:$M$16,0)),0)</f>
        <v>10037.5</v>
      </c>
      <c r="X102" s="9">
        <f>IF($H102&gt;J102, MIN($H102-J102, K102-J102)*INDEX('Key Metrics'!$E$16:$N$19,MATCH($E102,'Key Metrics'!$E$16:$E$19,0),MATCH(X$1,'Key Metrics'!$E$16:$M$16,0)),0)</f>
        <v>0</v>
      </c>
      <c r="Y102" s="9">
        <f>IF($H102&gt;K102, MIN($H102-K102, L102-K102)*INDEX('Key Metrics'!$E$16:$N$19,MATCH($E102,'Key Metrics'!$E$16:$E$19,0),MATCH(Y$1,'Key Metrics'!$E$16:$M$16,0)),0)</f>
        <v>0</v>
      </c>
      <c r="Z102" s="9">
        <f>IF($H102&gt;L102,($H102-L102)*INDEX('Key Metrics'!$E$16:$N$19,MATCH($E102,'Key Metrics'!$E$16:$E$19,0),MATCH(Z$1,'Key Metrics'!$E$16:$M$16,0)),0)</f>
        <v>0</v>
      </c>
      <c r="AA102" s="9">
        <f t="shared" si="18"/>
        <v>122537.5</v>
      </c>
      <c r="AB102" s="9">
        <f t="shared" si="19"/>
        <v>122538.56083333334</v>
      </c>
    </row>
    <row r="103" spans="1:28" x14ac:dyDescent="0.55000000000000004">
      <c r="A103" t="str">
        <f t="shared" si="10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COUNTIF(deals_closed!$D$2:$D$20001,Calculations!B16)</f>
        <v>20</v>
      </c>
      <c r="H103" s="7">
        <f>SUMIF(deals_closed!$D:$D,Calculations!B16,deals_closed!$C:$C)</f>
        <v>710072</v>
      </c>
      <c r="I103" s="5">
        <f>VLOOKUP(E103,'2018_commission_structure'!$A$1:$I$4,9,FALSE)</f>
        <v>750000</v>
      </c>
      <c r="J103" s="9">
        <f t="shared" si="11"/>
        <v>937500</v>
      </c>
      <c r="K103" s="10">
        <f t="shared" si="12"/>
        <v>1125000</v>
      </c>
      <c r="L103" s="9">
        <f t="shared" si="13"/>
        <v>1500000</v>
      </c>
      <c r="M103" s="8">
        <f t="shared" si="14"/>
        <v>0.94676266666666664</v>
      </c>
      <c r="N103" t="str">
        <f t="shared" si="15"/>
        <v>0-100%</v>
      </c>
      <c r="O103" s="9">
        <f>MIN($H103,$I103)*INDEX('2018_commission_structure'!$A$1:$I$4,MATCH($E103,'2018_commission_structure'!$A$1:$A$4,0),MATCH(O$1,'2018_commission_structure'!$A$1:$I$1,0))</f>
        <v>106510.8</v>
      </c>
      <c r="P103" s="9">
        <f>IF(H103&gt;I103, MIN(H103-I103, J103-I103)*INDEX('2018_commission_structure'!$A$1:$I$4,MATCH($E103,'2018_commission_structure'!$A$1:$A$4,0),MATCH(P$1,'2018_commission_structure'!$A$1:$I$1,0)),0)</f>
        <v>0</v>
      </c>
      <c r="Q103" s="9">
        <f>IF($H103&gt;J103, MIN($H103-J103, K103-J103)*INDEX('2018_commission_structure'!$A$1:$I$4,MATCH($E103,'2018_commission_structure'!$A$1:$A$4,0),MATCH(Q$1,'2018_commission_structure'!$A$1:$I$1,0)),0)</f>
        <v>0</v>
      </c>
      <c r="R103" s="9">
        <f>IF($H103&gt;K103, MIN($H103-K103, L103-K103)*INDEX('2018_commission_structure'!$A$1:$I$4,MATCH($E103,'2018_commission_structure'!$A$1:$A$4,0),MATCH(R$1,'2018_commission_structure'!$A$1:$I$1,0)),0)</f>
        <v>0</v>
      </c>
      <c r="S103" s="9">
        <f>IF(H103&gt;L103,(H103-L103)*INDEX('2018_commission_structure'!$A$1:$I$4,MATCH($E103,'2018_commission_structure'!$A$1:$A$4,0),MATCH(S$1,'2018_commission_structure'!$A$1:$I$1,0)),0)</f>
        <v>0</v>
      </c>
      <c r="T103" s="9">
        <f t="shared" si="16"/>
        <v>106510.8</v>
      </c>
      <c r="U103" s="9">
        <f t="shared" si="17"/>
        <v>206498.8</v>
      </c>
      <c r="V103" s="9">
        <f>MIN($I103,$H103)*INDEX('Key Metrics'!$E$16:$N$19,MATCH($E103,'Key Metrics'!$E$16:$E$19,0),MATCH(V$1,'Key Metrics'!$E$16:$M$16,0))</f>
        <v>106510.8</v>
      </c>
      <c r="W103" s="9">
        <f>IF($H103&gt;I103, MIN($H103-I103, J103-I103)*INDEX('Key Metrics'!$E$16:$N$19,MATCH($E103,'Key Metrics'!$E$16:$E$19,0),MATCH(W$1,'Key Metrics'!$E$16:$M$16,0)),0)</f>
        <v>0</v>
      </c>
      <c r="X103" s="9">
        <f>IF($H103&gt;J103, MIN($H103-J103, K103-J103)*INDEX('Key Metrics'!$E$16:$N$19,MATCH($E103,'Key Metrics'!$E$16:$E$19,0),MATCH(X$1,'Key Metrics'!$E$16:$M$16,0)),0)</f>
        <v>0</v>
      </c>
      <c r="Y103" s="9">
        <f>IF($H103&gt;K103, MIN($H103-K103, L103-K103)*INDEX('Key Metrics'!$E$16:$N$19,MATCH($E103,'Key Metrics'!$E$16:$E$19,0),MATCH(Y$1,'Key Metrics'!$E$16:$M$16,0)),0)</f>
        <v>0</v>
      </c>
      <c r="Z103" s="9">
        <f>IF($H103&gt;L103,($H103-L103)*INDEX('Key Metrics'!$E$16:$N$19,MATCH($E103,'Key Metrics'!$E$16:$E$19,0),MATCH(Z$1,'Key Metrics'!$E$16:$M$16,0)),0)</f>
        <v>0</v>
      </c>
      <c r="AA103" s="9">
        <f t="shared" si="18"/>
        <v>106510.8</v>
      </c>
      <c r="AB103" s="9">
        <f t="shared" si="19"/>
        <v>106511.74676266668</v>
      </c>
    </row>
    <row r="104" spans="1:28" x14ac:dyDescent="0.55000000000000004">
      <c r="A104" t="str">
        <f t="shared" si="10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COUNTIF(deals_closed!$D$2:$D$20001,Calculations!B722)</f>
        <v>23</v>
      </c>
      <c r="H104" s="7">
        <f>SUMIF(deals_closed!$D:$D,Calculations!B722,deals_closed!$C:$C)</f>
        <v>633465</v>
      </c>
      <c r="I104" s="5">
        <f>VLOOKUP(E104,'2018_commission_structure'!$A$1:$I$4,9,FALSE)</f>
        <v>500000</v>
      </c>
      <c r="J104" s="9">
        <f t="shared" si="11"/>
        <v>625000</v>
      </c>
      <c r="K104" s="10">
        <f t="shared" si="12"/>
        <v>750000</v>
      </c>
      <c r="L104" s="9">
        <f t="shared" si="13"/>
        <v>1000000</v>
      </c>
      <c r="M104" s="8">
        <f t="shared" si="14"/>
        <v>1.2669299999999999</v>
      </c>
      <c r="N104" t="str">
        <f t="shared" si="15"/>
        <v>125-150%</v>
      </c>
      <c r="O104" s="9">
        <f>MIN($H104,$I104)*INDEX('2018_commission_structure'!$A$1:$I$4,MATCH($E104,'2018_commission_structure'!$A$1:$A$4,0),MATCH(O$1,'2018_commission_structure'!$A$1:$I$1,0))</f>
        <v>50000</v>
      </c>
      <c r="P104" s="9">
        <f>IF(H104&gt;I104, MIN(H104-I104, J104-I104)*INDEX('2018_commission_structure'!$A$1:$I$4,MATCH($E104,'2018_commission_structure'!$A$1:$A$4,0),MATCH(P$1,'2018_commission_structure'!$A$1:$I$1,0)),0)</f>
        <v>18750</v>
      </c>
      <c r="Q104" s="9">
        <f>IF($H104&gt;J104, MIN($H104-J104, K104-J104)*INDEX('2018_commission_structure'!$A$1:$I$4,MATCH($E104,'2018_commission_structure'!$A$1:$A$4,0),MATCH(Q$1,'2018_commission_structure'!$A$1:$I$1,0)),0)</f>
        <v>1523.7</v>
      </c>
      <c r="R104" s="9">
        <f>IF($H104&gt;K104, MIN($H104-K104, L104-K104)*INDEX('2018_commission_structure'!$A$1:$I$4,MATCH($E104,'2018_commission_structure'!$A$1:$A$4,0),MATCH(R$1,'2018_commission_structure'!$A$1:$I$1,0)),0)</f>
        <v>0</v>
      </c>
      <c r="S104" s="9">
        <f>IF(H104&gt;L104,(H104-L104)*INDEX('2018_commission_structure'!$A$1:$I$4,MATCH($E104,'2018_commission_structure'!$A$1:$A$4,0),MATCH(S$1,'2018_commission_structure'!$A$1:$I$1,0)),0)</f>
        <v>0</v>
      </c>
      <c r="T104" s="9">
        <f t="shared" si="16"/>
        <v>70273.7</v>
      </c>
      <c r="U104" s="9">
        <f t="shared" si="17"/>
        <v>118258.7</v>
      </c>
      <c r="V104" s="9">
        <f>MIN($I104,$H104)*INDEX('Key Metrics'!$E$16:$N$19,MATCH($E104,'Key Metrics'!$E$16:$E$19,0),MATCH(V$1,'Key Metrics'!$E$16:$M$16,0))</f>
        <v>60000</v>
      </c>
      <c r="W104" s="9">
        <f>IF($H104&gt;I104, MIN($H104-I104, J104-I104)*INDEX('Key Metrics'!$E$16:$N$19,MATCH($E104,'Key Metrics'!$E$16:$E$19,0),MATCH(W$1,'Key Metrics'!$E$16:$M$16,0)),0)</f>
        <v>21250</v>
      </c>
      <c r="X104" s="9">
        <f>IF($H104&gt;J104, MIN($H104-J104, K104-J104)*INDEX('Key Metrics'!$E$16:$N$19,MATCH($E104,'Key Metrics'!$E$16:$E$19,0),MATCH(X$1,'Key Metrics'!$E$16:$M$16,0)),0)</f>
        <v>1693</v>
      </c>
      <c r="Y104" s="9">
        <f>IF($H104&gt;K104, MIN($H104-K104, L104-K104)*INDEX('Key Metrics'!$E$16:$N$19,MATCH($E104,'Key Metrics'!$E$16:$E$19,0),MATCH(Y$1,'Key Metrics'!$E$16:$M$16,0)),0)</f>
        <v>0</v>
      </c>
      <c r="Z104" s="9">
        <f>IF($H104&gt;L104,($H104-L104)*INDEX('Key Metrics'!$E$16:$N$19,MATCH($E104,'Key Metrics'!$E$16:$E$19,0),MATCH(Z$1,'Key Metrics'!$E$16:$M$16,0)),0)</f>
        <v>0</v>
      </c>
      <c r="AA104" s="9">
        <f t="shared" si="18"/>
        <v>82943</v>
      </c>
      <c r="AB104" s="9">
        <f t="shared" si="19"/>
        <v>82944.266929999998</v>
      </c>
    </row>
    <row r="105" spans="1:28" x14ac:dyDescent="0.55000000000000004">
      <c r="A105" t="str">
        <f t="shared" si="10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COUNTIF(deals_closed!$D$2:$D$20001,Calculations!B909)</f>
        <v>21</v>
      </c>
      <c r="H105" s="7">
        <f>SUMIF(deals_closed!$D:$D,Calculations!B909,deals_closed!$C:$C)</f>
        <v>831018</v>
      </c>
      <c r="I105" s="5">
        <f>VLOOKUP(E105,'2018_commission_structure'!$A$1:$I$4,9,FALSE)</f>
        <v>600000</v>
      </c>
      <c r="J105" s="9">
        <f t="shared" si="11"/>
        <v>750000</v>
      </c>
      <c r="K105" s="10">
        <f t="shared" si="12"/>
        <v>900000</v>
      </c>
      <c r="L105" s="9">
        <f t="shared" si="13"/>
        <v>1200000</v>
      </c>
      <c r="M105" s="8">
        <f t="shared" si="14"/>
        <v>1.38503</v>
      </c>
      <c r="N105" t="str">
        <f t="shared" si="15"/>
        <v>125-150%</v>
      </c>
      <c r="O105" s="9">
        <f>MIN($H105,$I105)*INDEX('2018_commission_structure'!$A$1:$I$4,MATCH($E105,'2018_commission_structure'!$A$1:$A$4,0),MATCH(O$1,'2018_commission_structure'!$A$1:$I$1,0))</f>
        <v>78000</v>
      </c>
      <c r="P105" s="9">
        <f>IF(H105&gt;I105, MIN(H105-I105, J105-I105)*INDEX('2018_commission_structure'!$A$1:$I$4,MATCH($E105,'2018_commission_structure'!$A$1:$A$4,0),MATCH(P$1,'2018_commission_structure'!$A$1:$I$1,0)),0)</f>
        <v>25500.000000000004</v>
      </c>
      <c r="Q105" s="9">
        <f>IF($H105&gt;J105, MIN($H105-J105, K105-J105)*INDEX('2018_commission_structure'!$A$1:$I$4,MATCH($E105,'2018_commission_structure'!$A$1:$A$4,0),MATCH(Q$1,'2018_commission_structure'!$A$1:$I$1,0)),0)</f>
        <v>17013.78</v>
      </c>
      <c r="R105" s="9">
        <f>IF($H105&gt;K105, MIN($H105-K105, L105-K105)*INDEX('2018_commission_structure'!$A$1:$I$4,MATCH($E105,'2018_commission_structure'!$A$1:$A$4,0),MATCH(R$1,'2018_commission_structure'!$A$1:$I$1,0)),0)</f>
        <v>0</v>
      </c>
      <c r="S105" s="9">
        <f>IF(H105&gt;L105,(H105-L105)*INDEX('2018_commission_structure'!$A$1:$I$4,MATCH($E105,'2018_commission_structure'!$A$1:$A$4,0),MATCH(S$1,'2018_commission_structure'!$A$1:$I$1,0)),0)</f>
        <v>0</v>
      </c>
      <c r="T105" s="9">
        <f t="shared" si="16"/>
        <v>120513.78</v>
      </c>
      <c r="U105" s="9">
        <f t="shared" si="17"/>
        <v>170861.78</v>
      </c>
      <c r="V105" s="9">
        <f>MIN($I105,$H105)*INDEX('Key Metrics'!$E$16:$N$19,MATCH($E105,'Key Metrics'!$E$16:$E$19,0),MATCH(V$1,'Key Metrics'!$E$16:$M$16,0))</f>
        <v>90000</v>
      </c>
      <c r="W105" s="9">
        <f>IF($H105&gt;I105, MIN($H105-I105, J105-I105)*INDEX('Key Metrics'!$E$16:$N$19,MATCH($E105,'Key Metrics'!$E$16:$E$19,0),MATCH(W$1,'Key Metrics'!$E$16:$M$16,0)),0)</f>
        <v>27000</v>
      </c>
      <c r="X105" s="9">
        <f>IF($H105&gt;J105, MIN($H105-J105, K105-J105)*INDEX('Key Metrics'!$E$16:$N$19,MATCH($E105,'Key Metrics'!$E$16:$E$19,0),MATCH(X$1,'Key Metrics'!$E$16:$M$16,0)),0)</f>
        <v>20254.5</v>
      </c>
      <c r="Y105" s="9">
        <f>IF($H105&gt;K105, MIN($H105-K105, L105-K105)*INDEX('Key Metrics'!$E$16:$N$19,MATCH($E105,'Key Metrics'!$E$16:$E$19,0),MATCH(Y$1,'Key Metrics'!$E$16:$M$16,0)),0)</f>
        <v>0</v>
      </c>
      <c r="Z105" s="9">
        <f>IF($H105&gt;L105,($H105-L105)*INDEX('Key Metrics'!$E$16:$N$19,MATCH($E105,'Key Metrics'!$E$16:$E$19,0),MATCH(Z$1,'Key Metrics'!$E$16:$M$16,0)),0)</f>
        <v>0</v>
      </c>
      <c r="AA105" s="9">
        <f t="shared" si="18"/>
        <v>137254.5</v>
      </c>
      <c r="AB105" s="9">
        <f t="shared" si="19"/>
        <v>137255.88503</v>
      </c>
    </row>
    <row r="106" spans="1:28" x14ac:dyDescent="0.55000000000000004">
      <c r="A106" t="str">
        <f t="shared" si="10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COUNTIF(deals_closed!$D$2:$D$20001,Calculations!B267)</f>
        <v>22</v>
      </c>
      <c r="H106" s="7">
        <f>SUMIF(deals_closed!$D:$D,Calculations!B267,deals_closed!$C:$C)</f>
        <v>606785</v>
      </c>
      <c r="I106" s="5">
        <f>VLOOKUP(E106,'2018_commission_structure'!$A$1:$I$4,9,FALSE)</f>
        <v>500000</v>
      </c>
      <c r="J106" s="9">
        <f t="shared" si="11"/>
        <v>625000</v>
      </c>
      <c r="K106" s="10">
        <f t="shared" si="12"/>
        <v>750000</v>
      </c>
      <c r="L106" s="9">
        <f t="shared" si="13"/>
        <v>1000000</v>
      </c>
      <c r="M106" s="8">
        <f t="shared" si="14"/>
        <v>1.21357</v>
      </c>
      <c r="N106" t="str">
        <f t="shared" si="15"/>
        <v>100-125%</v>
      </c>
      <c r="O106" s="9">
        <f>MIN($H106,$I106)*INDEX('2018_commission_structure'!$A$1:$I$4,MATCH($E106,'2018_commission_structure'!$A$1:$A$4,0),MATCH(O$1,'2018_commission_structure'!$A$1:$I$1,0))</f>
        <v>50000</v>
      </c>
      <c r="P106" s="9">
        <f>IF(H106&gt;I106, MIN(H106-I106, J106-I106)*INDEX('2018_commission_structure'!$A$1:$I$4,MATCH($E106,'2018_commission_structure'!$A$1:$A$4,0),MATCH(P$1,'2018_commission_structure'!$A$1:$I$1,0)),0)</f>
        <v>16017.75</v>
      </c>
      <c r="Q106" s="9">
        <f>IF($H106&gt;J106, MIN($H106-J106, K106-J106)*INDEX('2018_commission_structure'!$A$1:$I$4,MATCH($E106,'2018_commission_structure'!$A$1:$A$4,0),MATCH(Q$1,'2018_commission_structure'!$A$1:$I$1,0)),0)</f>
        <v>0</v>
      </c>
      <c r="R106" s="9">
        <f>IF($H106&gt;K106, MIN($H106-K106, L106-K106)*INDEX('2018_commission_structure'!$A$1:$I$4,MATCH($E106,'2018_commission_structure'!$A$1:$A$4,0),MATCH(R$1,'2018_commission_structure'!$A$1:$I$1,0)),0)</f>
        <v>0</v>
      </c>
      <c r="S106" s="9">
        <f>IF(H106&gt;L106,(H106-L106)*INDEX('2018_commission_structure'!$A$1:$I$4,MATCH($E106,'2018_commission_structure'!$A$1:$A$4,0),MATCH(S$1,'2018_commission_structure'!$A$1:$I$1,0)),0)</f>
        <v>0</v>
      </c>
      <c r="T106" s="9">
        <f t="shared" si="16"/>
        <v>66017.75</v>
      </c>
      <c r="U106" s="9">
        <f t="shared" si="17"/>
        <v>112177.75</v>
      </c>
      <c r="V106" s="9">
        <f>MIN($I106,$H106)*INDEX('Key Metrics'!$E$16:$N$19,MATCH($E106,'Key Metrics'!$E$16:$E$19,0),MATCH(V$1,'Key Metrics'!$E$16:$M$16,0))</f>
        <v>60000</v>
      </c>
      <c r="W106" s="9">
        <f>IF($H106&gt;I106, MIN($H106-I106, J106-I106)*INDEX('Key Metrics'!$E$16:$N$19,MATCH($E106,'Key Metrics'!$E$16:$E$19,0),MATCH(W$1,'Key Metrics'!$E$16:$M$16,0)),0)</f>
        <v>18153.45</v>
      </c>
      <c r="X106" s="9">
        <f>IF($H106&gt;J106, MIN($H106-J106, K106-J106)*INDEX('Key Metrics'!$E$16:$N$19,MATCH($E106,'Key Metrics'!$E$16:$E$19,0),MATCH(X$1,'Key Metrics'!$E$16:$M$16,0)),0)</f>
        <v>0</v>
      </c>
      <c r="Y106" s="9">
        <f>IF($H106&gt;K106, MIN($H106-K106, L106-K106)*INDEX('Key Metrics'!$E$16:$N$19,MATCH($E106,'Key Metrics'!$E$16:$E$19,0),MATCH(Y$1,'Key Metrics'!$E$16:$M$16,0)),0)</f>
        <v>0</v>
      </c>
      <c r="Z106" s="9">
        <f>IF($H106&gt;L106,($H106-L106)*INDEX('Key Metrics'!$E$16:$N$19,MATCH($E106,'Key Metrics'!$E$16:$E$19,0),MATCH(Z$1,'Key Metrics'!$E$16:$M$16,0)),0)</f>
        <v>0</v>
      </c>
      <c r="AA106" s="9">
        <f t="shared" si="18"/>
        <v>78153.45</v>
      </c>
      <c r="AB106" s="9">
        <f t="shared" si="19"/>
        <v>78154.663570000004</v>
      </c>
    </row>
    <row r="107" spans="1:28" x14ac:dyDescent="0.55000000000000004">
      <c r="A107" t="str">
        <f t="shared" si="10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COUNTIF(deals_closed!$D$2:$D$20001,Calculations!B922)</f>
        <v>21</v>
      </c>
      <c r="H107" s="7">
        <f>SUMIF(deals_closed!$D:$D,Calculations!B922,deals_closed!$C:$C)</f>
        <v>715285</v>
      </c>
      <c r="I107" s="5">
        <f>VLOOKUP(E107,'2018_commission_structure'!$A$1:$I$4,9,FALSE)</f>
        <v>750000</v>
      </c>
      <c r="J107" s="9">
        <f t="shared" si="11"/>
        <v>937500</v>
      </c>
      <c r="K107" s="10">
        <f t="shared" si="12"/>
        <v>1125000</v>
      </c>
      <c r="L107" s="9">
        <f t="shared" si="13"/>
        <v>1500000</v>
      </c>
      <c r="M107" s="8">
        <f t="shared" si="14"/>
        <v>0.9537133333333333</v>
      </c>
      <c r="N107" t="str">
        <f t="shared" si="15"/>
        <v>0-100%</v>
      </c>
      <c r="O107" s="9">
        <f>MIN($H107,$I107)*INDEX('2018_commission_structure'!$A$1:$I$4,MATCH($E107,'2018_commission_structure'!$A$1:$A$4,0),MATCH(O$1,'2018_commission_structure'!$A$1:$I$1,0))</f>
        <v>107292.75</v>
      </c>
      <c r="P107" s="9">
        <f>IF(H107&gt;I107, MIN(H107-I107, J107-I107)*INDEX('2018_commission_structure'!$A$1:$I$4,MATCH($E107,'2018_commission_structure'!$A$1:$A$4,0),MATCH(P$1,'2018_commission_structure'!$A$1:$I$1,0)),0)</f>
        <v>0</v>
      </c>
      <c r="Q107" s="9">
        <f>IF($H107&gt;J107, MIN($H107-J107, K107-J107)*INDEX('2018_commission_structure'!$A$1:$I$4,MATCH($E107,'2018_commission_structure'!$A$1:$A$4,0),MATCH(Q$1,'2018_commission_structure'!$A$1:$I$1,0)),0)</f>
        <v>0</v>
      </c>
      <c r="R107" s="9">
        <f>IF($H107&gt;K107, MIN($H107-K107, L107-K107)*INDEX('2018_commission_structure'!$A$1:$I$4,MATCH($E107,'2018_commission_structure'!$A$1:$A$4,0),MATCH(R$1,'2018_commission_structure'!$A$1:$I$1,0)),0)</f>
        <v>0</v>
      </c>
      <c r="S107" s="9">
        <f>IF(H107&gt;L107,(H107-L107)*INDEX('2018_commission_structure'!$A$1:$I$4,MATCH($E107,'2018_commission_structure'!$A$1:$A$4,0),MATCH(S$1,'2018_commission_structure'!$A$1:$I$1,0)),0)</f>
        <v>0</v>
      </c>
      <c r="T107" s="9">
        <f t="shared" si="16"/>
        <v>107292.75</v>
      </c>
      <c r="U107" s="9">
        <f t="shared" si="17"/>
        <v>200592.75</v>
      </c>
      <c r="V107" s="9">
        <f>MIN($I107,$H107)*INDEX('Key Metrics'!$E$16:$N$19,MATCH($E107,'Key Metrics'!$E$16:$E$19,0),MATCH(V$1,'Key Metrics'!$E$16:$M$16,0))</f>
        <v>107292.75</v>
      </c>
      <c r="W107" s="9">
        <f>IF($H107&gt;I107, MIN($H107-I107, J107-I107)*INDEX('Key Metrics'!$E$16:$N$19,MATCH($E107,'Key Metrics'!$E$16:$E$19,0),MATCH(W$1,'Key Metrics'!$E$16:$M$16,0)),0)</f>
        <v>0</v>
      </c>
      <c r="X107" s="9">
        <f>IF($H107&gt;J107, MIN($H107-J107, K107-J107)*INDEX('Key Metrics'!$E$16:$N$19,MATCH($E107,'Key Metrics'!$E$16:$E$19,0),MATCH(X$1,'Key Metrics'!$E$16:$M$16,0)),0)</f>
        <v>0</v>
      </c>
      <c r="Y107" s="9">
        <f>IF($H107&gt;K107, MIN($H107-K107, L107-K107)*INDEX('Key Metrics'!$E$16:$N$19,MATCH($E107,'Key Metrics'!$E$16:$E$19,0),MATCH(Y$1,'Key Metrics'!$E$16:$M$16,0)),0)</f>
        <v>0</v>
      </c>
      <c r="Z107" s="9">
        <f>IF($H107&gt;L107,($H107-L107)*INDEX('Key Metrics'!$E$16:$N$19,MATCH($E107,'Key Metrics'!$E$16:$E$19,0),MATCH(Z$1,'Key Metrics'!$E$16:$M$16,0)),0)</f>
        <v>0</v>
      </c>
      <c r="AA107" s="9">
        <f t="shared" si="18"/>
        <v>107292.75</v>
      </c>
      <c r="AB107" s="9">
        <f t="shared" si="19"/>
        <v>107293.70371333334</v>
      </c>
    </row>
    <row r="108" spans="1:28" x14ac:dyDescent="0.55000000000000004">
      <c r="A108" t="str">
        <f t="shared" si="10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COUNTIF(deals_closed!$D$2:$D$20001,Calculations!B599)</f>
        <v>9</v>
      </c>
      <c r="H108" s="7">
        <f>SUMIF(deals_closed!$D:$D,Calculations!B599,deals_closed!$C:$C)</f>
        <v>330864</v>
      </c>
      <c r="I108" s="5">
        <f>VLOOKUP(E108,'2018_commission_structure'!$A$1:$I$4,9,FALSE)</f>
        <v>750000</v>
      </c>
      <c r="J108" s="9">
        <f t="shared" si="11"/>
        <v>937500</v>
      </c>
      <c r="K108" s="10">
        <f t="shared" si="12"/>
        <v>1125000</v>
      </c>
      <c r="L108" s="9">
        <f t="shared" si="13"/>
        <v>1500000</v>
      </c>
      <c r="M108" s="8">
        <f t="shared" si="14"/>
        <v>0.44115199999999999</v>
      </c>
      <c r="N108" t="str">
        <f t="shared" si="15"/>
        <v>0-100%</v>
      </c>
      <c r="O108" s="9">
        <f>MIN($H108,$I108)*INDEX('2018_commission_structure'!$A$1:$I$4,MATCH($E108,'2018_commission_structure'!$A$1:$A$4,0),MATCH(O$1,'2018_commission_structure'!$A$1:$I$1,0))</f>
        <v>49629.599999999999</v>
      </c>
      <c r="P108" s="9">
        <f>IF(H108&gt;I108, MIN(H108-I108, J108-I108)*INDEX('2018_commission_structure'!$A$1:$I$4,MATCH($E108,'2018_commission_structure'!$A$1:$A$4,0),MATCH(P$1,'2018_commission_structure'!$A$1:$I$1,0)),0)</f>
        <v>0</v>
      </c>
      <c r="Q108" s="9">
        <f>IF($H108&gt;J108, MIN($H108-J108, K108-J108)*INDEX('2018_commission_structure'!$A$1:$I$4,MATCH($E108,'2018_commission_structure'!$A$1:$A$4,0),MATCH(Q$1,'2018_commission_structure'!$A$1:$I$1,0)),0)</f>
        <v>0</v>
      </c>
      <c r="R108" s="9">
        <f>IF($H108&gt;K108, MIN($H108-K108, L108-K108)*INDEX('2018_commission_structure'!$A$1:$I$4,MATCH($E108,'2018_commission_structure'!$A$1:$A$4,0),MATCH(R$1,'2018_commission_structure'!$A$1:$I$1,0)),0)</f>
        <v>0</v>
      </c>
      <c r="S108" s="9">
        <f>IF(H108&gt;L108,(H108-L108)*INDEX('2018_commission_structure'!$A$1:$I$4,MATCH($E108,'2018_commission_structure'!$A$1:$A$4,0),MATCH(S$1,'2018_commission_structure'!$A$1:$I$1,0)),0)</f>
        <v>0</v>
      </c>
      <c r="T108" s="9">
        <f t="shared" si="16"/>
        <v>49629.599999999999</v>
      </c>
      <c r="U108" s="9">
        <f t="shared" si="17"/>
        <v>161766.6</v>
      </c>
      <c r="V108" s="9">
        <f>MIN($I108,$H108)*INDEX('Key Metrics'!$E$16:$N$19,MATCH($E108,'Key Metrics'!$E$16:$E$19,0),MATCH(V$1,'Key Metrics'!$E$16:$M$16,0))</f>
        <v>49629.599999999999</v>
      </c>
      <c r="W108" s="9">
        <f>IF($H108&gt;I108, MIN($H108-I108, J108-I108)*INDEX('Key Metrics'!$E$16:$N$19,MATCH($E108,'Key Metrics'!$E$16:$E$19,0),MATCH(W$1,'Key Metrics'!$E$16:$M$16,0)),0)</f>
        <v>0</v>
      </c>
      <c r="X108" s="9">
        <f>IF($H108&gt;J108, MIN($H108-J108, K108-J108)*INDEX('Key Metrics'!$E$16:$N$19,MATCH($E108,'Key Metrics'!$E$16:$E$19,0),MATCH(X$1,'Key Metrics'!$E$16:$M$16,0)),0)</f>
        <v>0</v>
      </c>
      <c r="Y108" s="9">
        <f>IF($H108&gt;K108, MIN($H108-K108, L108-K108)*INDEX('Key Metrics'!$E$16:$N$19,MATCH($E108,'Key Metrics'!$E$16:$E$19,0),MATCH(Y$1,'Key Metrics'!$E$16:$M$16,0)),0)</f>
        <v>0</v>
      </c>
      <c r="Z108" s="9">
        <f>IF($H108&gt;L108,($H108-L108)*INDEX('Key Metrics'!$E$16:$N$19,MATCH($E108,'Key Metrics'!$E$16:$E$19,0),MATCH(Z$1,'Key Metrics'!$E$16:$M$16,0)),0)</f>
        <v>0</v>
      </c>
      <c r="AA108" s="9">
        <f t="shared" si="18"/>
        <v>49629.599999999999</v>
      </c>
      <c r="AB108" s="9">
        <f t="shared" si="19"/>
        <v>49630.041151999998</v>
      </c>
    </row>
    <row r="109" spans="1:28" x14ac:dyDescent="0.55000000000000004">
      <c r="A109" t="str">
        <f t="shared" si="10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COUNTIF(deals_closed!$D$2:$D$20001,Calculations!B886)</f>
        <v>23</v>
      </c>
      <c r="H109" s="7">
        <f>SUMIF(deals_closed!$D:$D,Calculations!B886,deals_closed!$C:$C)</f>
        <v>846165</v>
      </c>
      <c r="I109" s="5">
        <f>VLOOKUP(E109,'2018_commission_structure'!$A$1:$I$4,9,FALSE)</f>
        <v>750000</v>
      </c>
      <c r="J109" s="9">
        <f t="shared" si="11"/>
        <v>937500</v>
      </c>
      <c r="K109" s="10">
        <f t="shared" si="12"/>
        <v>1125000</v>
      </c>
      <c r="L109" s="9">
        <f t="shared" si="13"/>
        <v>1500000</v>
      </c>
      <c r="M109" s="8">
        <f t="shared" si="14"/>
        <v>1.12822</v>
      </c>
      <c r="N109" t="str">
        <f t="shared" si="15"/>
        <v>100-125%</v>
      </c>
      <c r="O109" s="9">
        <f>MIN($H109,$I109)*INDEX('2018_commission_structure'!$A$1:$I$4,MATCH($E109,'2018_commission_structure'!$A$1:$A$4,0),MATCH(O$1,'2018_commission_structure'!$A$1:$I$1,0))</f>
        <v>112500</v>
      </c>
      <c r="P109" s="9">
        <f>IF(H109&gt;I109, MIN(H109-I109, J109-I109)*INDEX('2018_commission_structure'!$A$1:$I$4,MATCH($E109,'2018_commission_structure'!$A$1:$A$4,0),MATCH(P$1,'2018_commission_structure'!$A$1:$I$1,0)),0)</f>
        <v>18271.349999999999</v>
      </c>
      <c r="Q109" s="9">
        <f>IF($H109&gt;J109, MIN($H109-J109, K109-J109)*INDEX('2018_commission_structure'!$A$1:$I$4,MATCH($E109,'2018_commission_structure'!$A$1:$A$4,0),MATCH(Q$1,'2018_commission_structure'!$A$1:$I$1,0)),0)</f>
        <v>0</v>
      </c>
      <c r="R109" s="9">
        <f>IF($H109&gt;K109, MIN($H109-K109, L109-K109)*INDEX('2018_commission_structure'!$A$1:$I$4,MATCH($E109,'2018_commission_structure'!$A$1:$A$4,0),MATCH(R$1,'2018_commission_structure'!$A$1:$I$1,0)),0)</f>
        <v>0</v>
      </c>
      <c r="S109" s="9">
        <f>IF(H109&gt;L109,(H109-L109)*INDEX('2018_commission_structure'!$A$1:$I$4,MATCH($E109,'2018_commission_structure'!$A$1:$A$4,0),MATCH(S$1,'2018_commission_structure'!$A$1:$I$1,0)),0)</f>
        <v>0</v>
      </c>
      <c r="T109" s="9">
        <f t="shared" si="16"/>
        <v>130771.35</v>
      </c>
      <c r="U109" s="9">
        <f t="shared" si="17"/>
        <v>215692.35</v>
      </c>
      <c r="V109" s="9">
        <f>MIN($I109,$H109)*INDEX('Key Metrics'!$E$16:$N$19,MATCH($E109,'Key Metrics'!$E$16:$E$19,0),MATCH(V$1,'Key Metrics'!$E$16:$M$16,0))</f>
        <v>112500</v>
      </c>
      <c r="W109" s="9">
        <f>IF($H109&gt;I109, MIN($H109-I109, J109-I109)*INDEX('Key Metrics'!$E$16:$N$19,MATCH($E109,'Key Metrics'!$E$16:$E$19,0),MATCH(W$1,'Key Metrics'!$E$16:$M$16,0)),0)</f>
        <v>21156.3</v>
      </c>
      <c r="X109" s="9">
        <f>IF($H109&gt;J109, MIN($H109-J109, K109-J109)*INDEX('Key Metrics'!$E$16:$N$19,MATCH($E109,'Key Metrics'!$E$16:$E$19,0),MATCH(X$1,'Key Metrics'!$E$16:$M$16,0)),0)</f>
        <v>0</v>
      </c>
      <c r="Y109" s="9">
        <f>IF($H109&gt;K109, MIN($H109-K109, L109-K109)*INDEX('Key Metrics'!$E$16:$N$19,MATCH($E109,'Key Metrics'!$E$16:$E$19,0),MATCH(Y$1,'Key Metrics'!$E$16:$M$16,0)),0)</f>
        <v>0</v>
      </c>
      <c r="Z109" s="9">
        <f>IF($H109&gt;L109,($H109-L109)*INDEX('Key Metrics'!$E$16:$N$19,MATCH($E109,'Key Metrics'!$E$16:$E$19,0),MATCH(Z$1,'Key Metrics'!$E$16:$M$16,0)),0)</f>
        <v>0</v>
      </c>
      <c r="AA109" s="9">
        <f t="shared" si="18"/>
        <v>133656.29999999999</v>
      </c>
      <c r="AB109" s="9">
        <f t="shared" si="19"/>
        <v>133657.42822</v>
      </c>
    </row>
    <row r="110" spans="1:28" x14ac:dyDescent="0.55000000000000004">
      <c r="A110" t="str">
        <f t="shared" si="10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COUNTIF(deals_closed!$D$2:$D$20001,Calculations!B687)</f>
        <v>28</v>
      </c>
      <c r="H110" s="7">
        <f>SUMIF(deals_closed!$D:$D,Calculations!B687,deals_closed!$C:$C)</f>
        <v>930406</v>
      </c>
      <c r="I110" s="5">
        <f>VLOOKUP(E110,'2018_commission_structure'!$A$1:$I$4,9,FALSE)</f>
        <v>750000</v>
      </c>
      <c r="J110" s="9">
        <f t="shared" si="11"/>
        <v>937500</v>
      </c>
      <c r="K110" s="10">
        <f t="shared" si="12"/>
        <v>1125000</v>
      </c>
      <c r="L110" s="9">
        <f t="shared" si="13"/>
        <v>1500000</v>
      </c>
      <c r="M110" s="8">
        <f t="shared" si="14"/>
        <v>1.2405413333333333</v>
      </c>
      <c r="N110" t="str">
        <f t="shared" si="15"/>
        <v>100-125%</v>
      </c>
      <c r="O110" s="9">
        <f>MIN($H110,$I110)*INDEX('2018_commission_structure'!$A$1:$I$4,MATCH($E110,'2018_commission_structure'!$A$1:$A$4,0),MATCH(O$1,'2018_commission_structure'!$A$1:$I$1,0))</f>
        <v>112500</v>
      </c>
      <c r="P110" s="9">
        <f>IF(H110&gt;I110, MIN(H110-I110, J110-I110)*INDEX('2018_commission_structure'!$A$1:$I$4,MATCH($E110,'2018_commission_structure'!$A$1:$A$4,0),MATCH(P$1,'2018_commission_structure'!$A$1:$I$1,0)),0)</f>
        <v>34277.14</v>
      </c>
      <c r="Q110" s="9">
        <f>IF($H110&gt;J110, MIN($H110-J110, K110-J110)*INDEX('2018_commission_structure'!$A$1:$I$4,MATCH($E110,'2018_commission_structure'!$A$1:$A$4,0),MATCH(Q$1,'2018_commission_structure'!$A$1:$I$1,0)),0)</f>
        <v>0</v>
      </c>
      <c r="R110" s="9">
        <f>IF($H110&gt;K110, MIN($H110-K110, L110-K110)*INDEX('2018_commission_structure'!$A$1:$I$4,MATCH($E110,'2018_commission_structure'!$A$1:$A$4,0),MATCH(R$1,'2018_commission_structure'!$A$1:$I$1,0)),0)</f>
        <v>0</v>
      </c>
      <c r="S110" s="9">
        <f>IF(H110&gt;L110,(H110-L110)*INDEX('2018_commission_structure'!$A$1:$I$4,MATCH($E110,'2018_commission_structure'!$A$1:$A$4,0),MATCH(S$1,'2018_commission_structure'!$A$1:$I$1,0)),0)</f>
        <v>0</v>
      </c>
      <c r="T110" s="9">
        <f t="shared" si="16"/>
        <v>146777.14000000001</v>
      </c>
      <c r="U110" s="9">
        <f t="shared" si="17"/>
        <v>221932.14</v>
      </c>
      <c r="V110" s="9">
        <f>MIN($I110,$H110)*INDEX('Key Metrics'!$E$16:$N$19,MATCH($E110,'Key Metrics'!$E$16:$E$19,0),MATCH(V$1,'Key Metrics'!$E$16:$M$16,0))</f>
        <v>112500</v>
      </c>
      <c r="W110" s="9">
        <f>IF($H110&gt;I110, MIN($H110-I110, J110-I110)*INDEX('Key Metrics'!$E$16:$N$19,MATCH($E110,'Key Metrics'!$E$16:$E$19,0),MATCH(W$1,'Key Metrics'!$E$16:$M$16,0)),0)</f>
        <v>39689.32</v>
      </c>
      <c r="X110" s="9">
        <f>IF($H110&gt;J110, MIN($H110-J110, K110-J110)*INDEX('Key Metrics'!$E$16:$N$19,MATCH($E110,'Key Metrics'!$E$16:$E$19,0),MATCH(X$1,'Key Metrics'!$E$16:$M$16,0)),0)</f>
        <v>0</v>
      </c>
      <c r="Y110" s="9">
        <f>IF($H110&gt;K110, MIN($H110-K110, L110-K110)*INDEX('Key Metrics'!$E$16:$N$19,MATCH($E110,'Key Metrics'!$E$16:$E$19,0),MATCH(Y$1,'Key Metrics'!$E$16:$M$16,0)),0)</f>
        <v>0</v>
      </c>
      <c r="Z110" s="9">
        <f>IF($H110&gt;L110,($H110-L110)*INDEX('Key Metrics'!$E$16:$N$19,MATCH($E110,'Key Metrics'!$E$16:$E$19,0),MATCH(Z$1,'Key Metrics'!$E$16:$M$16,0)),0)</f>
        <v>0</v>
      </c>
      <c r="AA110" s="9">
        <f t="shared" si="18"/>
        <v>152189.32</v>
      </c>
      <c r="AB110" s="9">
        <f t="shared" si="19"/>
        <v>152190.56054133334</v>
      </c>
    </row>
    <row r="111" spans="1:28" x14ac:dyDescent="0.55000000000000004">
      <c r="A111" t="str">
        <f t="shared" si="10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COUNTIF(deals_closed!$D$2:$D$20001,Calculations!B550)</f>
        <v>20</v>
      </c>
      <c r="H111" s="7">
        <f>SUMIF(deals_closed!$D:$D,Calculations!B550,deals_closed!$C:$C)</f>
        <v>596017</v>
      </c>
      <c r="I111" s="5">
        <f>VLOOKUP(E111,'2018_commission_structure'!$A$1:$I$4,9,FALSE)</f>
        <v>750000</v>
      </c>
      <c r="J111" s="9">
        <f t="shared" si="11"/>
        <v>937500</v>
      </c>
      <c r="K111" s="10">
        <f t="shared" si="12"/>
        <v>1125000</v>
      </c>
      <c r="L111" s="9">
        <f t="shared" si="13"/>
        <v>1500000</v>
      </c>
      <c r="M111" s="8">
        <f t="shared" si="14"/>
        <v>0.79468933333333336</v>
      </c>
      <c r="N111" t="str">
        <f t="shared" si="15"/>
        <v>0-100%</v>
      </c>
      <c r="O111" s="9">
        <f>MIN($H111,$I111)*INDEX('2018_commission_structure'!$A$1:$I$4,MATCH($E111,'2018_commission_structure'!$A$1:$A$4,0),MATCH(O$1,'2018_commission_structure'!$A$1:$I$1,0))</f>
        <v>89402.55</v>
      </c>
      <c r="P111" s="9">
        <f>IF(H111&gt;I111, MIN(H111-I111, J111-I111)*INDEX('2018_commission_structure'!$A$1:$I$4,MATCH($E111,'2018_commission_structure'!$A$1:$A$4,0),MATCH(P$1,'2018_commission_structure'!$A$1:$I$1,0)),0)</f>
        <v>0</v>
      </c>
      <c r="Q111" s="9">
        <f>IF($H111&gt;J111, MIN($H111-J111, K111-J111)*INDEX('2018_commission_structure'!$A$1:$I$4,MATCH($E111,'2018_commission_structure'!$A$1:$A$4,0),MATCH(Q$1,'2018_commission_structure'!$A$1:$I$1,0)),0)</f>
        <v>0</v>
      </c>
      <c r="R111" s="9">
        <f>IF($H111&gt;K111, MIN($H111-K111, L111-K111)*INDEX('2018_commission_structure'!$A$1:$I$4,MATCH($E111,'2018_commission_structure'!$A$1:$A$4,0),MATCH(R$1,'2018_commission_structure'!$A$1:$I$1,0)),0)</f>
        <v>0</v>
      </c>
      <c r="S111" s="9">
        <f>IF(H111&gt;L111,(H111-L111)*INDEX('2018_commission_structure'!$A$1:$I$4,MATCH($E111,'2018_commission_structure'!$A$1:$A$4,0),MATCH(S$1,'2018_commission_structure'!$A$1:$I$1,0)),0)</f>
        <v>0</v>
      </c>
      <c r="T111" s="9">
        <f t="shared" si="16"/>
        <v>89402.55</v>
      </c>
      <c r="U111" s="9">
        <f t="shared" si="17"/>
        <v>167145.54999999999</v>
      </c>
      <c r="V111" s="9">
        <f>MIN($I111,$H111)*INDEX('Key Metrics'!$E$16:$N$19,MATCH($E111,'Key Metrics'!$E$16:$E$19,0),MATCH(V$1,'Key Metrics'!$E$16:$M$16,0))</f>
        <v>89402.55</v>
      </c>
      <c r="W111" s="9">
        <f>IF($H111&gt;I111, MIN($H111-I111, J111-I111)*INDEX('Key Metrics'!$E$16:$N$19,MATCH($E111,'Key Metrics'!$E$16:$E$19,0),MATCH(W$1,'Key Metrics'!$E$16:$M$16,0)),0)</f>
        <v>0</v>
      </c>
      <c r="X111" s="9">
        <f>IF($H111&gt;J111, MIN($H111-J111, K111-J111)*INDEX('Key Metrics'!$E$16:$N$19,MATCH($E111,'Key Metrics'!$E$16:$E$19,0),MATCH(X$1,'Key Metrics'!$E$16:$M$16,0)),0)</f>
        <v>0</v>
      </c>
      <c r="Y111" s="9">
        <f>IF($H111&gt;K111, MIN($H111-K111, L111-K111)*INDEX('Key Metrics'!$E$16:$N$19,MATCH($E111,'Key Metrics'!$E$16:$E$19,0),MATCH(Y$1,'Key Metrics'!$E$16:$M$16,0)),0)</f>
        <v>0</v>
      </c>
      <c r="Z111" s="9">
        <f>IF($H111&gt;L111,($H111-L111)*INDEX('Key Metrics'!$E$16:$N$19,MATCH($E111,'Key Metrics'!$E$16:$E$19,0),MATCH(Z$1,'Key Metrics'!$E$16:$M$16,0)),0)</f>
        <v>0</v>
      </c>
      <c r="AA111" s="9">
        <f t="shared" si="18"/>
        <v>89402.55</v>
      </c>
      <c r="AB111" s="9">
        <f t="shared" si="19"/>
        <v>89403.344689333331</v>
      </c>
    </row>
    <row r="112" spans="1:28" x14ac:dyDescent="0.55000000000000004">
      <c r="A112" t="str">
        <f t="shared" si="10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COUNTIF(deals_closed!$D$2:$D$20001,Calculations!B741)</f>
        <v>20</v>
      </c>
      <c r="H112" s="7">
        <f>SUMIF(deals_closed!$D:$D,Calculations!B741,deals_closed!$C:$C)</f>
        <v>676256</v>
      </c>
      <c r="I112" s="5">
        <f>VLOOKUP(E112,'2018_commission_structure'!$A$1:$I$4,9,FALSE)</f>
        <v>500000</v>
      </c>
      <c r="J112" s="9">
        <f t="shared" si="11"/>
        <v>625000</v>
      </c>
      <c r="K112" s="10">
        <f t="shared" si="12"/>
        <v>750000</v>
      </c>
      <c r="L112" s="9">
        <f t="shared" si="13"/>
        <v>1000000</v>
      </c>
      <c r="M112" s="8">
        <f t="shared" si="14"/>
        <v>1.3525119999999999</v>
      </c>
      <c r="N112" t="str">
        <f t="shared" si="15"/>
        <v>125-150%</v>
      </c>
      <c r="O112" s="9">
        <f>MIN($H112,$I112)*INDEX('2018_commission_structure'!$A$1:$I$4,MATCH($E112,'2018_commission_structure'!$A$1:$A$4,0),MATCH(O$1,'2018_commission_structure'!$A$1:$I$1,0))</f>
        <v>50000</v>
      </c>
      <c r="P112" s="9">
        <f>IF(H112&gt;I112, MIN(H112-I112, J112-I112)*INDEX('2018_commission_structure'!$A$1:$I$4,MATCH($E112,'2018_commission_structure'!$A$1:$A$4,0),MATCH(P$1,'2018_commission_structure'!$A$1:$I$1,0)),0)</f>
        <v>18750</v>
      </c>
      <c r="Q112" s="9">
        <f>IF($H112&gt;J112, MIN($H112-J112, K112-J112)*INDEX('2018_commission_structure'!$A$1:$I$4,MATCH($E112,'2018_commission_structure'!$A$1:$A$4,0),MATCH(Q$1,'2018_commission_structure'!$A$1:$I$1,0)),0)</f>
        <v>9226.08</v>
      </c>
      <c r="R112" s="9">
        <f>IF($H112&gt;K112, MIN($H112-K112, L112-K112)*INDEX('2018_commission_structure'!$A$1:$I$4,MATCH($E112,'2018_commission_structure'!$A$1:$A$4,0),MATCH(R$1,'2018_commission_structure'!$A$1:$I$1,0)),0)</f>
        <v>0</v>
      </c>
      <c r="S112" s="9">
        <f>IF(H112&gt;L112,(H112-L112)*INDEX('2018_commission_structure'!$A$1:$I$4,MATCH($E112,'2018_commission_structure'!$A$1:$A$4,0),MATCH(S$1,'2018_commission_structure'!$A$1:$I$1,0)),0)</f>
        <v>0</v>
      </c>
      <c r="T112" s="9">
        <f t="shared" si="16"/>
        <v>77976.08</v>
      </c>
      <c r="U112" s="9">
        <f t="shared" si="17"/>
        <v>113583.08</v>
      </c>
      <c r="V112" s="9">
        <f>MIN($I112,$H112)*INDEX('Key Metrics'!$E$16:$N$19,MATCH($E112,'Key Metrics'!$E$16:$E$19,0),MATCH(V$1,'Key Metrics'!$E$16:$M$16,0))</f>
        <v>60000</v>
      </c>
      <c r="W112" s="9">
        <f>IF($H112&gt;I112, MIN($H112-I112, J112-I112)*INDEX('Key Metrics'!$E$16:$N$19,MATCH($E112,'Key Metrics'!$E$16:$E$19,0),MATCH(W$1,'Key Metrics'!$E$16:$M$16,0)),0)</f>
        <v>21250</v>
      </c>
      <c r="X112" s="9">
        <f>IF($H112&gt;J112, MIN($H112-J112, K112-J112)*INDEX('Key Metrics'!$E$16:$N$19,MATCH($E112,'Key Metrics'!$E$16:$E$19,0),MATCH(X$1,'Key Metrics'!$E$16:$M$16,0)),0)</f>
        <v>10251.200000000001</v>
      </c>
      <c r="Y112" s="9">
        <f>IF($H112&gt;K112, MIN($H112-K112, L112-K112)*INDEX('Key Metrics'!$E$16:$N$19,MATCH($E112,'Key Metrics'!$E$16:$E$19,0),MATCH(Y$1,'Key Metrics'!$E$16:$M$16,0)),0)</f>
        <v>0</v>
      </c>
      <c r="Z112" s="9">
        <f>IF($H112&gt;L112,($H112-L112)*INDEX('Key Metrics'!$E$16:$N$19,MATCH($E112,'Key Metrics'!$E$16:$E$19,0),MATCH(Z$1,'Key Metrics'!$E$16:$M$16,0)),0)</f>
        <v>0</v>
      </c>
      <c r="AA112" s="9">
        <f t="shared" si="18"/>
        <v>91501.2</v>
      </c>
      <c r="AB112" s="9">
        <f t="shared" si="19"/>
        <v>91502.552511999995</v>
      </c>
    </row>
    <row r="113" spans="1:28" x14ac:dyDescent="0.55000000000000004">
      <c r="A113" t="str">
        <f t="shared" si="10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COUNTIF(deals_closed!$D$2:$D$20001,Calculations!B691)</f>
        <v>15</v>
      </c>
      <c r="H113" s="7">
        <f>SUMIF(deals_closed!$D:$D,Calculations!B691,deals_closed!$C:$C)</f>
        <v>588818</v>
      </c>
      <c r="I113" s="5">
        <f>VLOOKUP(E113,'2018_commission_structure'!$A$1:$I$4,9,FALSE)</f>
        <v>600000</v>
      </c>
      <c r="J113" s="9">
        <f t="shared" si="11"/>
        <v>750000</v>
      </c>
      <c r="K113" s="10">
        <f t="shared" si="12"/>
        <v>900000</v>
      </c>
      <c r="L113" s="9">
        <f t="shared" si="13"/>
        <v>1200000</v>
      </c>
      <c r="M113" s="8">
        <f t="shared" si="14"/>
        <v>0.98136333333333337</v>
      </c>
      <c r="N113" t="str">
        <f t="shared" si="15"/>
        <v>0-100%</v>
      </c>
      <c r="O113" s="9">
        <f>MIN($H113,$I113)*INDEX('2018_commission_structure'!$A$1:$I$4,MATCH($E113,'2018_commission_structure'!$A$1:$A$4,0),MATCH(O$1,'2018_commission_structure'!$A$1:$I$1,0))</f>
        <v>76546.34</v>
      </c>
      <c r="P113" s="9">
        <f>IF(H113&gt;I113, MIN(H113-I113, J113-I113)*INDEX('2018_commission_structure'!$A$1:$I$4,MATCH($E113,'2018_commission_structure'!$A$1:$A$4,0),MATCH(P$1,'2018_commission_structure'!$A$1:$I$1,0)),0)</f>
        <v>0</v>
      </c>
      <c r="Q113" s="9">
        <f>IF($H113&gt;J113, MIN($H113-J113, K113-J113)*INDEX('2018_commission_structure'!$A$1:$I$4,MATCH($E113,'2018_commission_structure'!$A$1:$A$4,0),MATCH(Q$1,'2018_commission_structure'!$A$1:$I$1,0)),0)</f>
        <v>0</v>
      </c>
      <c r="R113" s="9">
        <f>IF($H113&gt;K113, MIN($H113-K113, L113-K113)*INDEX('2018_commission_structure'!$A$1:$I$4,MATCH($E113,'2018_commission_structure'!$A$1:$A$4,0),MATCH(R$1,'2018_commission_structure'!$A$1:$I$1,0)),0)</f>
        <v>0</v>
      </c>
      <c r="S113" s="9">
        <f>IF(H113&gt;L113,(H113-L113)*INDEX('2018_commission_structure'!$A$1:$I$4,MATCH($E113,'2018_commission_structure'!$A$1:$A$4,0),MATCH(S$1,'2018_commission_structure'!$A$1:$I$1,0)),0)</f>
        <v>0</v>
      </c>
      <c r="T113" s="9">
        <f t="shared" si="16"/>
        <v>76546.34</v>
      </c>
      <c r="U113" s="9">
        <f t="shared" si="17"/>
        <v>153193.34</v>
      </c>
      <c r="V113" s="9">
        <f>MIN($I113,$H113)*INDEX('Key Metrics'!$E$16:$N$19,MATCH($E113,'Key Metrics'!$E$16:$E$19,0),MATCH(V$1,'Key Metrics'!$E$16:$M$16,0))</f>
        <v>88322.7</v>
      </c>
      <c r="W113" s="9">
        <f>IF($H113&gt;I113, MIN($H113-I113, J113-I113)*INDEX('Key Metrics'!$E$16:$N$19,MATCH($E113,'Key Metrics'!$E$16:$E$19,0),MATCH(W$1,'Key Metrics'!$E$16:$M$16,0)),0)</f>
        <v>0</v>
      </c>
      <c r="X113" s="9">
        <f>IF($H113&gt;J113, MIN($H113-J113, K113-J113)*INDEX('Key Metrics'!$E$16:$N$19,MATCH($E113,'Key Metrics'!$E$16:$E$19,0),MATCH(X$1,'Key Metrics'!$E$16:$M$16,0)),0)</f>
        <v>0</v>
      </c>
      <c r="Y113" s="9">
        <f>IF($H113&gt;K113, MIN($H113-K113, L113-K113)*INDEX('Key Metrics'!$E$16:$N$19,MATCH($E113,'Key Metrics'!$E$16:$E$19,0),MATCH(Y$1,'Key Metrics'!$E$16:$M$16,0)),0)</f>
        <v>0</v>
      </c>
      <c r="Z113" s="9">
        <f>IF($H113&gt;L113,($H113-L113)*INDEX('Key Metrics'!$E$16:$N$19,MATCH($E113,'Key Metrics'!$E$16:$E$19,0),MATCH(Z$1,'Key Metrics'!$E$16:$M$16,0)),0)</f>
        <v>0</v>
      </c>
      <c r="AA113" s="9">
        <f t="shared" si="18"/>
        <v>88322.7</v>
      </c>
      <c r="AB113" s="9">
        <f t="shared" si="19"/>
        <v>88323.681363333337</v>
      </c>
    </row>
    <row r="114" spans="1:28" x14ac:dyDescent="0.55000000000000004">
      <c r="A114" t="str">
        <f t="shared" si="10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COUNTIF(deals_closed!$D$2:$D$20001,Calculations!B251)</f>
        <v>14</v>
      </c>
      <c r="H114" s="7">
        <f>SUMIF(deals_closed!$D:$D,Calculations!B251,deals_closed!$C:$C)</f>
        <v>360151</v>
      </c>
      <c r="I114" s="5">
        <f>VLOOKUP(E114,'2018_commission_structure'!$A$1:$I$4,9,FALSE)</f>
        <v>500000</v>
      </c>
      <c r="J114" s="9">
        <f t="shared" si="11"/>
        <v>625000</v>
      </c>
      <c r="K114" s="10">
        <f t="shared" si="12"/>
        <v>750000</v>
      </c>
      <c r="L114" s="9">
        <f t="shared" si="13"/>
        <v>1000000</v>
      </c>
      <c r="M114" s="8">
        <f t="shared" si="14"/>
        <v>0.720302</v>
      </c>
      <c r="N114" t="str">
        <f t="shared" si="15"/>
        <v>0-100%</v>
      </c>
      <c r="O114" s="9">
        <f>MIN($H114,$I114)*INDEX('2018_commission_structure'!$A$1:$I$4,MATCH($E114,'2018_commission_structure'!$A$1:$A$4,0),MATCH(O$1,'2018_commission_structure'!$A$1:$I$1,0))</f>
        <v>36015.1</v>
      </c>
      <c r="P114" s="9">
        <f>IF(H114&gt;I114, MIN(H114-I114, J114-I114)*INDEX('2018_commission_structure'!$A$1:$I$4,MATCH($E114,'2018_commission_structure'!$A$1:$A$4,0),MATCH(P$1,'2018_commission_structure'!$A$1:$I$1,0)),0)</f>
        <v>0</v>
      </c>
      <c r="Q114" s="9">
        <f>IF($H114&gt;J114, MIN($H114-J114, K114-J114)*INDEX('2018_commission_structure'!$A$1:$I$4,MATCH($E114,'2018_commission_structure'!$A$1:$A$4,0),MATCH(Q$1,'2018_commission_structure'!$A$1:$I$1,0)),0)</f>
        <v>0</v>
      </c>
      <c r="R114" s="9">
        <f>IF($H114&gt;K114, MIN($H114-K114, L114-K114)*INDEX('2018_commission_structure'!$A$1:$I$4,MATCH($E114,'2018_commission_structure'!$A$1:$A$4,0),MATCH(R$1,'2018_commission_structure'!$A$1:$I$1,0)),0)</f>
        <v>0</v>
      </c>
      <c r="S114" s="9">
        <f>IF(H114&gt;L114,(H114-L114)*INDEX('2018_commission_structure'!$A$1:$I$4,MATCH($E114,'2018_commission_structure'!$A$1:$A$4,0),MATCH(S$1,'2018_commission_structure'!$A$1:$I$1,0)),0)</f>
        <v>0</v>
      </c>
      <c r="T114" s="9">
        <f t="shared" si="16"/>
        <v>36015.1</v>
      </c>
      <c r="U114" s="9">
        <f t="shared" si="17"/>
        <v>94089.1</v>
      </c>
      <c r="V114" s="9">
        <f>MIN($I114,$H114)*INDEX('Key Metrics'!$E$16:$N$19,MATCH($E114,'Key Metrics'!$E$16:$E$19,0),MATCH(V$1,'Key Metrics'!$E$16:$M$16,0))</f>
        <v>43218.119999999995</v>
      </c>
      <c r="W114" s="9">
        <f>IF($H114&gt;I114, MIN($H114-I114, J114-I114)*INDEX('Key Metrics'!$E$16:$N$19,MATCH($E114,'Key Metrics'!$E$16:$E$19,0),MATCH(W$1,'Key Metrics'!$E$16:$M$16,0)),0)</f>
        <v>0</v>
      </c>
      <c r="X114" s="9">
        <f>IF($H114&gt;J114, MIN($H114-J114, K114-J114)*INDEX('Key Metrics'!$E$16:$N$19,MATCH($E114,'Key Metrics'!$E$16:$E$19,0),MATCH(X$1,'Key Metrics'!$E$16:$M$16,0)),0)</f>
        <v>0</v>
      </c>
      <c r="Y114" s="9">
        <f>IF($H114&gt;K114, MIN($H114-K114, L114-K114)*INDEX('Key Metrics'!$E$16:$N$19,MATCH($E114,'Key Metrics'!$E$16:$E$19,0),MATCH(Y$1,'Key Metrics'!$E$16:$M$16,0)),0)</f>
        <v>0</v>
      </c>
      <c r="Z114" s="9">
        <f>IF($H114&gt;L114,($H114-L114)*INDEX('Key Metrics'!$E$16:$N$19,MATCH($E114,'Key Metrics'!$E$16:$E$19,0),MATCH(Z$1,'Key Metrics'!$E$16:$M$16,0)),0)</f>
        <v>0</v>
      </c>
      <c r="AA114" s="9">
        <f t="shared" si="18"/>
        <v>43218.119999999995</v>
      </c>
      <c r="AB114" s="9">
        <f t="shared" si="19"/>
        <v>43218.840301999997</v>
      </c>
    </row>
    <row r="115" spans="1:28" x14ac:dyDescent="0.55000000000000004">
      <c r="A115" t="str">
        <f t="shared" si="10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COUNTIF(deals_closed!$D$2:$D$20001,Calculations!B709)</f>
        <v>19</v>
      </c>
      <c r="H115" s="7">
        <f>SUMIF(deals_closed!$D:$D,Calculations!B709,deals_closed!$C:$C)</f>
        <v>703216</v>
      </c>
      <c r="I115" s="5">
        <f>VLOOKUP(E115,'2018_commission_structure'!$A$1:$I$4,9,FALSE)</f>
        <v>600000</v>
      </c>
      <c r="J115" s="9">
        <f t="shared" si="11"/>
        <v>750000</v>
      </c>
      <c r="K115" s="10">
        <f t="shared" si="12"/>
        <v>900000</v>
      </c>
      <c r="L115" s="9">
        <f t="shared" si="13"/>
        <v>1200000</v>
      </c>
      <c r="M115" s="8">
        <f t="shared" si="14"/>
        <v>1.1720266666666668</v>
      </c>
      <c r="N115" t="str">
        <f t="shared" si="15"/>
        <v>100-125%</v>
      </c>
      <c r="O115" s="9">
        <f>MIN($H115,$I115)*INDEX('2018_commission_structure'!$A$1:$I$4,MATCH($E115,'2018_commission_structure'!$A$1:$A$4,0),MATCH(O$1,'2018_commission_structure'!$A$1:$I$1,0))</f>
        <v>78000</v>
      </c>
      <c r="P115" s="9">
        <f>IF(H115&gt;I115, MIN(H115-I115, J115-I115)*INDEX('2018_commission_structure'!$A$1:$I$4,MATCH($E115,'2018_commission_structure'!$A$1:$A$4,0),MATCH(P$1,'2018_commission_structure'!$A$1:$I$1,0)),0)</f>
        <v>17546.72</v>
      </c>
      <c r="Q115" s="9">
        <f>IF($H115&gt;J115, MIN($H115-J115, K115-J115)*INDEX('2018_commission_structure'!$A$1:$I$4,MATCH($E115,'2018_commission_structure'!$A$1:$A$4,0),MATCH(Q$1,'2018_commission_structure'!$A$1:$I$1,0)),0)</f>
        <v>0</v>
      </c>
      <c r="R115" s="9">
        <f>IF($H115&gt;K115, MIN($H115-K115, L115-K115)*INDEX('2018_commission_structure'!$A$1:$I$4,MATCH($E115,'2018_commission_structure'!$A$1:$A$4,0),MATCH(R$1,'2018_commission_structure'!$A$1:$I$1,0)),0)</f>
        <v>0</v>
      </c>
      <c r="S115" s="9">
        <f>IF(H115&gt;L115,(H115-L115)*INDEX('2018_commission_structure'!$A$1:$I$4,MATCH($E115,'2018_commission_structure'!$A$1:$A$4,0),MATCH(S$1,'2018_commission_structure'!$A$1:$I$1,0)),0)</f>
        <v>0</v>
      </c>
      <c r="T115" s="9">
        <f t="shared" si="16"/>
        <v>95546.72</v>
      </c>
      <c r="U115" s="9">
        <f t="shared" si="17"/>
        <v>150876.72</v>
      </c>
      <c r="V115" s="9">
        <f>MIN($I115,$H115)*INDEX('Key Metrics'!$E$16:$N$19,MATCH($E115,'Key Metrics'!$E$16:$E$19,0),MATCH(V$1,'Key Metrics'!$E$16:$M$16,0))</f>
        <v>90000</v>
      </c>
      <c r="W115" s="9">
        <f>IF($H115&gt;I115, MIN($H115-I115, J115-I115)*INDEX('Key Metrics'!$E$16:$N$19,MATCH($E115,'Key Metrics'!$E$16:$E$19,0),MATCH(W$1,'Key Metrics'!$E$16:$M$16,0)),0)</f>
        <v>18578.88</v>
      </c>
      <c r="X115" s="9">
        <f>IF($H115&gt;J115, MIN($H115-J115, K115-J115)*INDEX('Key Metrics'!$E$16:$N$19,MATCH($E115,'Key Metrics'!$E$16:$E$19,0),MATCH(X$1,'Key Metrics'!$E$16:$M$16,0)),0)</f>
        <v>0</v>
      </c>
      <c r="Y115" s="9">
        <f>IF($H115&gt;K115, MIN($H115-K115, L115-K115)*INDEX('Key Metrics'!$E$16:$N$19,MATCH($E115,'Key Metrics'!$E$16:$E$19,0),MATCH(Y$1,'Key Metrics'!$E$16:$M$16,0)),0)</f>
        <v>0</v>
      </c>
      <c r="Z115" s="9">
        <f>IF($H115&gt;L115,($H115-L115)*INDEX('Key Metrics'!$E$16:$N$19,MATCH($E115,'Key Metrics'!$E$16:$E$19,0),MATCH(Z$1,'Key Metrics'!$E$16:$M$16,0)),0)</f>
        <v>0</v>
      </c>
      <c r="AA115" s="9">
        <f t="shared" si="18"/>
        <v>108578.88</v>
      </c>
      <c r="AB115" s="9">
        <f t="shared" si="19"/>
        <v>108580.05202666667</v>
      </c>
    </row>
    <row r="116" spans="1:28" x14ac:dyDescent="0.55000000000000004">
      <c r="A116" t="str">
        <f t="shared" si="10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COUNTIF(deals_closed!$D$2:$D$20001,Calculations!B536)</f>
        <v>18</v>
      </c>
      <c r="H116" s="7">
        <f>SUMIF(deals_closed!$D:$D,Calculations!B536,deals_closed!$C:$C)</f>
        <v>646367</v>
      </c>
      <c r="I116" s="5">
        <f>VLOOKUP(E116,'2018_commission_structure'!$A$1:$I$4,9,FALSE)</f>
        <v>750000</v>
      </c>
      <c r="J116" s="9">
        <f t="shared" si="11"/>
        <v>937500</v>
      </c>
      <c r="K116" s="10">
        <f t="shared" si="12"/>
        <v>1125000</v>
      </c>
      <c r="L116" s="9">
        <f t="shared" si="13"/>
        <v>1500000</v>
      </c>
      <c r="M116" s="8">
        <f t="shared" si="14"/>
        <v>0.86182266666666663</v>
      </c>
      <c r="N116" t="str">
        <f t="shared" si="15"/>
        <v>0-100%</v>
      </c>
      <c r="O116" s="9">
        <f>MIN($H116,$I116)*INDEX('2018_commission_structure'!$A$1:$I$4,MATCH($E116,'2018_commission_structure'!$A$1:$A$4,0),MATCH(O$1,'2018_commission_structure'!$A$1:$I$1,0))</f>
        <v>96955.05</v>
      </c>
      <c r="P116" s="9">
        <f>IF(H116&gt;I116, MIN(H116-I116, J116-I116)*INDEX('2018_commission_structure'!$A$1:$I$4,MATCH($E116,'2018_commission_structure'!$A$1:$A$4,0),MATCH(P$1,'2018_commission_structure'!$A$1:$I$1,0)),0)</f>
        <v>0</v>
      </c>
      <c r="Q116" s="9">
        <f>IF($H116&gt;J116, MIN($H116-J116, K116-J116)*INDEX('2018_commission_structure'!$A$1:$I$4,MATCH($E116,'2018_commission_structure'!$A$1:$A$4,0),MATCH(Q$1,'2018_commission_structure'!$A$1:$I$1,0)),0)</f>
        <v>0</v>
      </c>
      <c r="R116" s="9">
        <f>IF($H116&gt;K116, MIN($H116-K116, L116-K116)*INDEX('2018_commission_structure'!$A$1:$I$4,MATCH($E116,'2018_commission_structure'!$A$1:$A$4,0),MATCH(R$1,'2018_commission_structure'!$A$1:$I$1,0)),0)</f>
        <v>0</v>
      </c>
      <c r="S116" s="9">
        <f>IF(H116&gt;L116,(H116-L116)*INDEX('2018_commission_structure'!$A$1:$I$4,MATCH($E116,'2018_commission_structure'!$A$1:$A$4,0),MATCH(S$1,'2018_commission_structure'!$A$1:$I$1,0)),0)</f>
        <v>0</v>
      </c>
      <c r="T116" s="9">
        <f t="shared" si="16"/>
        <v>96955.05</v>
      </c>
      <c r="U116" s="9">
        <f t="shared" si="17"/>
        <v>174502.05</v>
      </c>
      <c r="V116" s="9">
        <f>MIN($I116,$H116)*INDEX('Key Metrics'!$E$16:$N$19,MATCH($E116,'Key Metrics'!$E$16:$E$19,0),MATCH(V$1,'Key Metrics'!$E$16:$M$16,0))</f>
        <v>96955.05</v>
      </c>
      <c r="W116" s="9">
        <f>IF($H116&gt;I116, MIN($H116-I116, J116-I116)*INDEX('Key Metrics'!$E$16:$N$19,MATCH($E116,'Key Metrics'!$E$16:$E$19,0),MATCH(W$1,'Key Metrics'!$E$16:$M$16,0)),0)</f>
        <v>0</v>
      </c>
      <c r="X116" s="9">
        <f>IF($H116&gt;J116, MIN($H116-J116, K116-J116)*INDEX('Key Metrics'!$E$16:$N$19,MATCH($E116,'Key Metrics'!$E$16:$E$19,0),MATCH(X$1,'Key Metrics'!$E$16:$M$16,0)),0)</f>
        <v>0</v>
      </c>
      <c r="Y116" s="9">
        <f>IF($H116&gt;K116, MIN($H116-K116, L116-K116)*INDEX('Key Metrics'!$E$16:$N$19,MATCH($E116,'Key Metrics'!$E$16:$E$19,0),MATCH(Y$1,'Key Metrics'!$E$16:$M$16,0)),0)</f>
        <v>0</v>
      </c>
      <c r="Z116" s="9">
        <f>IF($H116&gt;L116,($H116-L116)*INDEX('Key Metrics'!$E$16:$N$19,MATCH($E116,'Key Metrics'!$E$16:$E$19,0),MATCH(Z$1,'Key Metrics'!$E$16:$M$16,0)),0)</f>
        <v>0</v>
      </c>
      <c r="AA116" s="9">
        <f t="shared" si="18"/>
        <v>96955.05</v>
      </c>
      <c r="AB116" s="9">
        <f t="shared" si="19"/>
        <v>96955.911822666676</v>
      </c>
    </row>
    <row r="117" spans="1:28" x14ac:dyDescent="0.55000000000000004">
      <c r="A117" t="str">
        <f t="shared" si="10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COUNTIF(deals_closed!$D$2:$D$20001,Calculations!B563)</f>
        <v>15</v>
      </c>
      <c r="H117" s="7">
        <f>SUMIF(deals_closed!$D:$D,Calculations!B563,deals_closed!$C:$C)</f>
        <v>641056</v>
      </c>
      <c r="I117" s="5">
        <f>VLOOKUP(E117,'2018_commission_structure'!$A$1:$I$4,9,FALSE)</f>
        <v>750000</v>
      </c>
      <c r="J117" s="9">
        <f t="shared" si="11"/>
        <v>937500</v>
      </c>
      <c r="K117" s="10">
        <f t="shared" si="12"/>
        <v>1125000</v>
      </c>
      <c r="L117" s="9">
        <f t="shared" si="13"/>
        <v>1500000</v>
      </c>
      <c r="M117" s="8">
        <f t="shared" si="14"/>
        <v>0.85474133333333335</v>
      </c>
      <c r="N117" t="str">
        <f t="shared" si="15"/>
        <v>0-100%</v>
      </c>
      <c r="O117" s="9">
        <f>MIN($H117,$I117)*INDEX('2018_commission_structure'!$A$1:$I$4,MATCH($E117,'2018_commission_structure'!$A$1:$A$4,0),MATCH(O$1,'2018_commission_structure'!$A$1:$I$1,0))</f>
        <v>96158.399999999994</v>
      </c>
      <c r="P117" s="9">
        <f>IF(H117&gt;I117, MIN(H117-I117, J117-I117)*INDEX('2018_commission_structure'!$A$1:$I$4,MATCH($E117,'2018_commission_structure'!$A$1:$A$4,0),MATCH(P$1,'2018_commission_structure'!$A$1:$I$1,0)),0)</f>
        <v>0</v>
      </c>
      <c r="Q117" s="9">
        <f>IF($H117&gt;J117, MIN($H117-J117, K117-J117)*INDEX('2018_commission_structure'!$A$1:$I$4,MATCH($E117,'2018_commission_structure'!$A$1:$A$4,0),MATCH(Q$1,'2018_commission_structure'!$A$1:$I$1,0)),0)</f>
        <v>0</v>
      </c>
      <c r="R117" s="9">
        <f>IF($H117&gt;K117, MIN($H117-K117, L117-K117)*INDEX('2018_commission_structure'!$A$1:$I$4,MATCH($E117,'2018_commission_structure'!$A$1:$A$4,0),MATCH(R$1,'2018_commission_structure'!$A$1:$I$1,0)),0)</f>
        <v>0</v>
      </c>
      <c r="S117" s="9">
        <f>IF(H117&gt;L117,(H117-L117)*INDEX('2018_commission_structure'!$A$1:$I$4,MATCH($E117,'2018_commission_structure'!$A$1:$A$4,0),MATCH(S$1,'2018_commission_structure'!$A$1:$I$1,0)),0)</f>
        <v>0</v>
      </c>
      <c r="T117" s="9">
        <f t="shared" si="16"/>
        <v>96158.399999999994</v>
      </c>
      <c r="U117" s="9">
        <f t="shared" si="17"/>
        <v>176600.4</v>
      </c>
      <c r="V117" s="9">
        <f>MIN($I117,$H117)*INDEX('Key Metrics'!$E$16:$N$19,MATCH($E117,'Key Metrics'!$E$16:$E$19,0),MATCH(V$1,'Key Metrics'!$E$16:$M$16,0))</f>
        <v>96158.399999999994</v>
      </c>
      <c r="W117" s="9">
        <f>IF($H117&gt;I117, MIN($H117-I117, J117-I117)*INDEX('Key Metrics'!$E$16:$N$19,MATCH($E117,'Key Metrics'!$E$16:$E$19,0),MATCH(W$1,'Key Metrics'!$E$16:$M$16,0)),0)</f>
        <v>0</v>
      </c>
      <c r="X117" s="9">
        <f>IF($H117&gt;J117, MIN($H117-J117, K117-J117)*INDEX('Key Metrics'!$E$16:$N$19,MATCH($E117,'Key Metrics'!$E$16:$E$19,0),MATCH(X$1,'Key Metrics'!$E$16:$M$16,0)),0)</f>
        <v>0</v>
      </c>
      <c r="Y117" s="9">
        <f>IF($H117&gt;K117, MIN($H117-K117, L117-K117)*INDEX('Key Metrics'!$E$16:$N$19,MATCH($E117,'Key Metrics'!$E$16:$E$19,0),MATCH(Y$1,'Key Metrics'!$E$16:$M$16,0)),0)</f>
        <v>0</v>
      </c>
      <c r="Z117" s="9">
        <f>IF($H117&gt;L117,($H117-L117)*INDEX('Key Metrics'!$E$16:$N$19,MATCH($E117,'Key Metrics'!$E$16:$E$19,0),MATCH(Z$1,'Key Metrics'!$E$16:$M$16,0)),0)</f>
        <v>0</v>
      </c>
      <c r="AA117" s="9">
        <f t="shared" si="18"/>
        <v>96158.399999999994</v>
      </c>
      <c r="AB117" s="9">
        <f t="shared" si="19"/>
        <v>96159.254741333323</v>
      </c>
    </row>
    <row r="118" spans="1:28" x14ac:dyDescent="0.55000000000000004">
      <c r="A118" t="str">
        <f t="shared" si="10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COUNTIF(deals_closed!$D$2:$D$20001,Calculations!B706)</f>
        <v>24</v>
      </c>
      <c r="H118" s="7">
        <f>SUMIF(deals_closed!$D:$D,Calculations!B706,deals_closed!$C:$C)</f>
        <v>971092</v>
      </c>
      <c r="I118" s="5">
        <f>VLOOKUP(E118,'2018_commission_structure'!$A$1:$I$4,9,FALSE)</f>
        <v>500000</v>
      </c>
      <c r="J118" s="9">
        <f t="shared" si="11"/>
        <v>625000</v>
      </c>
      <c r="K118" s="10">
        <f t="shared" si="12"/>
        <v>750000</v>
      </c>
      <c r="L118" s="9">
        <f t="shared" si="13"/>
        <v>1000000</v>
      </c>
      <c r="M118" s="8">
        <f t="shared" si="14"/>
        <v>1.9421839999999999</v>
      </c>
      <c r="N118" t="str">
        <f t="shared" si="15"/>
        <v>150-200%</v>
      </c>
      <c r="O118" s="9">
        <f>MIN($H118,$I118)*INDEX('2018_commission_structure'!$A$1:$I$4,MATCH($E118,'2018_commission_structure'!$A$1:$A$4,0),MATCH(O$1,'2018_commission_structure'!$A$1:$I$1,0))</f>
        <v>50000</v>
      </c>
      <c r="P118" s="9">
        <f>IF(H118&gt;I118, MIN(H118-I118, J118-I118)*INDEX('2018_commission_structure'!$A$1:$I$4,MATCH($E118,'2018_commission_structure'!$A$1:$A$4,0),MATCH(P$1,'2018_commission_structure'!$A$1:$I$1,0)),0)</f>
        <v>18750</v>
      </c>
      <c r="Q118" s="9">
        <f>IF($H118&gt;J118, MIN($H118-J118, K118-J118)*INDEX('2018_commission_structure'!$A$1:$I$4,MATCH($E118,'2018_commission_structure'!$A$1:$A$4,0),MATCH(Q$1,'2018_commission_structure'!$A$1:$I$1,0)),0)</f>
        <v>22500</v>
      </c>
      <c r="R118" s="9">
        <f>IF($H118&gt;K118, MIN($H118-K118, L118-K118)*INDEX('2018_commission_structure'!$A$1:$I$4,MATCH($E118,'2018_commission_structure'!$A$1:$A$4,0),MATCH(R$1,'2018_commission_structure'!$A$1:$I$1,0)),0)</f>
        <v>48640.24</v>
      </c>
      <c r="S118" s="9">
        <f>IF(H118&gt;L118,(H118-L118)*INDEX('2018_commission_structure'!$A$1:$I$4,MATCH($E118,'2018_commission_structure'!$A$1:$A$4,0),MATCH(S$1,'2018_commission_structure'!$A$1:$I$1,0)),0)</f>
        <v>0</v>
      </c>
      <c r="T118" s="9">
        <f t="shared" si="16"/>
        <v>139890.23999999999</v>
      </c>
      <c r="U118" s="9">
        <f t="shared" si="17"/>
        <v>177313.24</v>
      </c>
      <c r="V118" s="9">
        <f>MIN($I118,$H118)*INDEX('Key Metrics'!$E$16:$N$19,MATCH($E118,'Key Metrics'!$E$16:$E$19,0),MATCH(V$1,'Key Metrics'!$E$16:$M$16,0))</f>
        <v>60000</v>
      </c>
      <c r="W118" s="9">
        <f>IF($H118&gt;I118, MIN($H118-I118, J118-I118)*INDEX('Key Metrics'!$E$16:$N$19,MATCH($E118,'Key Metrics'!$E$16:$E$19,0),MATCH(W$1,'Key Metrics'!$E$16:$M$16,0)),0)</f>
        <v>21250</v>
      </c>
      <c r="X118" s="9">
        <f>IF($H118&gt;J118, MIN($H118-J118, K118-J118)*INDEX('Key Metrics'!$E$16:$N$19,MATCH($E118,'Key Metrics'!$E$16:$E$19,0),MATCH(X$1,'Key Metrics'!$E$16:$M$16,0)),0)</f>
        <v>25000</v>
      </c>
      <c r="Y118" s="9">
        <f>IF($H118&gt;K118, MIN($H118-K118, L118-K118)*INDEX('Key Metrics'!$E$16:$N$19,MATCH($E118,'Key Metrics'!$E$16:$E$19,0),MATCH(Y$1,'Key Metrics'!$E$16:$M$16,0)),0)</f>
        <v>48640.24</v>
      </c>
      <c r="Z118" s="9">
        <f>IF($H118&gt;L118,($H118-L118)*INDEX('Key Metrics'!$E$16:$N$19,MATCH($E118,'Key Metrics'!$E$16:$E$19,0),MATCH(Z$1,'Key Metrics'!$E$16:$M$16,0)),0)</f>
        <v>0</v>
      </c>
      <c r="AA118" s="9">
        <f t="shared" si="18"/>
        <v>154890.23999999999</v>
      </c>
      <c r="AB118" s="9">
        <f t="shared" si="19"/>
        <v>154892.182184</v>
      </c>
    </row>
    <row r="119" spans="1:28" x14ac:dyDescent="0.55000000000000004">
      <c r="A119" t="str">
        <f t="shared" si="10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COUNTIF(deals_closed!$D$2:$D$20001,Calculations!B913)</f>
        <v>30</v>
      </c>
      <c r="H119" s="7">
        <f>SUMIF(deals_closed!$D:$D,Calculations!B913,deals_closed!$C:$C)</f>
        <v>1143449</v>
      </c>
      <c r="I119" s="5">
        <f>VLOOKUP(E119,'2018_commission_structure'!$A$1:$I$4,9,FALSE)</f>
        <v>750000</v>
      </c>
      <c r="J119" s="9">
        <f t="shared" si="11"/>
        <v>937500</v>
      </c>
      <c r="K119" s="10">
        <f t="shared" si="12"/>
        <v>1125000</v>
      </c>
      <c r="L119" s="9">
        <f t="shared" si="13"/>
        <v>1500000</v>
      </c>
      <c r="M119" s="8">
        <f t="shared" si="14"/>
        <v>1.5245986666666667</v>
      </c>
      <c r="N119" t="str">
        <f t="shared" si="15"/>
        <v>150-200%</v>
      </c>
      <c r="O119" s="9">
        <f>MIN($H119,$I119)*INDEX('2018_commission_structure'!$A$1:$I$4,MATCH($E119,'2018_commission_structure'!$A$1:$A$4,0),MATCH(O$1,'2018_commission_structure'!$A$1:$I$1,0))</f>
        <v>112500</v>
      </c>
      <c r="P119" s="9">
        <f>IF(H119&gt;I119, MIN(H119-I119, J119-I119)*INDEX('2018_commission_structure'!$A$1:$I$4,MATCH($E119,'2018_commission_structure'!$A$1:$A$4,0),MATCH(P$1,'2018_commission_structure'!$A$1:$I$1,0)),0)</f>
        <v>35625</v>
      </c>
      <c r="Q119" s="9">
        <f>IF($H119&gt;J119, MIN($H119-J119, K119-J119)*INDEX('2018_commission_structure'!$A$1:$I$4,MATCH($E119,'2018_commission_structure'!$A$1:$A$4,0),MATCH(Q$1,'2018_commission_structure'!$A$1:$I$1,0)),0)</f>
        <v>43125</v>
      </c>
      <c r="R119" s="9">
        <f>IF($H119&gt;K119, MIN($H119-K119, L119-K119)*INDEX('2018_commission_structure'!$A$1:$I$4,MATCH($E119,'2018_commission_structure'!$A$1:$A$4,0),MATCH(R$1,'2018_commission_structure'!$A$1:$I$1,0)),0)</f>
        <v>5534.7</v>
      </c>
      <c r="S119" s="9">
        <f>IF(H119&gt;L119,(H119-L119)*INDEX('2018_commission_structure'!$A$1:$I$4,MATCH($E119,'2018_commission_structure'!$A$1:$A$4,0),MATCH(S$1,'2018_commission_structure'!$A$1:$I$1,0)),0)</f>
        <v>0</v>
      </c>
      <c r="T119" s="9">
        <f t="shared" si="16"/>
        <v>196784.7</v>
      </c>
      <c r="U119" s="9">
        <f t="shared" si="17"/>
        <v>293248.7</v>
      </c>
      <c r="V119" s="9">
        <f>MIN($I119,$H119)*INDEX('Key Metrics'!$E$16:$N$19,MATCH($E119,'Key Metrics'!$E$16:$E$19,0),MATCH(V$1,'Key Metrics'!$E$16:$M$16,0))</f>
        <v>112500</v>
      </c>
      <c r="W119" s="9">
        <f>IF($H119&gt;I119, MIN($H119-I119, J119-I119)*INDEX('Key Metrics'!$E$16:$N$19,MATCH($E119,'Key Metrics'!$E$16:$E$19,0),MATCH(W$1,'Key Metrics'!$E$16:$M$16,0)),0)</f>
        <v>41250</v>
      </c>
      <c r="X119" s="9">
        <f>IF($H119&gt;J119, MIN($H119-J119, K119-J119)*INDEX('Key Metrics'!$E$16:$N$19,MATCH($E119,'Key Metrics'!$E$16:$E$19,0),MATCH(X$1,'Key Metrics'!$E$16:$M$16,0)),0)</f>
        <v>46875</v>
      </c>
      <c r="Y119" s="9">
        <f>IF($H119&gt;K119, MIN($H119-K119, L119-K119)*INDEX('Key Metrics'!$E$16:$N$19,MATCH($E119,'Key Metrics'!$E$16:$E$19,0),MATCH(Y$1,'Key Metrics'!$E$16:$M$16,0)),0)</f>
        <v>6088.17</v>
      </c>
      <c r="Z119" s="9">
        <f>IF($H119&gt;L119,($H119-L119)*INDEX('Key Metrics'!$E$16:$N$19,MATCH($E119,'Key Metrics'!$E$16:$E$19,0),MATCH(Z$1,'Key Metrics'!$E$16:$M$16,0)),0)</f>
        <v>0</v>
      </c>
      <c r="AA119" s="9">
        <f t="shared" si="18"/>
        <v>206713.17</v>
      </c>
      <c r="AB119" s="9">
        <f t="shared" si="19"/>
        <v>206714.69459866668</v>
      </c>
    </row>
    <row r="120" spans="1:28" x14ac:dyDescent="0.55000000000000004">
      <c r="A120" t="str">
        <f t="shared" si="10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COUNTIF(deals_closed!$D$2:$D$20001,Calculations!B960)</f>
        <v>12</v>
      </c>
      <c r="H120" s="7">
        <f>SUMIF(deals_closed!$D:$D,Calculations!B960,deals_closed!$C:$C)</f>
        <v>358744</v>
      </c>
      <c r="I120" s="5">
        <f>VLOOKUP(E120,'2018_commission_structure'!$A$1:$I$4,9,FALSE)</f>
        <v>500000</v>
      </c>
      <c r="J120" s="9">
        <f t="shared" si="11"/>
        <v>625000</v>
      </c>
      <c r="K120" s="10">
        <f t="shared" si="12"/>
        <v>750000</v>
      </c>
      <c r="L120" s="9">
        <f t="shared" si="13"/>
        <v>1000000</v>
      </c>
      <c r="M120" s="8">
        <f t="shared" si="14"/>
        <v>0.71748800000000001</v>
      </c>
      <c r="N120" t="str">
        <f t="shared" si="15"/>
        <v>0-100%</v>
      </c>
      <c r="O120" s="9">
        <f>MIN($H120,$I120)*INDEX('2018_commission_structure'!$A$1:$I$4,MATCH($E120,'2018_commission_structure'!$A$1:$A$4,0),MATCH(O$1,'2018_commission_structure'!$A$1:$I$1,0))</f>
        <v>35874.400000000001</v>
      </c>
      <c r="P120" s="9">
        <f>IF(H120&gt;I120, MIN(H120-I120, J120-I120)*INDEX('2018_commission_structure'!$A$1:$I$4,MATCH($E120,'2018_commission_structure'!$A$1:$A$4,0),MATCH(P$1,'2018_commission_structure'!$A$1:$I$1,0)),0)</f>
        <v>0</v>
      </c>
      <c r="Q120" s="9">
        <f>IF($H120&gt;J120, MIN($H120-J120, K120-J120)*INDEX('2018_commission_structure'!$A$1:$I$4,MATCH($E120,'2018_commission_structure'!$A$1:$A$4,0),MATCH(Q$1,'2018_commission_structure'!$A$1:$I$1,0)),0)</f>
        <v>0</v>
      </c>
      <c r="R120" s="9">
        <f>IF($H120&gt;K120, MIN($H120-K120, L120-K120)*INDEX('2018_commission_structure'!$A$1:$I$4,MATCH($E120,'2018_commission_structure'!$A$1:$A$4,0),MATCH(R$1,'2018_commission_structure'!$A$1:$I$1,0)),0)</f>
        <v>0</v>
      </c>
      <c r="S120" s="9">
        <f>IF(H120&gt;L120,(H120-L120)*INDEX('2018_commission_structure'!$A$1:$I$4,MATCH($E120,'2018_commission_structure'!$A$1:$A$4,0),MATCH(S$1,'2018_commission_structure'!$A$1:$I$1,0)),0)</f>
        <v>0</v>
      </c>
      <c r="T120" s="9">
        <f t="shared" si="16"/>
        <v>35874.400000000001</v>
      </c>
      <c r="U120" s="9">
        <f t="shared" si="17"/>
        <v>72070.399999999994</v>
      </c>
      <c r="V120" s="9">
        <f>MIN($I120,$H120)*INDEX('Key Metrics'!$E$16:$N$19,MATCH($E120,'Key Metrics'!$E$16:$E$19,0),MATCH(V$1,'Key Metrics'!$E$16:$M$16,0))</f>
        <v>43049.279999999999</v>
      </c>
      <c r="W120" s="9">
        <f>IF($H120&gt;I120, MIN($H120-I120, J120-I120)*INDEX('Key Metrics'!$E$16:$N$19,MATCH($E120,'Key Metrics'!$E$16:$E$19,0),MATCH(W$1,'Key Metrics'!$E$16:$M$16,0)),0)</f>
        <v>0</v>
      </c>
      <c r="X120" s="9">
        <f>IF($H120&gt;J120, MIN($H120-J120, K120-J120)*INDEX('Key Metrics'!$E$16:$N$19,MATCH($E120,'Key Metrics'!$E$16:$E$19,0),MATCH(X$1,'Key Metrics'!$E$16:$M$16,0)),0)</f>
        <v>0</v>
      </c>
      <c r="Y120" s="9">
        <f>IF($H120&gt;K120, MIN($H120-K120, L120-K120)*INDEX('Key Metrics'!$E$16:$N$19,MATCH($E120,'Key Metrics'!$E$16:$E$19,0),MATCH(Y$1,'Key Metrics'!$E$16:$M$16,0)),0)</f>
        <v>0</v>
      </c>
      <c r="Z120" s="9">
        <f>IF($H120&gt;L120,($H120-L120)*INDEX('Key Metrics'!$E$16:$N$19,MATCH($E120,'Key Metrics'!$E$16:$E$19,0),MATCH(Z$1,'Key Metrics'!$E$16:$M$16,0)),0)</f>
        <v>0</v>
      </c>
      <c r="AA120" s="9">
        <f t="shared" si="18"/>
        <v>43049.279999999999</v>
      </c>
      <c r="AB120" s="9">
        <f t="shared" si="19"/>
        <v>43049.997488000001</v>
      </c>
    </row>
    <row r="121" spans="1:28" x14ac:dyDescent="0.55000000000000004">
      <c r="A121" t="str">
        <f t="shared" si="10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COUNTIF(deals_closed!$D$2:$D$20001,Calculations!B806)</f>
        <v>22</v>
      </c>
      <c r="H121" s="7">
        <f>SUMIF(deals_closed!$D:$D,Calculations!B806,deals_closed!$C:$C)</f>
        <v>879851</v>
      </c>
      <c r="I121" s="5">
        <f>VLOOKUP(E121,'2018_commission_structure'!$A$1:$I$4,9,FALSE)</f>
        <v>500000</v>
      </c>
      <c r="J121" s="9">
        <f t="shared" si="11"/>
        <v>625000</v>
      </c>
      <c r="K121" s="10">
        <f t="shared" si="12"/>
        <v>750000</v>
      </c>
      <c r="L121" s="9">
        <f t="shared" si="13"/>
        <v>1000000</v>
      </c>
      <c r="M121" s="8">
        <f t="shared" si="14"/>
        <v>1.7597020000000001</v>
      </c>
      <c r="N121" t="str">
        <f t="shared" si="15"/>
        <v>150-200%</v>
      </c>
      <c r="O121" s="9">
        <f>MIN($H121,$I121)*INDEX('2018_commission_structure'!$A$1:$I$4,MATCH($E121,'2018_commission_structure'!$A$1:$A$4,0),MATCH(O$1,'2018_commission_structure'!$A$1:$I$1,0))</f>
        <v>50000</v>
      </c>
      <c r="P121" s="9">
        <f>IF(H121&gt;I121, MIN(H121-I121, J121-I121)*INDEX('2018_commission_structure'!$A$1:$I$4,MATCH($E121,'2018_commission_structure'!$A$1:$A$4,0),MATCH(P$1,'2018_commission_structure'!$A$1:$I$1,0)),0)</f>
        <v>18750</v>
      </c>
      <c r="Q121" s="9">
        <f>IF($H121&gt;J121, MIN($H121-J121, K121-J121)*INDEX('2018_commission_structure'!$A$1:$I$4,MATCH($E121,'2018_commission_structure'!$A$1:$A$4,0),MATCH(Q$1,'2018_commission_structure'!$A$1:$I$1,0)),0)</f>
        <v>22500</v>
      </c>
      <c r="R121" s="9">
        <f>IF($H121&gt;K121, MIN($H121-K121, L121-K121)*INDEX('2018_commission_structure'!$A$1:$I$4,MATCH($E121,'2018_commission_structure'!$A$1:$A$4,0),MATCH(R$1,'2018_commission_structure'!$A$1:$I$1,0)),0)</f>
        <v>28567.22</v>
      </c>
      <c r="S121" s="9">
        <f>IF(H121&gt;L121,(H121-L121)*INDEX('2018_commission_structure'!$A$1:$I$4,MATCH($E121,'2018_commission_structure'!$A$1:$A$4,0),MATCH(S$1,'2018_commission_structure'!$A$1:$I$1,0)),0)</f>
        <v>0</v>
      </c>
      <c r="T121" s="9">
        <f t="shared" si="16"/>
        <v>119817.22</v>
      </c>
      <c r="U121" s="9">
        <f t="shared" si="17"/>
        <v>155179.22</v>
      </c>
      <c r="V121" s="9">
        <f>MIN($I121,$H121)*INDEX('Key Metrics'!$E$16:$N$19,MATCH($E121,'Key Metrics'!$E$16:$E$19,0),MATCH(V$1,'Key Metrics'!$E$16:$M$16,0))</f>
        <v>60000</v>
      </c>
      <c r="W121" s="9">
        <f>IF($H121&gt;I121, MIN($H121-I121, J121-I121)*INDEX('Key Metrics'!$E$16:$N$19,MATCH($E121,'Key Metrics'!$E$16:$E$19,0),MATCH(W$1,'Key Metrics'!$E$16:$M$16,0)),0)</f>
        <v>21250</v>
      </c>
      <c r="X121" s="9">
        <f>IF($H121&gt;J121, MIN($H121-J121, K121-J121)*INDEX('Key Metrics'!$E$16:$N$19,MATCH($E121,'Key Metrics'!$E$16:$E$19,0),MATCH(X$1,'Key Metrics'!$E$16:$M$16,0)),0)</f>
        <v>25000</v>
      </c>
      <c r="Y121" s="9">
        <f>IF($H121&gt;K121, MIN($H121-K121, L121-K121)*INDEX('Key Metrics'!$E$16:$N$19,MATCH($E121,'Key Metrics'!$E$16:$E$19,0),MATCH(Y$1,'Key Metrics'!$E$16:$M$16,0)),0)</f>
        <v>28567.22</v>
      </c>
      <c r="Z121" s="9">
        <f>IF($H121&gt;L121,($H121-L121)*INDEX('Key Metrics'!$E$16:$N$19,MATCH($E121,'Key Metrics'!$E$16:$E$19,0),MATCH(Z$1,'Key Metrics'!$E$16:$M$16,0)),0)</f>
        <v>0</v>
      </c>
      <c r="AA121" s="9">
        <f t="shared" si="18"/>
        <v>134817.22</v>
      </c>
      <c r="AB121" s="9">
        <f t="shared" si="19"/>
        <v>134818.97970200001</v>
      </c>
    </row>
    <row r="122" spans="1:28" x14ac:dyDescent="0.55000000000000004">
      <c r="A122" t="str">
        <f t="shared" si="10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COUNTIF(deals_closed!$D$2:$D$20001,Calculations!B263)</f>
        <v>21</v>
      </c>
      <c r="H122" s="7">
        <f>SUMIF(deals_closed!$D:$D,Calculations!B263,deals_closed!$C:$C)</f>
        <v>681893</v>
      </c>
      <c r="I122" s="5">
        <f>VLOOKUP(E122,'2018_commission_structure'!$A$1:$I$4,9,FALSE)</f>
        <v>600000</v>
      </c>
      <c r="J122" s="9">
        <f t="shared" si="11"/>
        <v>750000</v>
      </c>
      <c r="K122" s="10">
        <f t="shared" si="12"/>
        <v>900000</v>
      </c>
      <c r="L122" s="9">
        <f t="shared" si="13"/>
        <v>1200000</v>
      </c>
      <c r="M122" s="8">
        <f t="shared" si="14"/>
        <v>1.1364883333333333</v>
      </c>
      <c r="N122" t="str">
        <f t="shared" si="15"/>
        <v>100-125%</v>
      </c>
      <c r="O122" s="9">
        <f>MIN($H122,$I122)*INDEX('2018_commission_structure'!$A$1:$I$4,MATCH($E122,'2018_commission_structure'!$A$1:$A$4,0),MATCH(O$1,'2018_commission_structure'!$A$1:$I$1,0))</f>
        <v>78000</v>
      </c>
      <c r="P122" s="9">
        <f>IF(H122&gt;I122, MIN(H122-I122, J122-I122)*INDEX('2018_commission_structure'!$A$1:$I$4,MATCH($E122,'2018_commission_structure'!$A$1:$A$4,0),MATCH(P$1,'2018_commission_structure'!$A$1:$I$1,0)),0)</f>
        <v>13921.810000000001</v>
      </c>
      <c r="Q122" s="9">
        <f>IF($H122&gt;J122, MIN($H122-J122, K122-J122)*INDEX('2018_commission_structure'!$A$1:$I$4,MATCH($E122,'2018_commission_structure'!$A$1:$A$4,0),MATCH(Q$1,'2018_commission_structure'!$A$1:$I$1,0)),0)</f>
        <v>0</v>
      </c>
      <c r="R122" s="9">
        <f>IF($H122&gt;K122, MIN($H122-K122, L122-K122)*INDEX('2018_commission_structure'!$A$1:$I$4,MATCH($E122,'2018_commission_structure'!$A$1:$A$4,0),MATCH(R$1,'2018_commission_structure'!$A$1:$I$1,0)),0)</f>
        <v>0</v>
      </c>
      <c r="S122" s="9">
        <f>IF(H122&gt;L122,(H122-L122)*INDEX('2018_commission_structure'!$A$1:$I$4,MATCH($E122,'2018_commission_structure'!$A$1:$A$4,0),MATCH(S$1,'2018_commission_structure'!$A$1:$I$1,0)),0)</f>
        <v>0</v>
      </c>
      <c r="T122" s="9">
        <f t="shared" si="16"/>
        <v>91921.81</v>
      </c>
      <c r="U122" s="9">
        <f t="shared" si="17"/>
        <v>152877.81</v>
      </c>
      <c r="V122" s="9">
        <f>MIN($I122,$H122)*INDEX('Key Metrics'!$E$16:$N$19,MATCH($E122,'Key Metrics'!$E$16:$E$19,0),MATCH(V$1,'Key Metrics'!$E$16:$M$16,0))</f>
        <v>90000</v>
      </c>
      <c r="W122" s="9">
        <f>IF($H122&gt;I122, MIN($H122-I122, J122-I122)*INDEX('Key Metrics'!$E$16:$N$19,MATCH($E122,'Key Metrics'!$E$16:$E$19,0),MATCH(W$1,'Key Metrics'!$E$16:$M$16,0)),0)</f>
        <v>14740.74</v>
      </c>
      <c r="X122" s="9">
        <f>IF($H122&gt;J122, MIN($H122-J122, K122-J122)*INDEX('Key Metrics'!$E$16:$N$19,MATCH($E122,'Key Metrics'!$E$16:$E$19,0),MATCH(X$1,'Key Metrics'!$E$16:$M$16,0)),0)</f>
        <v>0</v>
      </c>
      <c r="Y122" s="9">
        <f>IF($H122&gt;K122, MIN($H122-K122, L122-K122)*INDEX('Key Metrics'!$E$16:$N$19,MATCH($E122,'Key Metrics'!$E$16:$E$19,0),MATCH(Y$1,'Key Metrics'!$E$16:$M$16,0)),0)</f>
        <v>0</v>
      </c>
      <c r="Z122" s="9">
        <f>IF($H122&gt;L122,($H122-L122)*INDEX('Key Metrics'!$E$16:$N$19,MATCH($E122,'Key Metrics'!$E$16:$E$19,0),MATCH(Z$1,'Key Metrics'!$E$16:$M$16,0)),0)</f>
        <v>0</v>
      </c>
      <c r="AA122" s="9">
        <f t="shared" si="18"/>
        <v>104740.74</v>
      </c>
      <c r="AB122" s="9">
        <f t="shared" si="19"/>
        <v>104741.87648833334</v>
      </c>
    </row>
    <row r="123" spans="1:28" x14ac:dyDescent="0.55000000000000004">
      <c r="A123" t="str">
        <f t="shared" si="10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COUNTIF(deals_closed!$D$2:$D$20001,Calculations!B229)</f>
        <v>21</v>
      </c>
      <c r="H123" s="7">
        <f>SUMIF(deals_closed!$D:$D,Calculations!B229,deals_closed!$C:$C)</f>
        <v>809800</v>
      </c>
      <c r="I123" s="5">
        <f>VLOOKUP(E123,'2018_commission_structure'!$A$1:$I$4,9,FALSE)</f>
        <v>500000</v>
      </c>
      <c r="J123" s="9">
        <f t="shared" si="11"/>
        <v>625000</v>
      </c>
      <c r="K123" s="10">
        <f t="shared" si="12"/>
        <v>750000</v>
      </c>
      <c r="L123" s="9">
        <f t="shared" si="13"/>
        <v>1000000</v>
      </c>
      <c r="M123" s="8">
        <f t="shared" si="14"/>
        <v>1.6195999999999999</v>
      </c>
      <c r="N123" t="str">
        <f t="shared" si="15"/>
        <v>150-200%</v>
      </c>
      <c r="O123" s="9">
        <f>MIN($H123,$I123)*INDEX('2018_commission_structure'!$A$1:$I$4,MATCH($E123,'2018_commission_structure'!$A$1:$A$4,0),MATCH(O$1,'2018_commission_structure'!$A$1:$I$1,0))</f>
        <v>50000</v>
      </c>
      <c r="P123" s="9">
        <f>IF(H123&gt;I123, MIN(H123-I123, J123-I123)*INDEX('2018_commission_structure'!$A$1:$I$4,MATCH($E123,'2018_commission_structure'!$A$1:$A$4,0),MATCH(P$1,'2018_commission_structure'!$A$1:$I$1,0)),0)</f>
        <v>18750</v>
      </c>
      <c r="Q123" s="9">
        <f>IF($H123&gt;J123, MIN($H123-J123, K123-J123)*INDEX('2018_commission_structure'!$A$1:$I$4,MATCH($E123,'2018_commission_structure'!$A$1:$A$4,0),MATCH(Q$1,'2018_commission_structure'!$A$1:$I$1,0)),0)</f>
        <v>22500</v>
      </c>
      <c r="R123" s="9">
        <f>IF($H123&gt;K123, MIN($H123-K123, L123-K123)*INDEX('2018_commission_structure'!$A$1:$I$4,MATCH($E123,'2018_commission_structure'!$A$1:$A$4,0),MATCH(R$1,'2018_commission_structure'!$A$1:$I$1,0)),0)</f>
        <v>13156</v>
      </c>
      <c r="S123" s="9">
        <f>IF(H123&gt;L123,(H123-L123)*INDEX('2018_commission_structure'!$A$1:$I$4,MATCH($E123,'2018_commission_structure'!$A$1:$A$4,0),MATCH(S$1,'2018_commission_structure'!$A$1:$I$1,0)),0)</f>
        <v>0</v>
      </c>
      <c r="T123" s="9">
        <f t="shared" si="16"/>
        <v>104406</v>
      </c>
      <c r="U123" s="9">
        <f t="shared" si="17"/>
        <v>162457</v>
      </c>
      <c r="V123" s="9">
        <f>MIN($I123,$H123)*INDEX('Key Metrics'!$E$16:$N$19,MATCH($E123,'Key Metrics'!$E$16:$E$19,0),MATCH(V$1,'Key Metrics'!$E$16:$M$16,0))</f>
        <v>60000</v>
      </c>
      <c r="W123" s="9">
        <f>IF($H123&gt;I123, MIN($H123-I123, J123-I123)*INDEX('Key Metrics'!$E$16:$N$19,MATCH($E123,'Key Metrics'!$E$16:$E$19,0),MATCH(W$1,'Key Metrics'!$E$16:$M$16,0)),0)</f>
        <v>21250</v>
      </c>
      <c r="X123" s="9">
        <f>IF($H123&gt;J123, MIN($H123-J123, K123-J123)*INDEX('Key Metrics'!$E$16:$N$19,MATCH($E123,'Key Metrics'!$E$16:$E$19,0),MATCH(X$1,'Key Metrics'!$E$16:$M$16,0)),0)</f>
        <v>25000</v>
      </c>
      <c r="Y123" s="9">
        <f>IF($H123&gt;K123, MIN($H123-K123, L123-K123)*INDEX('Key Metrics'!$E$16:$N$19,MATCH($E123,'Key Metrics'!$E$16:$E$19,0),MATCH(Y$1,'Key Metrics'!$E$16:$M$16,0)),0)</f>
        <v>13156</v>
      </c>
      <c r="Z123" s="9">
        <f>IF($H123&gt;L123,($H123-L123)*INDEX('Key Metrics'!$E$16:$N$19,MATCH($E123,'Key Metrics'!$E$16:$E$19,0),MATCH(Z$1,'Key Metrics'!$E$16:$M$16,0)),0)</f>
        <v>0</v>
      </c>
      <c r="AA123" s="9">
        <f t="shared" si="18"/>
        <v>119406</v>
      </c>
      <c r="AB123" s="9">
        <f t="shared" si="19"/>
        <v>119407.61960000001</v>
      </c>
    </row>
    <row r="124" spans="1:28" x14ac:dyDescent="0.55000000000000004">
      <c r="A124" t="str">
        <f t="shared" si="10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COUNTIF(deals_closed!$D$2:$D$20001,Calculations!B228)</f>
        <v>14</v>
      </c>
      <c r="H124" s="7">
        <f>SUMIF(deals_closed!$D:$D,Calculations!B228,deals_closed!$C:$C)</f>
        <v>489227</v>
      </c>
      <c r="I124" s="5">
        <f>VLOOKUP(E124,'2018_commission_structure'!$A$1:$I$4,9,FALSE)</f>
        <v>750000</v>
      </c>
      <c r="J124" s="9">
        <f t="shared" si="11"/>
        <v>937500</v>
      </c>
      <c r="K124" s="10">
        <f t="shared" si="12"/>
        <v>1125000</v>
      </c>
      <c r="L124" s="9">
        <f t="shared" si="13"/>
        <v>1500000</v>
      </c>
      <c r="M124" s="8">
        <f t="shared" si="14"/>
        <v>0.6523026666666667</v>
      </c>
      <c r="N124" t="str">
        <f t="shared" si="15"/>
        <v>0-100%</v>
      </c>
      <c r="O124" s="9">
        <f>MIN($H124,$I124)*INDEX('2018_commission_structure'!$A$1:$I$4,MATCH($E124,'2018_commission_structure'!$A$1:$A$4,0),MATCH(O$1,'2018_commission_structure'!$A$1:$I$1,0))</f>
        <v>73384.05</v>
      </c>
      <c r="P124" s="9">
        <f>IF(H124&gt;I124, MIN(H124-I124, J124-I124)*INDEX('2018_commission_structure'!$A$1:$I$4,MATCH($E124,'2018_commission_structure'!$A$1:$A$4,0),MATCH(P$1,'2018_commission_structure'!$A$1:$I$1,0)),0)</f>
        <v>0</v>
      </c>
      <c r="Q124" s="9">
        <f>IF($H124&gt;J124, MIN($H124-J124, K124-J124)*INDEX('2018_commission_structure'!$A$1:$I$4,MATCH($E124,'2018_commission_structure'!$A$1:$A$4,0),MATCH(Q$1,'2018_commission_structure'!$A$1:$I$1,0)),0)</f>
        <v>0</v>
      </c>
      <c r="R124" s="9">
        <f>IF($H124&gt;K124, MIN($H124-K124, L124-K124)*INDEX('2018_commission_structure'!$A$1:$I$4,MATCH($E124,'2018_commission_structure'!$A$1:$A$4,0),MATCH(R$1,'2018_commission_structure'!$A$1:$I$1,0)),0)</f>
        <v>0</v>
      </c>
      <c r="S124" s="9">
        <f>IF(H124&gt;L124,(H124-L124)*INDEX('2018_commission_structure'!$A$1:$I$4,MATCH($E124,'2018_commission_structure'!$A$1:$A$4,0),MATCH(S$1,'2018_commission_structure'!$A$1:$I$1,0)),0)</f>
        <v>0</v>
      </c>
      <c r="T124" s="9">
        <f t="shared" si="16"/>
        <v>73384.05</v>
      </c>
      <c r="U124" s="9">
        <f t="shared" si="17"/>
        <v>195365.05</v>
      </c>
      <c r="V124" s="9">
        <f>MIN($I124,$H124)*INDEX('Key Metrics'!$E$16:$N$19,MATCH($E124,'Key Metrics'!$E$16:$E$19,0),MATCH(V$1,'Key Metrics'!$E$16:$M$16,0))</f>
        <v>73384.05</v>
      </c>
      <c r="W124" s="9">
        <f>IF($H124&gt;I124, MIN($H124-I124, J124-I124)*INDEX('Key Metrics'!$E$16:$N$19,MATCH($E124,'Key Metrics'!$E$16:$E$19,0),MATCH(W$1,'Key Metrics'!$E$16:$M$16,0)),0)</f>
        <v>0</v>
      </c>
      <c r="X124" s="9">
        <f>IF($H124&gt;J124, MIN($H124-J124, K124-J124)*INDEX('Key Metrics'!$E$16:$N$19,MATCH($E124,'Key Metrics'!$E$16:$E$19,0),MATCH(X$1,'Key Metrics'!$E$16:$M$16,0)),0)</f>
        <v>0</v>
      </c>
      <c r="Y124" s="9">
        <f>IF($H124&gt;K124, MIN($H124-K124, L124-K124)*INDEX('Key Metrics'!$E$16:$N$19,MATCH($E124,'Key Metrics'!$E$16:$E$19,0),MATCH(Y$1,'Key Metrics'!$E$16:$M$16,0)),0)</f>
        <v>0</v>
      </c>
      <c r="Z124" s="9">
        <f>IF($H124&gt;L124,($H124-L124)*INDEX('Key Metrics'!$E$16:$N$19,MATCH($E124,'Key Metrics'!$E$16:$E$19,0),MATCH(Z$1,'Key Metrics'!$E$16:$M$16,0)),0)</f>
        <v>0</v>
      </c>
      <c r="AA124" s="9">
        <f t="shared" si="18"/>
        <v>73384.05</v>
      </c>
      <c r="AB124" s="9">
        <f t="shared" si="19"/>
        <v>73384.702302666672</v>
      </c>
    </row>
    <row r="125" spans="1:28" x14ac:dyDescent="0.55000000000000004">
      <c r="A125" t="str">
        <f t="shared" si="10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COUNTIF(deals_closed!$D$2:$D$20001,Calculations!B250)</f>
        <v>21</v>
      </c>
      <c r="H125" s="7">
        <f>SUMIF(deals_closed!$D:$D,Calculations!B250,deals_closed!$C:$C)</f>
        <v>792341</v>
      </c>
      <c r="I125" s="5">
        <f>VLOOKUP(E125,'2018_commission_structure'!$A$1:$I$4,9,FALSE)</f>
        <v>750000</v>
      </c>
      <c r="J125" s="9">
        <f t="shared" si="11"/>
        <v>937500</v>
      </c>
      <c r="K125" s="10">
        <f t="shared" si="12"/>
        <v>1125000</v>
      </c>
      <c r="L125" s="9">
        <f t="shared" si="13"/>
        <v>1500000</v>
      </c>
      <c r="M125" s="8">
        <f t="shared" si="14"/>
        <v>1.0564546666666668</v>
      </c>
      <c r="N125" t="str">
        <f t="shared" si="15"/>
        <v>100-125%</v>
      </c>
      <c r="O125" s="9">
        <f>MIN($H125,$I125)*INDEX('2018_commission_structure'!$A$1:$I$4,MATCH($E125,'2018_commission_structure'!$A$1:$A$4,0),MATCH(O$1,'2018_commission_structure'!$A$1:$I$1,0))</f>
        <v>112500</v>
      </c>
      <c r="P125" s="9">
        <f>IF(H125&gt;I125, MIN(H125-I125, J125-I125)*INDEX('2018_commission_structure'!$A$1:$I$4,MATCH($E125,'2018_commission_structure'!$A$1:$A$4,0),MATCH(P$1,'2018_commission_structure'!$A$1:$I$1,0)),0)</f>
        <v>8044.79</v>
      </c>
      <c r="Q125" s="9">
        <f>IF($H125&gt;J125, MIN($H125-J125, K125-J125)*INDEX('2018_commission_structure'!$A$1:$I$4,MATCH($E125,'2018_commission_structure'!$A$1:$A$4,0),MATCH(Q$1,'2018_commission_structure'!$A$1:$I$1,0)),0)</f>
        <v>0</v>
      </c>
      <c r="R125" s="9">
        <f>IF($H125&gt;K125, MIN($H125-K125, L125-K125)*INDEX('2018_commission_structure'!$A$1:$I$4,MATCH($E125,'2018_commission_structure'!$A$1:$A$4,0),MATCH(R$1,'2018_commission_structure'!$A$1:$I$1,0)),0)</f>
        <v>0</v>
      </c>
      <c r="S125" s="9">
        <f>IF(H125&gt;L125,(H125-L125)*INDEX('2018_commission_structure'!$A$1:$I$4,MATCH($E125,'2018_commission_structure'!$A$1:$A$4,0),MATCH(S$1,'2018_commission_structure'!$A$1:$I$1,0)),0)</f>
        <v>0</v>
      </c>
      <c r="T125" s="9">
        <f t="shared" si="16"/>
        <v>120544.79</v>
      </c>
      <c r="U125" s="9">
        <f t="shared" si="17"/>
        <v>241440.78999999998</v>
      </c>
      <c r="V125" s="9">
        <f>MIN($I125,$H125)*INDEX('Key Metrics'!$E$16:$N$19,MATCH($E125,'Key Metrics'!$E$16:$E$19,0),MATCH(V$1,'Key Metrics'!$E$16:$M$16,0))</f>
        <v>112500</v>
      </c>
      <c r="W125" s="9">
        <f>IF($H125&gt;I125, MIN($H125-I125, J125-I125)*INDEX('Key Metrics'!$E$16:$N$19,MATCH($E125,'Key Metrics'!$E$16:$E$19,0),MATCH(W$1,'Key Metrics'!$E$16:$M$16,0)),0)</f>
        <v>9315.02</v>
      </c>
      <c r="X125" s="9">
        <f>IF($H125&gt;J125, MIN($H125-J125, K125-J125)*INDEX('Key Metrics'!$E$16:$N$19,MATCH($E125,'Key Metrics'!$E$16:$E$19,0),MATCH(X$1,'Key Metrics'!$E$16:$M$16,0)),0)</f>
        <v>0</v>
      </c>
      <c r="Y125" s="9">
        <f>IF($H125&gt;K125, MIN($H125-K125, L125-K125)*INDEX('Key Metrics'!$E$16:$N$19,MATCH($E125,'Key Metrics'!$E$16:$E$19,0),MATCH(Y$1,'Key Metrics'!$E$16:$M$16,0)),0)</f>
        <v>0</v>
      </c>
      <c r="Z125" s="9">
        <f>IF($H125&gt;L125,($H125-L125)*INDEX('Key Metrics'!$E$16:$N$19,MATCH($E125,'Key Metrics'!$E$16:$E$19,0),MATCH(Z$1,'Key Metrics'!$E$16:$M$16,0)),0)</f>
        <v>0</v>
      </c>
      <c r="AA125" s="9">
        <f t="shared" si="18"/>
        <v>121815.02</v>
      </c>
      <c r="AB125" s="9">
        <f t="shared" si="19"/>
        <v>121816.07645466668</v>
      </c>
    </row>
    <row r="126" spans="1:28" x14ac:dyDescent="0.55000000000000004">
      <c r="A126" t="str">
        <f t="shared" si="10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COUNTIF(deals_closed!$D$2:$D$20001,Calculations!B579)</f>
        <v>29</v>
      </c>
      <c r="H126" s="7">
        <f>SUMIF(deals_closed!$D:$D,Calculations!B579,deals_closed!$C:$C)</f>
        <v>974290</v>
      </c>
      <c r="I126" s="5">
        <f>VLOOKUP(E126,'2018_commission_structure'!$A$1:$I$4,9,FALSE)</f>
        <v>750000</v>
      </c>
      <c r="J126" s="9">
        <f t="shared" si="11"/>
        <v>937500</v>
      </c>
      <c r="K126" s="10">
        <f t="shared" si="12"/>
        <v>1125000</v>
      </c>
      <c r="L126" s="9">
        <f t="shared" si="13"/>
        <v>1500000</v>
      </c>
      <c r="M126" s="8">
        <f t="shared" si="14"/>
        <v>1.2990533333333334</v>
      </c>
      <c r="N126" t="str">
        <f t="shared" si="15"/>
        <v>125-150%</v>
      </c>
      <c r="O126" s="9">
        <f>MIN($H126,$I126)*INDEX('2018_commission_structure'!$A$1:$I$4,MATCH($E126,'2018_commission_structure'!$A$1:$A$4,0),MATCH(O$1,'2018_commission_structure'!$A$1:$I$1,0))</f>
        <v>112500</v>
      </c>
      <c r="P126" s="9">
        <f>IF(H126&gt;I126, MIN(H126-I126, J126-I126)*INDEX('2018_commission_structure'!$A$1:$I$4,MATCH($E126,'2018_commission_structure'!$A$1:$A$4,0),MATCH(P$1,'2018_commission_structure'!$A$1:$I$1,0)),0)</f>
        <v>35625</v>
      </c>
      <c r="Q126" s="9">
        <f>IF($H126&gt;J126, MIN($H126-J126, K126-J126)*INDEX('2018_commission_structure'!$A$1:$I$4,MATCH($E126,'2018_commission_structure'!$A$1:$A$4,0),MATCH(Q$1,'2018_commission_structure'!$A$1:$I$1,0)),0)</f>
        <v>8461.7000000000007</v>
      </c>
      <c r="R126" s="9">
        <f>IF($H126&gt;K126, MIN($H126-K126, L126-K126)*INDEX('2018_commission_structure'!$A$1:$I$4,MATCH($E126,'2018_commission_structure'!$A$1:$A$4,0),MATCH(R$1,'2018_commission_structure'!$A$1:$I$1,0)),0)</f>
        <v>0</v>
      </c>
      <c r="S126" s="9">
        <f>IF(H126&gt;L126,(H126-L126)*INDEX('2018_commission_structure'!$A$1:$I$4,MATCH($E126,'2018_commission_structure'!$A$1:$A$4,0),MATCH(S$1,'2018_commission_structure'!$A$1:$I$1,0)),0)</f>
        <v>0</v>
      </c>
      <c r="T126" s="9">
        <f t="shared" si="16"/>
        <v>156586.70000000001</v>
      </c>
      <c r="U126" s="9">
        <f t="shared" si="17"/>
        <v>267010.7</v>
      </c>
      <c r="V126" s="9">
        <f>MIN($I126,$H126)*INDEX('Key Metrics'!$E$16:$N$19,MATCH($E126,'Key Metrics'!$E$16:$E$19,0),MATCH(V$1,'Key Metrics'!$E$16:$M$16,0))</f>
        <v>112500</v>
      </c>
      <c r="W126" s="9">
        <f>IF($H126&gt;I126, MIN($H126-I126, J126-I126)*INDEX('Key Metrics'!$E$16:$N$19,MATCH($E126,'Key Metrics'!$E$16:$E$19,0),MATCH(W$1,'Key Metrics'!$E$16:$M$16,0)),0)</f>
        <v>41250</v>
      </c>
      <c r="X126" s="9">
        <f>IF($H126&gt;J126, MIN($H126-J126, K126-J126)*INDEX('Key Metrics'!$E$16:$N$19,MATCH($E126,'Key Metrics'!$E$16:$E$19,0),MATCH(X$1,'Key Metrics'!$E$16:$M$16,0)),0)</f>
        <v>9197.5</v>
      </c>
      <c r="Y126" s="9">
        <f>IF($H126&gt;K126, MIN($H126-K126, L126-K126)*INDEX('Key Metrics'!$E$16:$N$19,MATCH($E126,'Key Metrics'!$E$16:$E$19,0),MATCH(Y$1,'Key Metrics'!$E$16:$M$16,0)),0)</f>
        <v>0</v>
      </c>
      <c r="Z126" s="9">
        <f>IF($H126&gt;L126,($H126-L126)*INDEX('Key Metrics'!$E$16:$N$19,MATCH($E126,'Key Metrics'!$E$16:$E$19,0),MATCH(Z$1,'Key Metrics'!$E$16:$M$16,0)),0)</f>
        <v>0</v>
      </c>
      <c r="AA126" s="9">
        <f t="shared" si="18"/>
        <v>162947.5</v>
      </c>
      <c r="AB126" s="9">
        <f t="shared" si="19"/>
        <v>162948.79905333332</v>
      </c>
    </row>
    <row r="127" spans="1:28" x14ac:dyDescent="0.55000000000000004">
      <c r="A127" t="str">
        <f t="shared" si="10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COUNTIF(deals_closed!$D$2:$D$20001,Calculations!B449)</f>
        <v>11</v>
      </c>
      <c r="H127" s="7">
        <f>SUMIF(deals_closed!$D:$D,Calculations!B449,deals_closed!$C:$C)</f>
        <v>298334</v>
      </c>
      <c r="I127" s="5">
        <f>VLOOKUP(E127,'2018_commission_structure'!$A$1:$I$4,9,FALSE)</f>
        <v>750000</v>
      </c>
      <c r="J127" s="9">
        <f t="shared" si="11"/>
        <v>937500</v>
      </c>
      <c r="K127" s="10">
        <f t="shared" si="12"/>
        <v>1125000</v>
      </c>
      <c r="L127" s="9">
        <f t="shared" si="13"/>
        <v>1500000</v>
      </c>
      <c r="M127" s="8">
        <f t="shared" si="14"/>
        <v>0.39777866666666667</v>
      </c>
      <c r="N127" t="str">
        <f t="shared" si="15"/>
        <v>0-100%</v>
      </c>
      <c r="O127" s="9">
        <f>MIN($H127,$I127)*INDEX('2018_commission_structure'!$A$1:$I$4,MATCH($E127,'2018_commission_structure'!$A$1:$A$4,0),MATCH(O$1,'2018_commission_structure'!$A$1:$I$1,0))</f>
        <v>44750.1</v>
      </c>
      <c r="P127" s="9">
        <f>IF(H127&gt;I127, MIN(H127-I127, J127-I127)*INDEX('2018_commission_structure'!$A$1:$I$4,MATCH($E127,'2018_commission_structure'!$A$1:$A$4,0),MATCH(P$1,'2018_commission_structure'!$A$1:$I$1,0)),0)</f>
        <v>0</v>
      </c>
      <c r="Q127" s="9">
        <f>IF($H127&gt;J127, MIN($H127-J127, K127-J127)*INDEX('2018_commission_structure'!$A$1:$I$4,MATCH($E127,'2018_commission_structure'!$A$1:$A$4,0),MATCH(Q$1,'2018_commission_structure'!$A$1:$I$1,0)),0)</f>
        <v>0</v>
      </c>
      <c r="R127" s="9">
        <f>IF($H127&gt;K127, MIN($H127-K127, L127-K127)*INDEX('2018_commission_structure'!$A$1:$I$4,MATCH($E127,'2018_commission_structure'!$A$1:$A$4,0),MATCH(R$1,'2018_commission_structure'!$A$1:$I$1,0)),0)</f>
        <v>0</v>
      </c>
      <c r="S127" s="9">
        <f>IF(H127&gt;L127,(H127-L127)*INDEX('2018_commission_structure'!$A$1:$I$4,MATCH($E127,'2018_commission_structure'!$A$1:$A$4,0),MATCH(S$1,'2018_commission_structure'!$A$1:$I$1,0)),0)</f>
        <v>0</v>
      </c>
      <c r="T127" s="9">
        <f t="shared" si="16"/>
        <v>44750.1</v>
      </c>
      <c r="U127" s="9">
        <f t="shared" si="17"/>
        <v>159634.1</v>
      </c>
      <c r="V127" s="9">
        <f>MIN($I127,$H127)*INDEX('Key Metrics'!$E$16:$N$19,MATCH($E127,'Key Metrics'!$E$16:$E$19,0),MATCH(V$1,'Key Metrics'!$E$16:$M$16,0))</f>
        <v>44750.1</v>
      </c>
      <c r="W127" s="9">
        <f>IF($H127&gt;I127, MIN($H127-I127, J127-I127)*INDEX('Key Metrics'!$E$16:$N$19,MATCH($E127,'Key Metrics'!$E$16:$E$19,0),MATCH(W$1,'Key Metrics'!$E$16:$M$16,0)),0)</f>
        <v>0</v>
      </c>
      <c r="X127" s="9">
        <f>IF($H127&gt;J127, MIN($H127-J127, K127-J127)*INDEX('Key Metrics'!$E$16:$N$19,MATCH($E127,'Key Metrics'!$E$16:$E$19,0),MATCH(X$1,'Key Metrics'!$E$16:$M$16,0)),0)</f>
        <v>0</v>
      </c>
      <c r="Y127" s="9">
        <f>IF($H127&gt;K127, MIN($H127-K127, L127-K127)*INDEX('Key Metrics'!$E$16:$N$19,MATCH($E127,'Key Metrics'!$E$16:$E$19,0),MATCH(Y$1,'Key Metrics'!$E$16:$M$16,0)),0)</f>
        <v>0</v>
      </c>
      <c r="Z127" s="9">
        <f>IF($H127&gt;L127,($H127-L127)*INDEX('Key Metrics'!$E$16:$N$19,MATCH($E127,'Key Metrics'!$E$16:$E$19,0),MATCH(Z$1,'Key Metrics'!$E$16:$M$16,0)),0)</f>
        <v>0</v>
      </c>
      <c r="AA127" s="9">
        <f t="shared" si="18"/>
        <v>44750.1</v>
      </c>
      <c r="AB127" s="9">
        <f t="shared" si="19"/>
        <v>44750.497778666664</v>
      </c>
    </row>
    <row r="128" spans="1:28" x14ac:dyDescent="0.55000000000000004">
      <c r="A128" t="str">
        <f t="shared" si="10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COUNTIF(deals_closed!$D$2:$D$20001,Calculations!B726)</f>
        <v>19</v>
      </c>
      <c r="H128" s="7">
        <f>SUMIF(deals_closed!$D:$D,Calculations!B726,deals_closed!$C:$C)</f>
        <v>683114</v>
      </c>
      <c r="I128" s="5">
        <f>VLOOKUP(E128,'2018_commission_structure'!$A$1:$I$4,9,FALSE)</f>
        <v>750000</v>
      </c>
      <c r="J128" s="9">
        <f t="shared" si="11"/>
        <v>937500</v>
      </c>
      <c r="K128" s="10">
        <f t="shared" si="12"/>
        <v>1125000</v>
      </c>
      <c r="L128" s="9">
        <f t="shared" si="13"/>
        <v>1500000</v>
      </c>
      <c r="M128" s="8">
        <f t="shared" si="14"/>
        <v>0.91081866666666667</v>
      </c>
      <c r="N128" t="str">
        <f t="shared" si="15"/>
        <v>0-100%</v>
      </c>
      <c r="O128" s="9">
        <f>MIN($H128,$I128)*INDEX('2018_commission_structure'!$A$1:$I$4,MATCH($E128,'2018_commission_structure'!$A$1:$A$4,0),MATCH(O$1,'2018_commission_structure'!$A$1:$I$1,0))</f>
        <v>102467.09999999999</v>
      </c>
      <c r="P128" s="9">
        <f>IF(H128&gt;I128, MIN(H128-I128, J128-I128)*INDEX('2018_commission_structure'!$A$1:$I$4,MATCH($E128,'2018_commission_structure'!$A$1:$A$4,0),MATCH(P$1,'2018_commission_structure'!$A$1:$I$1,0)),0)</f>
        <v>0</v>
      </c>
      <c r="Q128" s="9">
        <f>IF($H128&gt;J128, MIN($H128-J128, K128-J128)*INDEX('2018_commission_structure'!$A$1:$I$4,MATCH($E128,'2018_commission_structure'!$A$1:$A$4,0),MATCH(Q$1,'2018_commission_structure'!$A$1:$I$1,0)),0)</f>
        <v>0</v>
      </c>
      <c r="R128" s="9">
        <f>IF($H128&gt;K128, MIN($H128-K128, L128-K128)*INDEX('2018_commission_structure'!$A$1:$I$4,MATCH($E128,'2018_commission_structure'!$A$1:$A$4,0),MATCH(R$1,'2018_commission_structure'!$A$1:$I$1,0)),0)</f>
        <v>0</v>
      </c>
      <c r="S128" s="9">
        <f>IF(H128&gt;L128,(H128-L128)*INDEX('2018_commission_structure'!$A$1:$I$4,MATCH($E128,'2018_commission_structure'!$A$1:$A$4,0),MATCH(S$1,'2018_commission_structure'!$A$1:$I$1,0)),0)</f>
        <v>0</v>
      </c>
      <c r="T128" s="9">
        <f t="shared" si="16"/>
        <v>102467.09999999999</v>
      </c>
      <c r="U128" s="9">
        <f t="shared" si="17"/>
        <v>201361.09999999998</v>
      </c>
      <c r="V128" s="9">
        <f>MIN($I128,$H128)*INDEX('Key Metrics'!$E$16:$N$19,MATCH($E128,'Key Metrics'!$E$16:$E$19,0),MATCH(V$1,'Key Metrics'!$E$16:$M$16,0))</f>
        <v>102467.09999999999</v>
      </c>
      <c r="W128" s="9">
        <f>IF($H128&gt;I128, MIN($H128-I128, J128-I128)*INDEX('Key Metrics'!$E$16:$N$19,MATCH($E128,'Key Metrics'!$E$16:$E$19,0),MATCH(W$1,'Key Metrics'!$E$16:$M$16,0)),0)</f>
        <v>0</v>
      </c>
      <c r="X128" s="9">
        <f>IF($H128&gt;J128, MIN($H128-J128, K128-J128)*INDEX('Key Metrics'!$E$16:$N$19,MATCH($E128,'Key Metrics'!$E$16:$E$19,0),MATCH(X$1,'Key Metrics'!$E$16:$M$16,0)),0)</f>
        <v>0</v>
      </c>
      <c r="Y128" s="9">
        <f>IF($H128&gt;K128, MIN($H128-K128, L128-K128)*INDEX('Key Metrics'!$E$16:$N$19,MATCH($E128,'Key Metrics'!$E$16:$E$19,0),MATCH(Y$1,'Key Metrics'!$E$16:$M$16,0)),0)</f>
        <v>0</v>
      </c>
      <c r="Z128" s="9">
        <f>IF($H128&gt;L128,($H128-L128)*INDEX('Key Metrics'!$E$16:$N$19,MATCH($E128,'Key Metrics'!$E$16:$E$19,0),MATCH(Z$1,'Key Metrics'!$E$16:$M$16,0)),0)</f>
        <v>0</v>
      </c>
      <c r="AA128" s="9">
        <f t="shared" si="18"/>
        <v>102467.09999999999</v>
      </c>
      <c r="AB128" s="9">
        <f t="shared" si="19"/>
        <v>102468.01081866666</v>
      </c>
    </row>
    <row r="129" spans="1:28" x14ac:dyDescent="0.55000000000000004">
      <c r="A129" t="str">
        <f t="shared" si="10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COUNTIF(deals_closed!$D$2:$D$20001,Calculations!B934)</f>
        <v>22</v>
      </c>
      <c r="H129" s="7">
        <f>SUMIF(deals_closed!$D:$D,Calculations!B934,deals_closed!$C:$C)</f>
        <v>779353</v>
      </c>
      <c r="I129" s="5">
        <f>VLOOKUP(E129,'2018_commission_structure'!$A$1:$I$4,9,FALSE)</f>
        <v>750000</v>
      </c>
      <c r="J129" s="9">
        <f t="shared" si="11"/>
        <v>937500</v>
      </c>
      <c r="K129" s="10">
        <f t="shared" si="12"/>
        <v>1125000</v>
      </c>
      <c r="L129" s="9">
        <f t="shared" si="13"/>
        <v>1500000</v>
      </c>
      <c r="M129" s="8">
        <f t="shared" si="14"/>
        <v>1.0391373333333334</v>
      </c>
      <c r="N129" t="str">
        <f t="shared" si="15"/>
        <v>100-125%</v>
      </c>
      <c r="O129" s="9">
        <f>MIN($H129,$I129)*INDEX('2018_commission_structure'!$A$1:$I$4,MATCH($E129,'2018_commission_structure'!$A$1:$A$4,0),MATCH(O$1,'2018_commission_structure'!$A$1:$I$1,0))</f>
        <v>112500</v>
      </c>
      <c r="P129" s="9">
        <f>IF(H129&gt;I129, MIN(H129-I129, J129-I129)*INDEX('2018_commission_structure'!$A$1:$I$4,MATCH($E129,'2018_commission_structure'!$A$1:$A$4,0),MATCH(P$1,'2018_commission_structure'!$A$1:$I$1,0)),0)</f>
        <v>5577.07</v>
      </c>
      <c r="Q129" s="9">
        <f>IF($H129&gt;J129, MIN($H129-J129, K129-J129)*INDEX('2018_commission_structure'!$A$1:$I$4,MATCH($E129,'2018_commission_structure'!$A$1:$A$4,0),MATCH(Q$1,'2018_commission_structure'!$A$1:$I$1,0)),0)</f>
        <v>0</v>
      </c>
      <c r="R129" s="9">
        <f>IF($H129&gt;K129, MIN($H129-K129, L129-K129)*INDEX('2018_commission_structure'!$A$1:$I$4,MATCH($E129,'2018_commission_structure'!$A$1:$A$4,0),MATCH(R$1,'2018_commission_structure'!$A$1:$I$1,0)),0)</f>
        <v>0</v>
      </c>
      <c r="S129" s="9">
        <f>IF(H129&gt;L129,(H129-L129)*INDEX('2018_commission_structure'!$A$1:$I$4,MATCH($E129,'2018_commission_structure'!$A$1:$A$4,0),MATCH(S$1,'2018_commission_structure'!$A$1:$I$1,0)),0)</f>
        <v>0</v>
      </c>
      <c r="T129" s="9">
        <f t="shared" si="16"/>
        <v>118077.07</v>
      </c>
      <c r="U129" s="9">
        <f t="shared" si="17"/>
        <v>210552.07</v>
      </c>
      <c r="V129" s="9">
        <f>MIN($I129,$H129)*INDEX('Key Metrics'!$E$16:$N$19,MATCH($E129,'Key Metrics'!$E$16:$E$19,0),MATCH(V$1,'Key Metrics'!$E$16:$M$16,0))</f>
        <v>112500</v>
      </c>
      <c r="W129" s="9">
        <f>IF($H129&gt;I129, MIN($H129-I129, J129-I129)*INDEX('Key Metrics'!$E$16:$N$19,MATCH($E129,'Key Metrics'!$E$16:$E$19,0),MATCH(W$1,'Key Metrics'!$E$16:$M$16,0)),0)</f>
        <v>6457.66</v>
      </c>
      <c r="X129" s="9">
        <f>IF($H129&gt;J129, MIN($H129-J129, K129-J129)*INDEX('Key Metrics'!$E$16:$N$19,MATCH($E129,'Key Metrics'!$E$16:$E$19,0),MATCH(X$1,'Key Metrics'!$E$16:$M$16,0)),0)</f>
        <v>0</v>
      </c>
      <c r="Y129" s="9">
        <f>IF($H129&gt;K129, MIN($H129-K129, L129-K129)*INDEX('Key Metrics'!$E$16:$N$19,MATCH($E129,'Key Metrics'!$E$16:$E$19,0),MATCH(Y$1,'Key Metrics'!$E$16:$M$16,0)),0)</f>
        <v>0</v>
      </c>
      <c r="Z129" s="9">
        <f>IF($H129&gt;L129,($H129-L129)*INDEX('Key Metrics'!$E$16:$N$19,MATCH($E129,'Key Metrics'!$E$16:$E$19,0),MATCH(Z$1,'Key Metrics'!$E$16:$M$16,0)),0)</f>
        <v>0</v>
      </c>
      <c r="AA129" s="9">
        <f t="shared" si="18"/>
        <v>118957.66</v>
      </c>
      <c r="AB129" s="9">
        <f t="shared" si="19"/>
        <v>118958.69913733334</v>
      </c>
    </row>
    <row r="130" spans="1:28" x14ac:dyDescent="0.55000000000000004">
      <c r="A130" t="str">
        <f t="shared" ref="A130:A193" si="20">CONCATENATE(C130," ",D130)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COUNTIF(deals_closed!$D$2:$D$20001,Calculations!B905)</f>
        <v>11</v>
      </c>
      <c r="H130" s="7">
        <f>SUMIF(deals_closed!$D:$D,Calculations!B905,deals_closed!$C:$C)</f>
        <v>409689</v>
      </c>
      <c r="I130" s="5">
        <f>VLOOKUP(E130,'2018_commission_structure'!$A$1:$I$4,9,FALSE)</f>
        <v>600000</v>
      </c>
      <c r="J130" s="9">
        <f t="shared" ref="J130:J193" si="21">I130*1.25</f>
        <v>750000</v>
      </c>
      <c r="K130" s="10">
        <f t="shared" ref="K130:K193" si="22">I130*1.5</f>
        <v>900000</v>
      </c>
      <c r="L130" s="9">
        <f t="shared" ref="L130:L193" si="23">I130*2</f>
        <v>1200000</v>
      </c>
      <c r="M130" s="8">
        <f t="shared" ref="M130:M193" si="24">H130/I130</f>
        <v>0.68281499999999995</v>
      </c>
      <c r="N130" t="str">
        <f t="shared" ref="N130:N193" si="25">IF(M130&lt;=100%,"0-100%",IF(M130&lt;=125%,"100-125%",IF(M130&lt;=150%,"125-150%",IF(M130&lt;=200%,"150-200%","&gt;200%"))))</f>
        <v>0-100%</v>
      </c>
      <c r="O130" s="9">
        <f>MIN($H130,$I130)*INDEX('2018_commission_structure'!$A$1:$I$4,MATCH($E130,'2018_commission_structure'!$A$1:$A$4,0),MATCH(O$1,'2018_commission_structure'!$A$1:$I$1,0))</f>
        <v>53259.57</v>
      </c>
      <c r="P130" s="9">
        <f>IF(H130&gt;I130, MIN(H130-I130, J130-I130)*INDEX('2018_commission_structure'!$A$1:$I$4,MATCH($E130,'2018_commission_structure'!$A$1:$A$4,0),MATCH(P$1,'2018_commission_structure'!$A$1:$I$1,0)),0)</f>
        <v>0</v>
      </c>
      <c r="Q130" s="9">
        <f>IF($H130&gt;J130, MIN($H130-J130, K130-J130)*INDEX('2018_commission_structure'!$A$1:$I$4,MATCH($E130,'2018_commission_structure'!$A$1:$A$4,0),MATCH(Q$1,'2018_commission_structure'!$A$1:$I$1,0)),0)</f>
        <v>0</v>
      </c>
      <c r="R130" s="9">
        <f>IF($H130&gt;K130, MIN($H130-K130, L130-K130)*INDEX('2018_commission_structure'!$A$1:$I$4,MATCH($E130,'2018_commission_structure'!$A$1:$A$4,0),MATCH(R$1,'2018_commission_structure'!$A$1:$I$1,0)),0)</f>
        <v>0</v>
      </c>
      <c r="S130" s="9">
        <f>IF(H130&gt;L130,(H130-L130)*INDEX('2018_commission_structure'!$A$1:$I$4,MATCH($E130,'2018_commission_structure'!$A$1:$A$4,0),MATCH(S$1,'2018_commission_structure'!$A$1:$I$1,0)),0)</f>
        <v>0</v>
      </c>
      <c r="T130" s="9">
        <f t="shared" ref="T130:T193" si="26">SUM(O130:S130)</f>
        <v>53259.57</v>
      </c>
      <c r="U130" s="9">
        <f t="shared" ref="U130:U193" si="27">F130+T130</f>
        <v>111397.57</v>
      </c>
      <c r="V130" s="9">
        <f>MIN($I130,$H130)*INDEX('Key Metrics'!$E$16:$N$19,MATCH($E130,'Key Metrics'!$E$16:$E$19,0),MATCH(V$1,'Key Metrics'!$E$16:$M$16,0))</f>
        <v>61453.35</v>
      </c>
      <c r="W130" s="9">
        <f>IF($H130&gt;I130, MIN($H130-I130, J130-I130)*INDEX('Key Metrics'!$E$16:$N$19,MATCH($E130,'Key Metrics'!$E$16:$E$19,0),MATCH(W$1,'Key Metrics'!$E$16:$M$16,0)),0)</f>
        <v>0</v>
      </c>
      <c r="X130" s="9">
        <f>IF($H130&gt;J130, MIN($H130-J130, K130-J130)*INDEX('Key Metrics'!$E$16:$N$19,MATCH($E130,'Key Metrics'!$E$16:$E$19,0),MATCH(X$1,'Key Metrics'!$E$16:$M$16,0)),0)</f>
        <v>0</v>
      </c>
      <c r="Y130" s="9">
        <f>IF($H130&gt;K130, MIN($H130-K130, L130-K130)*INDEX('Key Metrics'!$E$16:$N$19,MATCH($E130,'Key Metrics'!$E$16:$E$19,0),MATCH(Y$1,'Key Metrics'!$E$16:$M$16,0)),0)</f>
        <v>0</v>
      </c>
      <c r="Z130" s="9">
        <f>IF($H130&gt;L130,($H130-L130)*INDEX('Key Metrics'!$E$16:$N$19,MATCH($E130,'Key Metrics'!$E$16:$E$19,0),MATCH(Z$1,'Key Metrics'!$E$16:$M$16,0)),0)</f>
        <v>0</v>
      </c>
      <c r="AA130" s="9">
        <f t="shared" ref="AA130:AA193" si="28">SUM(V130:Z130)</f>
        <v>61453.35</v>
      </c>
      <c r="AB130" s="9">
        <f t="shared" ref="AB130:AB193" si="29">M130+AA130</f>
        <v>61454.032814999999</v>
      </c>
    </row>
    <row r="131" spans="1:28" x14ac:dyDescent="0.55000000000000004">
      <c r="A131" t="str">
        <f t="shared" si="20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COUNTIF(deals_closed!$D$2:$D$20001,Calculations!B763)</f>
        <v>18</v>
      </c>
      <c r="H131" s="7">
        <f>SUMIF(deals_closed!$D:$D,Calculations!B763,deals_closed!$C:$C)</f>
        <v>727563</v>
      </c>
      <c r="I131" s="5">
        <f>VLOOKUP(E131,'2018_commission_structure'!$A$1:$I$4,9,FALSE)</f>
        <v>500000</v>
      </c>
      <c r="J131" s="9">
        <f t="shared" si="21"/>
        <v>625000</v>
      </c>
      <c r="K131" s="10">
        <f t="shared" si="22"/>
        <v>750000</v>
      </c>
      <c r="L131" s="9">
        <f t="shared" si="23"/>
        <v>1000000</v>
      </c>
      <c r="M131" s="8">
        <f t="shared" si="24"/>
        <v>1.4551259999999999</v>
      </c>
      <c r="N131" t="str">
        <f t="shared" si="25"/>
        <v>125-150%</v>
      </c>
      <c r="O131" s="9">
        <f>MIN($H131,$I131)*INDEX('2018_commission_structure'!$A$1:$I$4,MATCH($E131,'2018_commission_structure'!$A$1:$A$4,0),MATCH(O$1,'2018_commission_structure'!$A$1:$I$1,0))</f>
        <v>50000</v>
      </c>
      <c r="P131" s="9">
        <f>IF(H131&gt;I131, MIN(H131-I131, J131-I131)*INDEX('2018_commission_structure'!$A$1:$I$4,MATCH($E131,'2018_commission_structure'!$A$1:$A$4,0),MATCH(P$1,'2018_commission_structure'!$A$1:$I$1,0)),0)</f>
        <v>18750</v>
      </c>
      <c r="Q131" s="9">
        <f>IF($H131&gt;J131, MIN($H131-J131, K131-J131)*INDEX('2018_commission_structure'!$A$1:$I$4,MATCH($E131,'2018_commission_structure'!$A$1:$A$4,0),MATCH(Q$1,'2018_commission_structure'!$A$1:$I$1,0)),0)</f>
        <v>18461.34</v>
      </c>
      <c r="R131" s="9">
        <f>IF($H131&gt;K131, MIN($H131-K131, L131-K131)*INDEX('2018_commission_structure'!$A$1:$I$4,MATCH($E131,'2018_commission_structure'!$A$1:$A$4,0),MATCH(R$1,'2018_commission_structure'!$A$1:$I$1,0)),0)</f>
        <v>0</v>
      </c>
      <c r="S131" s="9">
        <f>IF(H131&gt;L131,(H131-L131)*INDEX('2018_commission_structure'!$A$1:$I$4,MATCH($E131,'2018_commission_structure'!$A$1:$A$4,0),MATCH(S$1,'2018_commission_structure'!$A$1:$I$1,0)),0)</f>
        <v>0</v>
      </c>
      <c r="T131" s="9">
        <f t="shared" si="26"/>
        <v>87211.34</v>
      </c>
      <c r="U131" s="9">
        <f t="shared" si="27"/>
        <v>119716.34</v>
      </c>
      <c r="V131" s="9">
        <f>MIN($I131,$H131)*INDEX('Key Metrics'!$E$16:$N$19,MATCH($E131,'Key Metrics'!$E$16:$E$19,0),MATCH(V$1,'Key Metrics'!$E$16:$M$16,0))</f>
        <v>60000</v>
      </c>
      <c r="W131" s="9">
        <f>IF($H131&gt;I131, MIN($H131-I131, J131-I131)*INDEX('Key Metrics'!$E$16:$N$19,MATCH($E131,'Key Metrics'!$E$16:$E$19,0),MATCH(W$1,'Key Metrics'!$E$16:$M$16,0)),0)</f>
        <v>21250</v>
      </c>
      <c r="X131" s="9">
        <f>IF($H131&gt;J131, MIN($H131-J131, K131-J131)*INDEX('Key Metrics'!$E$16:$N$19,MATCH($E131,'Key Metrics'!$E$16:$E$19,0),MATCH(X$1,'Key Metrics'!$E$16:$M$16,0)),0)</f>
        <v>20512.600000000002</v>
      </c>
      <c r="Y131" s="9">
        <f>IF($H131&gt;K131, MIN($H131-K131, L131-K131)*INDEX('Key Metrics'!$E$16:$N$19,MATCH($E131,'Key Metrics'!$E$16:$E$19,0),MATCH(Y$1,'Key Metrics'!$E$16:$M$16,0)),0)</f>
        <v>0</v>
      </c>
      <c r="Z131" s="9">
        <f>IF($H131&gt;L131,($H131-L131)*INDEX('Key Metrics'!$E$16:$N$19,MATCH($E131,'Key Metrics'!$E$16:$E$19,0),MATCH(Z$1,'Key Metrics'!$E$16:$M$16,0)),0)</f>
        <v>0</v>
      </c>
      <c r="AA131" s="9">
        <f t="shared" si="28"/>
        <v>101762.6</v>
      </c>
      <c r="AB131" s="9">
        <f t="shared" si="29"/>
        <v>101764.05512600001</v>
      </c>
    </row>
    <row r="132" spans="1:28" x14ac:dyDescent="0.55000000000000004">
      <c r="A132" t="str">
        <f t="shared" si="20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COUNTIF(deals_closed!$D$2:$D$20001,Calculations!B85)</f>
        <v>23</v>
      </c>
      <c r="H132" s="7">
        <f>SUMIF(deals_closed!$D:$D,Calculations!B85,deals_closed!$C:$C)</f>
        <v>806073</v>
      </c>
      <c r="I132" s="5">
        <f>VLOOKUP(E132,'2018_commission_structure'!$A$1:$I$4,9,FALSE)</f>
        <v>500000</v>
      </c>
      <c r="J132" s="9">
        <f t="shared" si="21"/>
        <v>625000</v>
      </c>
      <c r="K132" s="10">
        <f t="shared" si="22"/>
        <v>750000</v>
      </c>
      <c r="L132" s="9">
        <f t="shared" si="23"/>
        <v>1000000</v>
      </c>
      <c r="M132" s="8">
        <f t="shared" si="24"/>
        <v>1.6121460000000001</v>
      </c>
      <c r="N132" t="str">
        <f t="shared" si="25"/>
        <v>150-200%</v>
      </c>
      <c r="O132" s="9">
        <f>MIN($H132,$I132)*INDEX('2018_commission_structure'!$A$1:$I$4,MATCH($E132,'2018_commission_structure'!$A$1:$A$4,0),MATCH(O$1,'2018_commission_structure'!$A$1:$I$1,0))</f>
        <v>50000</v>
      </c>
      <c r="P132" s="9">
        <f>IF(H132&gt;I132, MIN(H132-I132, J132-I132)*INDEX('2018_commission_structure'!$A$1:$I$4,MATCH($E132,'2018_commission_structure'!$A$1:$A$4,0),MATCH(P$1,'2018_commission_structure'!$A$1:$I$1,0)),0)</f>
        <v>18750</v>
      </c>
      <c r="Q132" s="9">
        <f>IF($H132&gt;J132, MIN($H132-J132, K132-J132)*INDEX('2018_commission_structure'!$A$1:$I$4,MATCH($E132,'2018_commission_structure'!$A$1:$A$4,0),MATCH(Q$1,'2018_commission_structure'!$A$1:$I$1,0)),0)</f>
        <v>22500</v>
      </c>
      <c r="R132" s="9">
        <f>IF($H132&gt;K132, MIN($H132-K132, L132-K132)*INDEX('2018_commission_structure'!$A$1:$I$4,MATCH($E132,'2018_commission_structure'!$A$1:$A$4,0),MATCH(R$1,'2018_commission_structure'!$A$1:$I$1,0)),0)</f>
        <v>12336.06</v>
      </c>
      <c r="S132" s="9">
        <f>IF(H132&gt;L132,(H132-L132)*INDEX('2018_commission_structure'!$A$1:$I$4,MATCH($E132,'2018_commission_structure'!$A$1:$A$4,0),MATCH(S$1,'2018_commission_structure'!$A$1:$I$1,0)),0)</f>
        <v>0</v>
      </c>
      <c r="T132" s="9">
        <f t="shared" si="26"/>
        <v>103586.06</v>
      </c>
      <c r="U132" s="9">
        <f t="shared" si="27"/>
        <v>155461.06</v>
      </c>
      <c r="V132" s="9">
        <f>MIN($I132,$H132)*INDEX('Key Metrics'!$E$16:$N$19,MATCH($E132,'Key Metrics'!$E$16:$E$19,0),MATCH(V$1,'Key Metrics'!$E$16:$M$16,0))</f>
        <v>60000</v>
      </c>
      <c r="W132" s="9">
        <f>IF($H132&gt;I132, MIN($H132-I132, J132-I132)*INDEX('Key Metrics'!$E$16:$N$19,MATCH($E132,'Key Metrics'!$E$16:$E$19,0),MATCH(W$1,'Key Metrics'!$E$16:$M$16,0)),0)</f>
        <v>21250</v>
      </c>
      <c r="X132" s="9">
        <f>IF($H132&gt;J132, MIN($H132-J132, K132-J132)*INDEX('Key Metrics'!$E$16:$N$19,MATCH($E132,'Key Metrics'!$E$16:$E$19,0),MATCH(X$1,'Key Metrics'!$E$16:$M$16,0)),0)</f>
        <v>25000</v>
      </c>
      <c r="Y132" s="9">
        <f>IF($H132&gt;K132, MIN($H132-K132, L132-K132)*INDEX('Key Metrics'!$E$16:$N$19,MATCH($E132,'Key Metrics'!$E$16:$E$19,0),MATCH(Y$1,'Key Metrics'!$E$16:$M$16,0)),0)</f>
        <v>12336.06</v>
      </c>
      <c r="Z132" s="9">
        <f>IF($H132&gt;L132,($H132-L132)*INDEX('Key Metrics'!$E$16:$N$19,MATCH($E132,'Key Metrics'!$E$16:$E$19,0),MATCH(Z$1,'Key Metrics'!$E$16:$M$16,0)),0)</f>
        <v>0</v>
      </c>
      <c r="AA132" s="9">
        <f t="shared" si="28"/>
        <v>118586.06</v>
      </c>
      <c r="AB132" s="9">
        <f t="shared" si="29"/>
        <v>118587.672146</v>
      </c>
    </row>
    <row r="133" spans="1:28" x14ac:dyDescent="0.55000000000000004">
      <c r="A133" t="str">
        <f t="shared" si="20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COUNTIF(deals_closed!$D$2:$D$20001,Calculations!B660)</f>
        <v>24</v>
      </c>
      <c r="H133" s="7">
        <f>SUMIF(deals_closed!$D:$D,Calculations!B660,deals_closed!$C:$C)</f>
        <v>848914</v>
      </c>
      <c r="I133" s="5">
        <f>VLOOKUP(E133,'2018_commission_structure'!$A$1:$I$4,9,FALSE)</f>
        <v>600000</v>
      </c>
      <c r="J133" s="9">
        <f t="shared" si="21"/>
        <v>750000</v>
      </c>
      <c r="K133" s="10">
        <f t="shared" si="22"/>
        <v>900000</v>
      </c>
      <c r="L133" s="9">
        <f t="shared" si="23"/>
        <v>1200000</v>
      </c>
      <c r="M133" s="8">
        <f t="shared" si="24"/>
        <v>1.4148566666666667</v>
      </c>
      <c r="N133" t="str">
        <f t="shared" si="25"/>
        <v>125-150%</v>
      </c>
      <c r="O133" s="9">
        <f>MIN($H133,$I133)*INDEX('2018_commission_structure'!$A$1:$I$4,MATCH($E133,'2018_commission_structure'!$A$1:$A$4,0),MATCH(O$1,'2018_commission_structure'!$A$1:$I$1,0))</f>
        <v>78000</v>
      </c>
      <c r="P133" s="9">
        <f>IF(H133&gt;I133, MIN(H133-I133, J133-I133)*INDEX('2018_commission_structure'!$A$1:$I$4,MATCH($E133,'2018_commission_structure'!$A$1:$A$4,0),MATCH(P$1,'2018_commission_structure'!$A$1:$I$1,0)),0)</f>
        <v>25500.000000000004</v>
      </c>
      <c r="Q133" s="9">
        <f>IF($H133&gt;J133, MIN($H133-J133, K133-J133)*INDEX('2018_commission_structure'!$A$1:$I$4,MATCH($E133,'2018_commission_structure'!$A$1:$A$4,0),MATCH(Q$1,'2018_commission_structure'!$A$1:$I$1,0)),0)</f>
        <v>20771.939999999999</v>
      </c>
      <c r="R133" s="9">
        <f>IF($H133&gt;K133, MIN($H133-K133, L133-K133)*INDEX('2018_commission_structure'!$A$1:$I$4,MATCH($E133,'2018_commission_structure'!$A$1:$A$4,0),MATCH(R$1,'2018_commission_structure'!$A$1:$I$1,0)),0)</f>
        <v>0</v>
      </c>
      <c r="S133" s="9">
        <f>IF(H133&gt;L133,(H133-L133)*INDEX('2018_commission_structure'!$A$1:$I$4,MATCH($E133,'2018_commission_structure'!$A$1:$A$4,0),MATCH(S$1,'2018_commission_structure'!$A$1:$I$1,0)),0)</f>
        <v>0</v>
      </c>
      <c r="T133" s="9">
        <f t="shared" si="26"/>
        <v>124271.94</v>
      </c>
      <c r="U133" s="9">
        <f t="shared" si="27"/>
        <v>193112.94</v>
      </c>
      <c r="V133" s="9">
        <f>MIN($I133,$H133)*INDEX('Key Metrics'!$E$16:$N$19,MATCH($E133,'Key Metrics'!$E$16:$E$19,0),MATCH(V$1,'Key Metrics'!$E$16:$M$16,0))</f>
        <v>90000</v>
      </c>
      <c r="W133" s="9">
        <f>IF($H133&gt;I133, MIN($H133-I133, J133-I133)*INDEX('Key Metrics'!$E$16:$N$19,MATCH($E133,'Key Metrics'!$E$16:$E$19,0),MATCH(W$1,'Key Metrics'!$E$16:$M$16,0)),0)</f>
        <v>27000</v>
      </c>
      <c r="X133" s="9">
        <f>IF($H133&gt;J133, MIN($H133-J133, K133-J133)*INDEX('Key Metrics'!$E$16:$N$19,MATCH($E133,'Key Metrics'!$E$16:$E$19,0),MATCH(X$1,'Key Metrics'!$E$16:$M$16,0)),0)</f>
        <v>24728.5</v>
      </c>
      <c r="Y133" s="9">
        <f>IF($H133&gt;K133, MIN($H133-K133, L133-K133)*INDEX('Key Metrics'!$E$16:$N$19,MATCH($E133,'Key Metrics'!$E$16:$E$19,0),MATCH(Y$1,'Key Metrics'!$E$16:$M$16,0)),0)</f>
        <v>0</v>
      </c>
      <c r="Z133" s="9">
        <f>IF($H133&gt;L133,($H133-L133)*INDEX('Key Metrics'!$E$16:$N$19,MATCH($E133,'Key Metrics'!$E$16:$E$19,0),MATCH(Z$1,'Key Metrics'!$E$16:$M$16,0)),0)</f>
        <v>0</v>
      </c>
      <c r="AA133" s="9">
        <f t="shared" si="28"/>
        <v>141728.5</v>
      </c>
      <c r="AB133" s="9">
        <f t="shared" si="29"/>
        <v>141729.91485666667</v>
      </c>
    </row>
    <row r="134" spans="1:28" x14ac:dyDescent="0.55000000000000004">
      <c r="A134" t="str">
        <f t="shared" si="20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COUNTIF(deals_closed!$D$2:$D$20001,Calculations!B119)</f>
        <v>26</v>
      </c>
      <c r="H134" s="7">
        <f>SUMIF(deals_closed!$D:$D,Calculations!B119,deals_closed!$C:$C)</f>
        <v>1039232</v>
      </c>
      <c r="I134" s="5">
        <f>VLOOKUP(E134,'2018_commission_structure'!$A$1:$I$4,9,FALSE)</f>
        <v>500000</v>
      </c>
      <c r="J134" s="9">
        <f t="shared" si="21"/>
        <v>625000</v>
      </c>
      <c r="K134" s="10">
        <f t="shared" si="22"/>
        <v>750000</v>
      </c>
      <c r="L134" s="9">
        <f t="shared" si="23"/>
        <v>1000000</v>
      </c>
      <c r="M134" s="8">
        <f t="shared" si="24"/>
        <v>2.0784639999999999</v>
      </c>
      <c r="N134" t="str">
        <f t="shared" si="25"/>
        <v>&gt;200%</v>
      </c>
      <c r="O134" s="9">
        <f>MIN($H134,$I134)*INDEX('2018_commission_structure'!$A$1:$I$4,MATCH($E134,'2018_commission_structure'!$A$1:$A$4,0),MATCH(O$1,'2018_commission_structure'!$A$1:$I$1,0))</f>
        <v>50000</v>
      </c>
      <c r="P134" s="9">
        <f>IF(H134&gt;I134, MIN(H134-I134, J134-I134)*INDEX('2018_commission_structure'!$A$1:$I$4,MATCH($E134,'2018_commission_structure'!$A$1:$A$4,0),MATCH(P$1,'2018_commission_structure'!$A$1:$I$1,0)),0)</f>
        <v>18750</v>
      </c>
      <c r="Q134" s="9">
        <f>IF($H134&gt;J134, MIN($H134-J134, K134-J134)*INDEX('2018_commission_structure'!$A$1:$I$4,MATCH($E134,'2018_commission_structure'!$A$1:$A$4,0),MATCH(Q$1,'2018_commission_structure'!$A$1:$I$1,0)),0)</f>
        <v>22500</v>
      </c>
      <c r="R134" s="9">
        <f>IF($H134&gt;K134, MIN($H134-K134, L134-K134)*INDEX('2018_commission_structure'!$A$1:$I$4,MATCH($E134,'2018_commission_structure'!$A$1:$A$4,0),MATCH(R$1,'2018_commission_structure'!$A$1:$I$1,0)),0)</f>
        <v>55000</v>
      </c>
      <c r="S134" s="9">
        <f>IF(H134&gt;L134,(H134-L134)*INDEX('2018_commission_structure'!$A$1:$I$4,MATCH($E134,'2018_commission_structure'!$A$1:$A$4,0),MATCH(S$1,'2018_commission_structure'!$A$1:$I$1,0)),0)</f>
        <v>3923.2000000000003</v>
      </c>
      <c r="T134" s="9">
        <f t="shared" si="26"/>
        <v>150173.20000000001</v>
      </c>
      <c r="U134" s="9">
        <f t="shared" si="27"/>
        <v>199998.2</v>
      </c>
      <c r="V134" s="9">
        <f>MIN($I134,$H134)*INDEX('Key Metrics'!$E$16:$N$19,MATCH($E134,'Key Metrics'!$E$16:$E$19,0),MATCH(V$1,'Key Metrics'!$E$16:$M$16,0))</f>
        <v>60000</v>
      </c>
      <c r="W134" s="9">
        <f>IF($H134&gt;I134, MIN($H134-I134, J134-I134)*INDEX('Key Metrics'!$E$16:$N$19,MATCH($E134,'Key Metrics'!$E$16:$E$19,0),MATCH(W$1,'Key Metrics'!$E$16:$M$16,0)),0)</f>
        <v>21250</v>
      </c>
      <c r="X134" s="9">
        <f>IF($H134&gt;J134, MIN($H134-J134, K134-J134)*INDEX('Key Metrics'!$E$16:$N$19,MATCH($E134,'Key Metrics'!$E$16:$E$19,0),MATCH(X$1,'Key Metrics'!$E$16:$M$16,0)),0)</f>
        <v>25000</v>
      </c>
      <c r="Y134" s="9">
        <f>IF($H134&gt;K134, MIN($H134-K134, L134-K134)*INDEX('Key Metrics'!$E$16:$N$19,MATCH($E134,'Key Metrics'!$E$16:$E$19,0),MATCH(Y$1,'Key Metrics'!$E$16:$M$16,0)),0)</f>
        <v>55000</v>
      </c>
      <c r="Z134" s="9">
        <f>IF($H134&gt;L134,($H134-L134)*INDEX('Key Metrics'!$E$16:$N$19,MATCH($E134,'Key Metrics'!$E$16:$E$19,0),MATCH(Z$1,'Key Metrics'!$E$16:$M$16,0)),0)</f>
        <v>3923.2000000000003</v>
      </c>
      <c r="AA134" s="9">
        <f t="shared" si="28"/>
        <v>165173.20000000001</v>
      </c>
      <c r="AB134" s="9">
        <f t="shared" si="29"/>
        <v>165175.278464</v>
      </c>
    </row>
    <row r="135" spans="1:28" x14ac:dyDescent="0.55000000000000004">
      <c r="A135" t="str">
        <f t="shared" si="20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COUNTIF(deals_closed!$D$2:$D$20001,Calculations!B357)</f>
        <v>31</v>
      </c>
      <c r="H135" s="7">
        <f>SUMIF(deals_closed!$D:$D,Calculations!B357,deals_closed!$C:$C)</f>
        <v>1064286</v>
      </c>
      <c r="I135" s="5">
        <f>VLOOKUP(E135,'2018_commission_structure'!$A$1:$I$4,9,FALSE)</f>
        <v>600000</v>
      </c>
      <c r="J135" s="9">
        <f t="shared" si="21"/>
        <v>750000</v>
      </c>
      <c r="K135" s="10">
        <f t="shared" si="22"/>
        <v>900000</v>
      </c>
      <c r="L135" s="9">
        <f t="shared" si="23"/>
        <v>1200000</v>
      </c>
      <c r="M135" s="8">
        <f t="shared" si="24"/>
        <v>1.7738100000000001</v>
      </c>
      <c r="N135" t="str">
        <f t="shared" si="25"/>
        <v>150-200%</v>
      </c>
      <c r="O135" s="9">
        <f>MIN($H135,$I135)*INDEX('2018_commission_structure'!$A$1:$I$4,MATCH($E135,'2018_commission_structure'!$A$1:$A$4,0),MATCH(O$1,'2018_commission_structure'!$A$1:$I$1,0))</f>
        <v>78000</v>
      </c>
      <c r="P135" s="9">
        <f>IF(H135&gt;I135, MIN(H135-I135, J135-I135)*INDEX('2018_commission_structure'!$A$1:$I$4,MATCH($E135,'2018_commission_structure'!$A$1:$A$4,0),MATCH(P$1,'2018_commission_structure'!$A$1:$I$1,0)),0)</f>
        <v>25500.000000000004</v>
      </c>
      <c r="Q135" s="9">
        <f>IF($H135&gt;J135, MIN($H135-J135, K135-J135)*INDEX('2018_commission_structure'!$A$1:$I$4,MATCH($E135,'2018_commission_structure'!$A$1:$A$4,0),MATCH(Q$1,'2018_commission_structure'!$A$1:$I$1,0)),0)</f>
        <v>31500</v>
      </c>
      <c r="R135" s="9">
        <f>IF($H135&gt;K135, MIN($H135-K135, L135-K135)*INDEX('2018_commission_structure'!$A$1:$I$4,MATCH($E135,'2018_commission_structure'!$A$1:$A$4,0),MATCH(R$1,'2018_commission_structure'!$A$1:$I$1,0)),0)</f>
        <v>42714.36</v>
      </c>
      <c r="S135" s="9">
        <f>IF(H135&gt;L135,(H135-L135)*INDEX('2018_commission_structure'!$A$1:$I$4,MATCH($E135,'2018_commission_structure'!$A$1:$A$4,0),MATCH(S$1,'2018_commission_structure'!$A$1:$I$1,0)),0)</f>
        <v>0</v>
      </c>
      <c r="T135" s="9">
        <f t="shared" si="26"/>
        <v>177714.36</v>
      </c>
      <c r="U135" s="9">
        <f t="shared" si="27"/>
        <v>228777.36</v>
      </c>
      <c r="V135" s="9">
        <f>MIN($I135,$H135)*INDEX('Key Metrics'!$E$16:$N$19,MATCH($E135,'Key Metrics'!$E$16:$E$19,0),MATCH(V$1,'Key Metrics'!$E$16:$M$16,0))</f>
        <v>90000</v>
      </c>
      <c r="W135" s="9">
        <f>IF($H135&gt;I135, MIN($H135-I135, J135-I135)*INDEX('Key Metrics'!$E$16:$N$19,MATCH($E135,'Key Metrics'!$E$16:$E$19,0),MATCH(W$1,'Key Metrics'!$E$16:$M$16,0)),0)</f>
        <v>27000</v>
      </c>
      <c r="X135" s="9">
        <f>IF($H135&gt;J135, MIN($H135-J135, K135-J135)*INDEX('Key Metrics'!$E$16:$N$19,MATCH($E135,'Key Metrics'!$E$16:$E$19,0),MATCH(X$1,'Key Metrics'!$E$16:$M$16,0)),0)</f>
        <v>37500</v>
      </c>
      <c r="Y135" s="9">
        <f>IF($H135&gt;K135, MIN($H135-K135, L135-K135)*INDEX('Key Metrics'!$E$16:$N$19,MATCH($E135,'Key Metrics'!$E$16:$E$19,0),MATCH(Y$1,'Key Metrics'!$E$16:$M$16,0)),0)</f>
        <v>49285.799999999996</v>
      </c>
      <c r="Z135" s="9">
        <f>IF($H135&gt;L135,($H135-L135)*INDEX('Key Metrics'!$E$16:$N$19,MATCH($E135,'Key Metrics'!$E$16:$E$19,0),MATCH(Z$1,'Key Metrics'!$E$16:$M$16,0)),0)</f>
        <v>0</v>
      </c>
      <c r="AA135" s="9">
        <f t="shared" si="28"/>
        <v>203785.8</v>
      </c>
      <c r="AB135" s="9">
        <f t="shared" si="29"/>
        <v>203787.57381</v>
      </c>
    </row>
    <row r="136" spans="1:28" x14ac:dyDescent="0.55000000000000004">
      <c r="A136" t="str">
        <f t="shared" si="20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COUNTIF(deals_closed!$D$2:$D$20001,Calculations!B998)</f>
        <v>16</v>
      </c>
      <c r="H136" s="7">
        <f>SUMIF(deals_closed!$D:$D,Calculations!B998,deals_closed!$C:$C)</f>
        <v>470117</v>
      </c>
      <c r="I136" s="5">
        <f>VLOOKUP(E136,'2018_commission_structure'!$A$1:$I$4,9,FALSE)</f>
        <v>750000</v>
      </c>
      <c r="J136" s="9">
        <f t="shared" si="21"/>
        <v>937500</v>
      </c>
      <c r="K136" s="10">
        <f t="shared" si="22"/>
        <v>1125000</v>
      </c>
      <c r="L136" s="9">
        <f t="shared" si="23"/>
        <v>1500000</v>
      </c>
      <c r="M136" s="8">
        <f t="shared" si="24"/>
        <v>0.62682266666666664</v>
      </c>
      <c r="N136" t="str">
        <f t="shared" si="25"/>
        <v>0-100%</v>
      </c>
      <c r="O136" s="9">
        <f>MIN($H136,$I136)*INDEX('2018_commission_structure'!$A$1:$I$4,MATCH($E136,'2018_commission_structure'!$A$1:$A$4,0),MATCH(O$1,'2018_commission_structure'!$A$1:$I$1,0))</f>
        <v>70517.55</v>
      </c>
      <c r="P136" s="9">
        <f>IF(H136&gt;I136, MIN(H136-I136, J136-I136)*INDEX('2018_commission_structure'!$A$1:$I$4,MATCH($E136,'2018_commission_structure'!$A$1:$A$4,0),MATCH(P$1,'2018_commission_structure'!$A$1:$I$1,0)),0)</f>
        <v>0</v>
      </c>
      <c r="Q136" s="9">
        <f>IF($H136&gt;J136, MIN($H136-J136, K136-J136)*INDEX('2018_commission_structure'!$A$1:$I$4,MATCH($E136,'2018_commission_structure'!$A$1:$A$4,0),MATCH(Q$1,'2018_commission_structure'!$A$1:$I$1,0)),0)</f>
        <v>0</v>
      </c>
      <c r="R136" s="9">
        <f>IF($H136&gt;K136, MIN($H136-K136, L136-K136)*INDEX('2018_commission_structure'!$A$1:$I$4,MATCH($E136,'2018_commission_structure'!$A$1:$A$4,0),MATCH(R$1,'2018_commission_structure'!$A$1:$I$1,0)),0)</f>
        <v>0</v>
      </c>
      <c r="S136" s="9">
        <f>IF(H136&gt;L136,(H136-L136)*INDEX('2018_commission_structure'!$A$1:$I$4,MATCH($E136,'2018_commission_structure'!$A$1:$A$4,0),MATCH(S$1,'2018_commission_structure'!$A$1:$I$1,0)),0)</f>
        <v>0</v>
      </c>
      <c r="T136" s="9">
        <f t="shared" si="26"/>
        <v>70517.55</v>
      </c>
      <c r="U136" s="9">
        <f t="shared" si="27"/>
        <v>155128.54999999999</v>
      </c>
      <c r="V136" s="9">
        <f>MIN($I136,$H136)*INDEX('Key Metrics'!$E$16:$N$19,MATCH($E136,'Key Metrics'!$E$16:$E$19,0),MATCH(V$1,'Key Metrics'!$E$16:$M$16,0))</f>
        <v>70517.55</v>
      </c>
      <c r="W136" s="9">
        <f>IF($H136&gt;I136, MIN($H136-I136, J136-I136)*INDEX('Key Metrics'!$E$16:$N$19,MATCH($E136,'Key Metrics'!$E$16:$E$19,0),MATCH(W$1,'Key Metrics'!$E$16:$M$16,0)),0)</f>
        <v>0</v>
      </c>
      <c r="X136" s="9">
        <f>IF($H136&gt;J136, MIN($H136-J136, K136-J136)*INDEX('Key Metrics'!$E$16:$N$19,MATCH($E136,'Key Metrics'!$E$16:$E$19,0),MATCH(X$1,'Key Metrics'!$E$16:$M$16,0)),0)</f>
        <v>0</v>
      </c>
      <c r="Y136" s="9">
        <f>IF($H136&gt;K136, MIN($H136-K136, L136-K136)*INDEX('Key Metrics'!$E$16:$N$19,MATCH($E136,'Key Metrics'!$E$16:$E$19,0),MATCH(Y$1,'Key Metrics'!$E$16:$M$16,0)),0)</f>
        <v>0</v>
      </c>
      <c r="Z136" s="9">
        <f>IF($H136&gt;L136,($H136-L136)*INDEX('Key Metrics'!$E$16:$N$19,MATCH($E136,'Key Metrics'!$E$16:$E$19,0),MATCH(Z$1,'Key Metrics'!$E$16:$M$16,0)),0)</f>
        <v>0</v>
      </c>
      <c r="AA136" s="9">
        <f t="shared" si="28"/>
        <v>70517.55</v>
      </c>
      <c r="AB136" s="9">
        <f t="shared" si="29"/>
        <v>70518.176822666675</v>
      </c>
    </row>
    <row r="137" spans="1:28" x14ac:dyDescent="0.55000000000000004">
      <c r="A137" t="str">
        <f t="shared" si="20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COUNTIF(deals_closed!$D$2:$D$20001,Calculations!B179)</f>
        <v>16</v>
      </c>
      <c r="H137" s="7">
        <f>SUMIF(deals_closed!$D:$D,Calculations!B179,deals_closed!$C:$C)</f>
        <v>472412</v>
      </c>
      <c r="I137" s="5">
        <f>VLOOKUP(E137,'2018_commission_structure'!$A$1:$I$4,9,FALSE)</f>
        <v>750000</v>
      </c>
      <c r="J137" s="9">
        <f t="shared" si="21"/>
        <v>937500</v>
      </c>
      <c r="K137" s="10">
        <f t="shared" si="22"/>
        <v>1125000</v>
      </c>
      <c r="L137" s="9">
        <f t="shared" si="23"/>
        <v>1500000</v>
      </c>
      <c r="M137" s="8">
        <f t="shared" si="24"/>
        <v>0.6298826666666667</v>
      </c>
      <c r="N137" t="str">
        <f t="shared" si="25"/>
        <v>0-100%</v>
      </c>
      <c r="O137" s="9">
        <f>MIN($H137,$I137)*INDEX('2018_commission_structure'!$A$1:$I$4,MATCH($E137,'2018_commission_structure'!$A$1:$A$4,0),MATCH(O$1,'2018_commission_structure'!$A$1:$I$1,0))</f>
        <v>70861.8</v>
      </c>
      <c r="P137" s="9">
        <f>IF(H137&gt;I137, MIN(H137-I137, J137-I137)*INDEX('2018_commission_structure'!$A$1:$I$4,MATCH($E137,'2018_commission_structure'!$A$1:$A$4,0),MATCH(P$1,'2018_commission_structure'!$A$1:$I$1,0)),0)</f>
        <v>0</v>
      </c>
      <c r="Q137" s="9">
        <f>IF($H137&gt;J137, MIN($H137-J137, K137-J137)*INDEX('2018_commission_structure'!$A$1:$I$4,MATCH($E137,'2018_commission_structure'!$A$1:$A$4,0),MATCH(Q$1,'2018_commission_structure'!$A$1:$I$1,0)),0)</f>
        <v>0</v>
      </c>
      <c r="R137" s="9">
        <f>IF($H137&gt;K137, MIN($H137-K137, L137-K137)*INDEX('2018_commission_structure'!$A$1:$I$4,MATCH($E137,'2018_commission_structure'!$A$1:$A$4,0),MATCH(R$1,'2018_commission_structure'!$A$1:$I$1,0)),0)</f>
        <v>0</v>
      </c>
      <c r="S137" s="9">
        <f>IF(H137&gt;L137,(H137-L137)*INDEX('2018_commission_structure'!$A$1:$I$4,MATCH($E137,'2018_commission_structure'!$A$1:$A$4,0),MATCH(S$1,'2018_commission_structure'!$A$1:$I$1,0)),0)</f>
        <v>0</v>
      </c>
      <c r="T137" s="9">
        <f t="shared" si="26"/>
        <v>70861.8</v>
      </c>
      <c r="U137" s="9">
        <f t="shared" si="27"/>
        <v>159895.79999999999</v>
      </c>
      <c r="V137" s="9">
        <f>MIN($I137,$H137)*INDEX('Key Metrics'!$E$16:$N$19,MATCH($E137,'Key Metrics'!$E$16:$E$19,0),MATCH(V$1,'Key Metrics'!$E$16:$M$16,0))</f>
        <v>70861.8</v>
      </c>
      <c r="W137" s="9">
        <f>IF($H137&gt;I137, MIN($H137-I137, J137-I137)*INDEX('Key Metrics'!$E$16:$N$19,MATCH($E137,'Key Metrics'!$E$16:$E$19,0),MATCH(W$1,'Key Metrics'!$E$16:$M$16,0)),0)</f>
        <v>0</v>
      </c>
      <c r="X137" s="9">
        <f>IF($H137&gt;J137, MIN($H137-J137, K137-J137)*INDEX('Key Metrics'!$E$16:$N$19,MATCH($E137,'Key Metrics'!$E$16:$E$19,0),MATCH(X$1,'Key Metrics'!$E$16:$M$16,0)),0)</f>
        <v>0</v>
      </c>
      <c r="Y137" s="9">
        <f>IF($H137&gt;K137, MIN($H137-K137, L137-K137)*INDEX('Key Metrics'!$E$16:$N$19,MATCH($E137,'Key Metrics'!$E$16:$E$19,0),MATCH(Y$1,'Key Metrics'!$E$16:$M$16,0)),0)</f>
        <v>0</v>
      </c>
      <c r="Z137" s="9">
        <f>IF($H137&gt;L137,($H137-L137)*INDEX('Key Metrics'!$E$16:$N$19,MATCH($E137,'Key Metrics'!$E$16:$E$19,0),MATCH(Z$1,'Key Metrics'!$E$16:$M$16,0)),0)</f>
        <v>0</v>
      </c>
      <c r="AA137" s="9">
        <f t="shared" si="28"/>
        <v>70861.8</v>
      </c>
      <c r="AB137" s="9">
        <f t="shared" si="29"/>
        <v>70862.429882666664</v>
      </c>
    </row>
    <row r="138" spans="1:28" x14ac:dyDescent="0.55000000000000004">
      <c r="A138" t="str">
        <f t="shared" si="20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COUNTIF(deals_closed!$D$2:$D$20001,Calculations!B171)</f>
        <v>17</v>
      </c>
      <c r="H138" s="7">
        <f>SUMIF(deals_closed!$D:$D,Calculations!B171,deals_closed!$C:$C)</f>
        <v>518120</v>
      </c>
      <c r="I138" s="5">
        <f>VLOOKUP(E138,'2018_commission_structure'!$A$1:$I$4,9,FALSE)</f>
        <v>600000</v>
      </c>
      <c r="J138" s="9">
        <f t="shared" si="21"/>
        <v>750000</v>
      </c>
      <c r="K138" s="10">
        <f t="shared" si="22"/>
        <v>900000</v>
      </c>
      <c r="L138" s="9">
        <f t="shared" si="23"/>
        <v>1200000</v>
      </c>
      <c r="M138" s="8">
        <f t="shared" si="24"/>
        <v>0.86353333333333337</v>
      </c>
      <c r="N138" t="str">
        <f t="shared" si="25"/>
        <v>0-100%</v>
      </c>
      <c r="O138" s="9">
        <f>MIN($H138,$I138)*INDEX('2018_commission_structure'!$A$1:$I$4,MATCH($E138,'2018_commission_structure'!$A$1:$A$4,0),MATCH(O$1,'2018_commission_structure'!$A$1:$I$1,0))</f>
        <v>67355.600000000006</v>
      </c>
      <c r="P138" s="9">
        <f>IF(H138&gt;I138, MIN(H138-I138, J138-I138)*INDEX('2018_commission_structure'!$A$1:$I$4,MATCH($E138,'2018_commission_structure'!$A$1:$A$4,0),MATCH(P$1,'2018_commission_structure'!$A$1:$I$1,0)),0)</f>
        <v>0</v>
      </c>
      <c r="Q138" s="9">
        <f>IF($H138&gt;J138, MIN($H138-J138, K138-J138)*INDEX('2018_commission_structure'!$A$1:$I$4,MATCH($E138,'2018_commission_structure'!$A$1:$A$4,0),MATCH(Q$1,'2018_commission_structure'!$A$1:$I$1,0)),0)</f>
        <v>0</v>
      </c>
      <c r="R138" s="9">
        <f>IF($H138&gt;K138, MIN($H138-K138, L138-K138)*INDEX('2018_commission_structure'!$A$1:$I$4,MATCH($E138,'2018_commission_structure'!$A$1:$A$4,0),MATCH(R$1,'2018_commission_structure'!$A$1:$I$1,0)),0)</f>
        <v>0</v>
      </c>
      <c r="S138" s="9">
        <f>IF(H138&gt;L138,(H138-L138)*INDEX('2018_commission_structure'!$A$1:$I$4,MATCH($E138,'2018_commission_structure'!$A$1:$A$4,0),MATCH(S$1,'2018_commission_structure'!$A$1:$I$1,0)),0)</f>
        <v>0</v>
      </c>
      <c r="T138" s="9">
        <f t="shared" si="26"/>
        <v>67355.600000000006</v>
      </c>
      <c r="U138" s="9">
        <f t="shared" si="27"/>
        <v>137553.60000000001</v>
      </c>
      <c r="V138" s="9">
        <f>MIN($I138,$H138)*INDEX('Key Metrics'!$E$16:$N$19,MATCH($E138,'Key Metrics'!$E$16:$E$19,0),MATCH(V$1,'Key Metrics'!$E$16:$M$16,0))</f>
        <v>77718</v>
      </c>
      <c r="W138" s="9">
        <f>IF($H138&gt;I138, MIN($H138-I138, J138-I138)*INDEX('Key Metrics'!$E$16:$N$19,MATCH($E138,'Key Metrics'!$E$16:$E$19,0),MATCH(W$1,'Key Metrics'!$E$16:$M$16,0)),0)</f>
        <v>0</v>
      </c>
      <c r="X138" s="9">
        <f>IF($H138&gt;J138, MIN($H138-J138, K138-J138)*INDEX('Key Metrics'!$E$16:$N$19,MATCH($E138,'Key Metrics'!$E$16:$E$19,0),MATCH(X$1,'Key Metrics'!$E$16:$M$16,0)),0)</f>
        <v>0</v>
      </c>
      <c r="Y138" s="9">
        <f>IF($H138&gt;K138, MIN($H138-K138, L138-K138)*INDEX('Key Metrics'!$E$16:$N$19,MATCH($E138,'Key Metrics'!$E$16:$E$19,0),MATCH(Y$1,'Key Metrics'!$E$16:$M$16,0)),0)</f>
        <v>0</v>
      </c>
      <c r="Z138" s="9">
        <f>IF($H138&gt;L138,($H138-L138)*INDEX('Key Metrics'!$E$16:$N$19,MATCH($E138,'Key Metrics'!$E$16:$E$19,0),MATCH(Z$1,'Key Metrics'!$E$16:$M$16,0)),0)</f>
        <v>0</v>
      </c>
      <c r="AA138" s="9">
        <f t="shared" si="28"/>
        <v>77718</v>
      </c>
      <c r="AB138" s="9">
        <f t="shared" si="29"/>
        <v>77718.863533333337</v>
      </c>
    </row>
    <row r="139" spans="1:28" x14ac:dyDescent="0.55000000000000004">
      <c r="A139" t="str">
        <f t="shared" si="20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COUNTIF(deals_closed!$D$2:$D$20001,Calculations!B684)</f>
        <v>13</v>
      </c>
      <c r="H139" s="7">
        <f>SUMIF(deals_closed!$D:$D,Calculations!B684,deals_closed!$C:$C)</f>
        <v>499816</v>
      </c>
      <c r="I139" s="5">
        <f>VLOOKUP(E139,'2018_commission_structure'!$A$1:$I$4,9,FALSE)</f>
        <v>750000</v>
      </c>
      <c r="J139" s="9">
        <f t="shared" si="21"/>
        <v>937500</v>
      </c>
      <c r="K139" s="10">
        <f t="shared" si="22"/>
        <v>1125000</v>
      </c>
      <c r="L139" s="9">
        <f t="shared" si="23"/>
        <v>1500000</v>
      </c>
      <c r="M139" s="8">
        <f t="shared" si="24"/>
        <v>0.66642133333333331</v>
      </c>
      <c r="N139" t="str">
        <f t="shared" si="25"/>
        <v>0-100%</v>
      </c>
      <c r="O139" s="9">
        <f>MIN($H139,$I139)*INDEX('2018_commission_structure'!$A$1:$I$4,MATCH($E139,'2018_commission_structure'!$A$1:$A$4,0),MATCH(O$1,'2018_commission_structure'!$A$1:$I$1,0))</f>
        <v>74972.399999999994</v>
      </c>
      <c r="P139" s="9">
        <f>IF(H139&gt;I139, MIN(H139-I139, J139-I139)*INDEX('2018_commission_structure'!$A$1:$I$4,MATCH($E139,'2018_commission_structure'!$A$1:$A$4,0),MATCH(P$1,'2018_commission_structure'!$A$1:$I$1,0)),0)</f>
        <v>0</v>
      </c>
      <c r="Q139" s="9">
        <f>IF($H139&gt;J139, MIN($H139-J139, K139-J139)*INDEX('2018_commission_structure'!$A$1:$I$4,MATCH($E139,'2018_commission_structure'!$A$1:$A$4,0),MATCH(Q$1,'2018_commission_structure'!$A$1:$I$1,0)),0)</f>
        <v>0</v>
      </c>
      <c r="R139" s="9">
        <f>IF($H139&gt;K139, MIN($H139-K139, L139-K139)*INDEX('2018_commission_structure'!$A$1:$I$4,MATCH($E139,'2018_commission_structure'!$A$1:$A$4,0),MATCH(R$1,'2018_commission_structure'!$A$1:$I$1,0)),0)</f>
        <v>0</v>
      </c>
      <c r="S139" s="9">
        <f>IF(H139&gt;L139,(H139-L139)*INDEX('2018_commission_structure'!$A$1:$I$4,MATCH($E139,'2018_commission_structure'!$A$1:$A$4,0),MATCH(S$1,'2018_commission_structure'!$A$1:$I$1,0)),0)</f>
        <v>0</v>
      </c>
      <c r="T139" s="9">
        <f t="shared" si="26"/>
        <v>74972.399999999994</v>
      </c>
      <c r="U139" s="9">
        <f t="shared" si="27"/>
        <v>182893.4</v>
      </c>
      <c r="V139" s="9">
        <f>MIN($I139,$H139)*INDEX('Key Metrics'!$E$16:$N$19,MATCH($E139,'Key Metrics'!$E$16:$E$19,0),MATCH(V$1,'Key Metrics'!$E$16:$M$16,0))</f>
        <v>74972.399999999994</v>
      </c>
      <c r="W139" s="9">
        <f>IF($H139&gt;I139, MIN($H139-I139, J139-I139)*INDEX('Key Metrics'!$E$16:$N$19,MATCH($E139,'Key Metrics'!$E$16:$E$19,0),MATCH(W$1,'Key Metrics'!$E$16:$M$16,0)),0)</f>
        <v>0</v>
      </c>
      <c r="X139" s="9">
        <f>IF($H139&gt;J139, MIN($H139-J139, K139-J139)*INDEX('Key Metrics'!$E$16:$N$19,MATCH($E139,'Key Metrics'!$E$16:$E$19,0),MATCH(X$1,'Key Metrics'!$E$16:$M$16,0)),0)</f>
        <v>0</v>
      </c>
      <c r="Y139" s="9">
        <f>IF($H139&gt;K139, MIN($H139-K139, L139-K139)*INDEX('Key Metrics'!$E$16:$N$19,MATCH($E139,'Key Metrics'!$E$16:$E$19,0),MATCH(Y$1,'Key Metrics'!$E$16:$M$16,0)),0)</f>
        <v>0</v>
      </c>
      <c r="Z139" s="9">
        <f>IF($H139&gt;L139,($H139-L139)*INDEX('Key Metrics'!$E$16:$N$19,MATCH($E139,'Key Metrics'!$E$16:$E$19,0),MATCH(Z$1,'Key Metrics'!$E$16:$M$16,0)),0)</f>
        <v>0</v>
      </c>
      <c r="AA139" s="9">
        <f t="shared" si="28"/>
        <v>74972.399999999994</v>
      </c>
      <c r="AB139" s="9">
        <f t="shared" si="29"/>
        <v>74973.066421333322</v>
      </c>
    </row>
    <row r="140" spans="1:28" x14ac:dyDescent="0.55000000000000004">
      <c r="A140" t="str">
        <f t="shared" si="20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COUNTIF(deals_closed!$D$2:$D$20001,Calculations!B184)</f>
        <v>19</v>
      </c>
      <c r="H140" s="7">
        <f>SUMIF(deals_closed!$D:$D,Calculations!B184,deals_closed!$C:$C)</f>
        <v>664872</v>
      </c>
      <c r="I140" s="5">
        <f>VLOOKUP(E140,'2018_commission_structure'!$A$1:$I$4,9,FALSE)</f>
        <v>500000</v>
      </c>
      <c r="J140" s="9">
        <f t="shared" si="21"/>
        <v>625000</v>
      </c>
      <c r="K140" s="10">
        <f t="shared" si="22"/>
        <v>750000</v>
      </c>
      <c r="L140" s="9">
        <f t="shared" si="23"/>
        <v>1000000</v>
      </c>
      <c r="M140" s="8">
        <f t="shared" si="24"/>
        <v>1.329744</v>
      </c>
      <c r="N140" t="str">
        <f t="shared" si="25"/>
        <v>125-150%</v>
      </c>
      <c r="O140" s="9">
        <f>MIN($H140,$I140)*INDEX('2018_commission_structure'!$A$1:$I$4,MATCH($E140,'2018_commission_structure'!$A$1:$A$4,0),MATCH(O$1,'2018_commission_structure'!$A$1:$I$1,0))</f>
        <v>50000</v>
      </c>
      <c r="P140" s="9">
        <f>IF(H140&gt;I140, MIN(H140-I140, J140-I140)*INDEX('2018_commission_structure'!$A$1:$I$4,MATCH($E140,'2018_commission_structure'!$A$1:$A$4,0),MATCH(P$1,'2018_commission_structure'!$A$1:$I$1,0)),0)</f>
        <v>18750</v>
      </c>
      <c r="Q140" s="9">
        <f>IF($H140&gt;J140, MIN($H140-J140, K140-J140)*INDEX('2018_commission_structure'!$A$1:$I$4,MATCH($E140,'2018_commission_structure'!$A$1:$A$4,0),MATCH(Q$1,'2018_commission_structure'!$A$1:$I$1,0)),0)</f>
        <v>7176.96</v>
      </c>
      <c r="R140" s="9">
        <f>IF($H140&gt;K140, MIN($H140-K140, L140-K140)*INDEX('2018_commission_structure'!$A$1:$I$4,MATCH($E140,'2018_commission_structure'!$A$1:$A$4,0),MATCH(R$1,'2018_commission_structure'!$A$1:$I$1,0)),0)</f>
        <v>0</v>
      </c>
      <c r="S140" s="9">
        <f>IF(H140&gt;L140,(H140-L140)*INDEX('2018_commission_structure'!$A$1:$I$4,MATCH($E140,'2018_commission_structure'!$A$1:$A$4,0),MATCH(S$1,'2018_commission_structure'!$A$1:$I$1,0)),0)</f>
        <v>0</v>
      </c>
      <c r="T140" s="9">
        <f t="shared" si="26"/>
        <v>75926.960000000006</v>
      </c>
      <c r="U140" s="9">
        <f t="shared" si="27"/>
        <v>120368.96000000001</v>
      </c>
      <c r="V140" s="9">
        <f>MIN($I140,$H140)*INDEX('Key Metrics'!$E$16:$N$19,MATCH($E140,'Key Metrics'!$E$16:$E$19,0),MATCH(V$1,'Key Metrics'!$E$16:$M$16,0))</f>
        <v>60000</v>
      </c>
      <c r="W140" s="9">
        <f>IF($H140&gt;I140, MIN($H140-I140, J140-I140)*INDEX('Key Metrics'!$E$16:$N$19,MATCH($E140,'Key Metrics'!$E$16:$E$19,0),MATCH(W$1,'Key Metrics'!$E$16:$M$16,0)),0)</f>
        <v>21250</v>
      </c>
      <c r="X140" s="9">
        <f>IF($H140&gt;J140, MIN($H140-J140, K140-J140)*INDEX('Key Metrics'!$E$16:$N$19,MATCH($E140,'Key Metrics'!$E$16:$E$19,0),MATCH(X$1,'Key Metrics'!$E$16:$M$16,0)),0)</f>
        <v>7974.4000000000005</v>
      </c>
      <c r="Y140" s="9">
        <f>IF($H140&gt;K140, MIN($H140-K140, L140-K140)*INDEX('Key Metrics'!$E$16:$N$19,MATCH($E140,'Key Metrics'!$E$16:$E$19,0),MATCH(Y$1,'Key Metrics'!$E$16:$M$16,0)),0)</f>
        <v>0</v>
      </c>
      <c r="Z140" s="9">
        <f>IF($H140&gt;L140,($H140-L140)*INDEX('Key Metrics'!$E$16:$N$19,MATCH($E140,'Key Metrics'!$E$16:$E$19,0),MATCH(Z$1,'Key Metrics'!$E$16:$M$16,0)),0)</f>
        <v>0</v>
      </c>
      <c r="AA140" s="9">
        <f t="shared" si="28"/>
        <v>89224.4</v>
      </c>
      <c r="AB140" s="9">
        <f t="shared" si="29"/>
        <v>89225.729743999997</v>
      </c>
    </row>
    <row r="141" spans="1:28" x14ac:dyDescent="0.55000000000000004">
      <c r="A141" t="str">
        <f t="shared" si="20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COUNTIF(deals_closed!$D$2:$D$20001,Calculations!B189)</f>
        <v>23</v>
      </c>
      <c r="H141" s="7">
        <f>SUMIF(deals_closed!$D:$D,Calculations!B189,deals_closed!$C:$C)</f>
        <v>831538</v>
      </c>
      <c r="I141" s="5">
        <f>VLOOKUP(E141,'2018_commission_structure'!$A$1:$I$4,9,FALSE)</f>
        <v>500000</v>
      </c>
      <c r="J141" s="9">
        <f t="shared" si="21"/>
        <v>625000</v>
      </c>
      <c r="K141" s="10">
        <f t="shared" si="22"/>
        <v>750000</v>
      </c>
      <c r="L141" s="9">
        <f t="shared" si="23"/>
        <v>1000000</v>
      </c>
      <c r="M141" s="8">
        <f t="shared" si="24"/>
        <v>1.663076</v>
      </c>
      <c r="N141" t="str">
        <f t="shared" si="25"/>
        <v>150-200%</v>
      </c>
      <c r="O141" s="9">
        <f>MIN($H141,$I141)*INDEX('2018_commission_structure'!$A$1:$I$4,MATCH($E141,'2018_commission_structure'!$A$1:$A$4,0),MATCH(O$1,'2018_commission_structure'!$A$1:$I$1,0))</f>
        <v>50000</v>
      </c>
      <c r="P141" s="9">
        <f>IF(H141&gt;I141, MIN(H141-I141, J141-I141)*INDEX('2018_commission_structure'!$A$1:$I$4,MATCH($E141,'2018_commission_structure'!$A$1:$A$4,0),MATCH(P$1,'2018_commission_structure'!$A$1:$I$1,0)),0)</f>
        <v>18750</v>
      </c>
      <c r="Q141" s="9">
        <f>IF($H141&gt;J141, MIN($H141-J141, K141-J141)*INDEX('2018_commission_structure'!$A$1:$I$4,MATCH($E141,'2018_commission_structure'!$A$1:$A$4,0),MATCH(Q$1,'2018_commission_structure'!$A$1:$I$1,0)),0)</f>
        <v>22500</v>
      </c>
      <c r="R141" s="9">
        <f>IF($H141&gt;K141, MIN($H141-K141, L141-K141)*INDEX('2018_commission_structure'!$A$1:$I$4,MATCH($E141,'2018_commission_structure'!$A$1:$A$4,0),MATCH(R$1,'2018_commission_structure'!$A$1:$I$1,0)),0)</f>
        <v>17938.36</v>
      </c>
      <c r="S141" s="9">
        <f>IF(H141&gt;L141,(H141-L141)*INDEX('2018_commission_structure'!$A$1:$I$4,MATCH($E141,'2018_commission_structure'!$A$1:$A$4,0),MATCH(S$1,'2018_commission_structure'!$A$1:$I$1,0)),0)</f>
        <v>0</v>
      </c>
      <c r="T141" s="9">
        <f t="shared" si="26"/>
        <v>109188.36</v>
      </c>
      <c r="U141" s="9">
        <f t="shared" si="27"/>
        <v>167275.35999999999</v>
      </c>
      <c r="V141" s="9">
        <f>MIN($I141,$H141)*INDEX('Key Metrics'!$E$16:$N$19,MATCH($E141,'Key Metrics'!$E$16:$E$19,0),MATCH(V$1,'Key Metrics'!$E$16:$M$16,0))</f>
        <v>60000</v>
      </c>
      <c r="W141" s="9">
        <f>IF($H141&gt;I141, MIN($H141-I141, J141-I141)*INDEX('Key Metrics'!$E$16:$N$19,MATCH($E141,'Key Metrics'!$E$16:$E$19,0),MATCH(W$1,'Key Metrics'!$E$16:$M$16,0)),0)</f>
        <v>21250</v>
      </c>
      <c r="X141" s="9">
        <f>IF($H141&gt;J141, MIN($H141-J141, K141-J141)*INDEX('Key Metrics'!$E$16:$N$19,MATCH($E141,'Key Metrics'!$E$16:$E$19,0),MATCH(X$1,'Key Metrics'!$E$16:$M$16,0)),0)</f>
        <v>25000</v>
      </c>
      <c r="Y141" s="9">
        <f>IF($H141&gt;K141, MIN($H141-K141, L141-K141)*INDEX('Key Metrics'!$E$16:$N$19,MATCH($E141,'Key Metrics'!$E$16:$E$19,0),MATCH(Y$1,'Key Metrics'!$E$16:$M$16,0)),0)</f>
        <v>17938.36</v>
      </c>
      <c r="Z141" s="9">
        <f>IF($H141&gt;L141,($H141-L141)*INDEX('Key Metrics'!$E$16:$N$19,MATCH($E141,'Key Metrics'!$E$16:$E$19,0),MATCH(Z$1,'Key Metrics'!$E$16:$M$16,0)),0)</f>
        <v>0</v>
      </c>
      <c r="AA141" s="9">
        <f t="shared" si="28"/>
        <v>124188.36</v>
      </c>
      <c r="AB141" s="9">
        <f t="shared" si="29"/>
        <v>124190.023076</v>
      </c>
    </row>
    <row r="142" spans="1:28" x14ac:dyDescent="0.55000000000000004">
      <c r="A142" t="str">
        <f t="shared" si="20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COUNTIF(deals_closed!$D$2:$D$20001,Calculations!B671)</f>
        <v>14</v>
      </c>
      <c r="H142" s="7">
        <f>SUMIF(deals_closed!$D:$D,Calculations!B671,deals_closed!$C:$C)</f>
        <v>428435</v>
      </c>
      <c r="I142" s="5">
        <f>VLOOKUP(E142,'2018_commission_structure'!$A$1:$I$4,9,FALSE)</f>
        <v>750000</v>
      </c>
      <c r="J142" s="9">
        <f t="shared" si="21"/>
        <v>937500</v>
      </c>
      <c r="K142" s="10">
        <f t="shared" si="22"/>
        <v>1125000</v>
      </c>
      <c r="L142" s="9">
        <f t="shared" si="23"/>
        <v>1500000</v>
      </c>
      <c r="M142" s="8">
        <f t="shared" si="24"/>
        <v>0.57124666666666668</v>
      </c>
      <c r="N142" t="str">
        <f t="shared" si="25"/>
        <v>0-100%</v>
      </c>
      <c r="O142" s="9">
        <f>MIN($H142,$I142)*INDEX('2018_commission_structure'!$A$1:$I$4,MATCH($E142,'2018_commission_structure'!$A$1:$A$4,0),MATCH(O$1,'2018_commission_structure'!$A$1:$I$1,0))</f>
        <v>64265.25</v>
      </c>
      <c r="P142" s="9">
        <f>IF(H142&gt;I142, MIN(H142-I142, J142-I142)*INDEX('2018_commission_structure'!$A$1:$I$4,MATCH($E142,'2018_commission_structure'!$A$1:$A$4,0),MATCH(P$1,'2018_commission_structure'!$A$1:$I$1,0)),0)</f>
        <v>0</v>
      </c>
      <c r="Q142" s="9">
        <f>IF($H142&gt;J142, MIN($H142-J142, K142-J142)*INDEX('2018_commission_structure'!$A$1:$I$4,MATCH($E142,'2018_commission_structure'!$A$1:$A$4,0),MATCH(Q$1,'2018_commission_structure'!$A$1:$I$1,0)),0)</f>
        <v>0</v>
      </c>
      <c r="R142" s="9">
        <f>IF($H142&gt;K142, MIN($H142-K142, L142-K142)*INDEX('2018_commission_structure'!$A$1:$I$4,MATCH($E142,'2018_commission_structure'!$A$1:$A$4,0),MATCH(R$1,'2018_commission_structure'!$A$1:$I$1,0)),0)</f>
        <v>0</v>
      </c>
      <c r="S142" s="9">
        <f>IF(H142&gt;L142,(H142-L142)*INDEX('2018_commission_structure'!$A$1:$I$4,MATCH($E142,'2018_commission_structure'!$A$1:$A$4,0),MATCH(S$1,'2018_commission_structure'!$A$1:$I$1,0)),0)</f>
        <v>0</v>
      </c>
      <c r="T142" s="9">
        <f t="shared" si="26"/>
        <v>64265.25</v>
      </c>
      <c r="U142" s="9">
        <f t="shared" si="27"/>
        <v>177672.25</v>
      </c>
      <c r="V142" s="9">
        <f>MIN($I142,$H142)*INDEX('Key Metrics'!$E$16:$N$19,MATCH($E142,'Key Metrics'!$E$16:$E$19,0),MATCH(V$1,'Key Metrics'!$E$16:$M$16,0))</f>
        <v>64265.25</v>
      </c>
      <c r="W142" s="9">
        <f>IF($H142&gt;I142, MIN($H142-I142, J142-I142)*INDEX('Key Metrics'!$E$16:$N$19,MATCH($E142,'Key Metrics'!$E$16:$E$19,0),MATCH(W$1,'Key Metrics'!$E$16:$M$16,0)),0)</f>
        <v>0</v>
      </c>
      <c r="X142" s="9">
        <f>IF($H142&gt;J142, MIN($H142-J142, K142-J142)*INDEX('Key Metrics'!$E$16:$N$19,MATCH($E142,'Key Metrics'!$E$16:$E$19,0),MATCH(X$1,'Key Metrics'!$E$16:$M$16,0)),0)</f>
        <v>0</v>
      </c>
      <c r="Y142" s="9">
        <f>IF($H142&gt;K142, MIN($H142-K142, L142-K142)*INDEX('Key Metrics'!$E$16:$N$19,MATCH($E142,'Key Metrics'!$E$16:$E$19,0),MATCH(Y$1,'Key Metrics'!$E$16:$M$16,0)),0)</f>
        <v>0</v>
      </c>
      <c r="Z142" s="9">
        <f>IF($H142&gt;L142,($H142-L142)*INDEX('Key Metrics'!$E$16:$N$19,MATCH($E142,'Key Metrics'!$E$16:$E$19,0),MATCH(Z$1,'Key Metrics'!$E$16:$M$16,0)),0)</f>
        <v>0</v>
      </c>
      <c r="AA142" s="9">
        <f t="shared" si="28"/>
        <v>64265.25</v>
      </c>
      <c r="AB142" s="9">
        <f t="shared" si="29"/>
        <v>64265.821246666666</v>
      </c>
    </row>
    <row r="143" spans="1:28" x14ac:dyDescent="0.55000000000000004">
      <c r="A143" t="str">
        <f t="shared" si="20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COUNTIF(deals_closed!$D$2:$D$20001,Calculations!B822)</f>
        <v>14</v>
      </c>
      <c r="H143" s="7">
        <f>SUMIF(deals_closed!$D:$D,Calculations!B822,deals_closed!$C:$C)</f>
        <v>486361</v>
      </c>
      <c r="I143" s="5">
        <f>VLOOKUP(E143,'2018_commission_structure'!$A$1:$I$4,9,FALSE)</f>
        <v>600000</v>
      </c>
      <c r="J143" s="9">
        <f t="shared" si="21"/>
        <v>750000</v>
      </c>
      <c r="K143" s="10">
        <f t="shared" si="22"/>
        <v>900000</v>
      </c>
      <c r="L143" s="9">
        <f t="shared" si="23"/>
        <v>1200000</v>
      </c>
      <c r="M143" s="8">
        <f t="shared" si="24"/>
        <v>0.81060166666666666</v>
      </c>
      <c r="N143" t="str">
        <f t="shared" si="25"/>
        <v>0-100%</v>
      </c>
      <c r="O143" s="9">
        <f>MIN($H143,$I143)*INDEX('2018_commission_structure'!$A$1:$I$4,MATCH($E143,'2018_commission_structure'!$A$1:$A$4,0),MATCH(O$1,'2018_commission_structure'!$A$1:$I$1,0))</f>
        <v>63226.93</v>
      </c>
      <c r="P143" s="9">
        <f>IF(H143&gt;I143, MIN(H143-I143, J143-I143)*INDEX('2018_commission_structure'!$A$1:$I$4,MATCH($E143,'2018_commission_structure'!$A$1:$A$4,0),MATCH(P$1,'2018_commission_structure'!$A$1:$I$1,0)),0)</f>
        <v>0</v>
      </c>
      <c r="Q143" s="9">
        <f>IF($H143&gt;J143, MIN($H143-J143, K143-J143)*INDEX('2018_commission_structure'!$A$1:$I$4,MATCH($E143,'2018_commission_structure'!$A$1:$A$4,0),MATCH(Q$1,'2018_commission_structure'!$A$1:$I$1,0)),0)</f>
        <v>0</v>
      </c>
      <c r="R143" s="9">
        <f>IF($H143&gt;K143, MIN($H143-K143, L143-K143)*INDEX('2018_commission_structure'!$A$1:$I$4,MATCH($E143,'2018_commission_structure'!$A$1:$A$4,0),MATCH(R$1,'2018_commission_structure'!$A$1:$I$1,0)),0)</f>
        <v>0</v>
      </c>
      <c r="S143" s="9">
        <f>IF(H143&gt;L143,(H143-L143)*INDEX('2018_commission_structure'!$A$1:$I$4,MATCH($E143,'2018_commission_structure'!$A$1:$A$4,0),MATCH(S$1,'2018_commission_structure'!$A$1:$I$1,0)),0)</f>
        <v>0</v>
      </c>
      <c r="T143" s="9">
        <f t="shared" si="26"/>
        <v>63226.93</v>
      </c>
      <c r="U143" s="9">
        <f t="shared" si="27"/>
        <v>139940.93</v>
      </c>
      <c r="V143" s="9">
        <f>MIN($I143,$H143)*INDEX('Key Metrics'!$E$16:$N$19,MATCH($E143,'Key Metrics'!$E$16:$E$19,0),MATCH(V$1,'Key Metrics'!$E$16:$M$16,0))</f>
        <v>72954.149999999994</v>
      </c>
      <c r="W143" s="9">
        <f>IF($H143&gt;I143, MIN($H143-I143, J143-I143)*INDEX('Key Metrics'!$E$16:$N$19,MATCH($E143,'Key Metrics'!$E$16:$E$19,0),MATCH(W$1,'Key Metrics'!$E$16:$M$16,0)),0)</f>
        <v>0</v>
      </c>
      <c r="X143" s="9">
        <f>IF($H143&gt;J143, MIN($H143-J143, K143-J143)*INDEX('Key Metrics'!$E$16:$N$19,MATCH($E143,'Key Metrics'!$E$16:$E$19,0),MATCH(X$1,'Key Metrics'!$E$16:$M$16,0)),0)</f>
        <v>0</v>
      </c>
      <c r="Y143" s="9">
        <f>IF($H143&gt;K143, MIN($H143-K143, L143-K143)*INDEX('Key Metrics'!$E$16:$N$19,MATCH($E143,'Key Metrics'!$E$16:$E$19,0),MATCH(Y$1,'Key Metrics'!$E$16:$M$16,0)),0)</f>
        <v>0</v>
      </c>
      <c r="Z143" s="9">
        <f>IF($H143&gt;L143,($H143-L143)*INDEX('Key Metrics'!$E$16:$N$19,MATCH($E143,'Key Metrics'!$E$16:$E$19,0),MATCH(Z$1,'Key Metrics'!$E$16:$M$16,0)),0)</f>
        <v>0</v>
      </c>
      <c r="AA143" s="9">
        <f t="shared" si="28"/>
        <v>72954.149999999994</v>
      </c>
      <c r="AB143" s="9">
        <f t="shared" si="29"/>
        <v>72954.960601666666</v>
      </c>
    </row>
    <row r="144" spans="1:28" x14ac:dyDescent="0.55000000000000004">
      <c r="A144" t="str">
        <f t="shared" si="20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COUNTIF(deals_closed!$D$2:$D$20001,Calculations!B325)</f>
        <v>20</v>
      </c>
      <c r="H144" s="7">
        <f>SUMIF(deals_closed!$D:$D,Calculations!B325,deals_closed!$C:$C)</f>
        <v>734794</v>
      </c>
      <c r="I144" s="5">
        <f>VLOOKUP(E144,'2018_commission_structure'!$A$1:$I$4,9,FALSE)</f>
        <v>600000</v>
      </c>
      <c r="J144" s="9">
        <f t="shared" si="21"/>
        <v>750000</v>
      </c>
      <c r="K144" s="10">
        <f t="shared" si="22"/>
        <v>900000</v>
      </c>
      <c r="L144" s="9">
        <f t="shared" si="23"/>
        <v>1200000</v>
      </c>
      <c r="M144" s="8">
        <f t="shared" si="24"/>
        <v>1.2246566666666667</v>
      </c>
      <c r="N144" t="str">
        <f t="shared" si="25"/>
        <v>100-125%</v>
      </c>
      <c r="O144" s="9">
        <f>MIN($H144,$I144)*INDEX('2018_commission_structure'!$A$1:$I$4,MATCH($E144,'2018_commission_structure'!$A$1:$A$4,0),MATCH(O$1,'2018_commission_structure'!$A$1:$I$1,0))</f>
        <v>78000</v>
      </c>
      <c r="P144" s="9">
        <f>IF(H144&gt;I144, MIN(H144-I144, J144-I144)*INDEX('2018_commission_structure'!$A$1:$I$4,MATCH($E144,'2018_commission_structure'!$A$1:$A$4,0),MATCH(P$1,'2018_commission_structure'!$A$1:$I$1,0)),0)</f>
        <v>22914.980000000003</v>
      </c>
      <c r="Q144" s="9">
        <f>IF($H144&gt;J144, MIN($H144-J144, K144-J144)*INDEX('2018_commission_structure'!$A$1:$I$4,MATCH($E144,'2018_commission_structure'!$A$1:$A$4,0),MATCH(Q$1,'2018_commission_structure'!$A$1:$I$1,0)),0)</f>
        <v>0</v>
      </c>
      <c r="R144" s="9">
        <f>IF($H144&gt;K144, MIN($H144-K144, L144-K144)*INDEX('2018_commission_structure'!$A$1:$I$4,MATCH($E144,'2018_commission_structure'!$A$1:$A$4,0),MATCH(R$1,'2018_commission_structure'!$A$1:$I$1,0)),0)</f>
        <v>0</v>
      </c>
      <c r="S144" s="9">
        <f>IF(H144&gt;L144,(H144-L144)*INDEX('2018_commission_structure'!$A$1:$I$4,MATCH($E144,'2018_commission_structure'!$A$1:$A$4,0),MATCH(S$1,'2018_commission_structure'!$A$1:$I$1,0)),0)</f>
        <v>0</v>
      </c>
      <c r="T144" s="9">
        <f t="shared" si="26"/>
        <v>100914.98000000001</v>
      </c>
      <c r="U144" s="9">
        <f t="shared" si="27"/>
        <v>160414.98000000001</v>
      </c>
      <c r="V144" s="9">
        <f>MIN($I144,$H144)*INDEX('Key Metrics'!$E$16:$N$19,MATCH($E144,'Key Metrics'!$E$16:$E$19,0),MATCH(V$1,'Key Metrics'!$E$16:$M$16,0))</f>
        <v>90000</v>
      </c>
      <c r="W144" s="9">
        <f>IF($H144&gt;I144, MIN($H144-I144, J144-I144)*INDEX('Key Metrics'!$E$16:$N$19,MATCH($E144,'Key Metrics'!$E$16:$E$19,0),MATCH(W$1,'Key Metrics'!$E$16:$M$16,0)),0)</f>
        <v>24262.92</v>
      </c>
      <c r="X144" s="9">
        <f>IF($H144&gt;J144, MIN($H144-J144, K144-J144)*INDEX('Key Metrics'!$E$16:$N$19,MATCH($E144,'Key Metrics'!$E$16:$E$19,0),MATCH(X$1,'Key Metrics'!$E$16:$M$16,0)),0)</f>
        <v>0</v>
      </c>
      <c r="Y144" s="9">
        <f>IF($H144&gt;K144, MIN($H144-K144, L144-K144)*INDEX('Key Metrics'!$E$16:$N$19,MATCH($E144,'Key Metrics'!$E$16:$E$19,0),MATCH(Y$1,'Key Metrics'!$E$16:$M$16,0)),0)</f>
        <v>0</v>
      </c>
      <c r="Z144" s="9">
        <f>IF($H144&gt;L144,($H144-L144)*INDEX('Key Metrics'!$E$16:$N$19,MATCH($E144,'Key Metrics'!$E$16:$E$19,0),MATCH(Z$1,'Key Metrics'!$E$16:$M$16,0)),0)</f>
        <v>0</v>
      </c>
      <c r="AA144" s="9">
        <f t="shared" si="28"/>
        <v>114262.92</v>
      </c>
      <c r="AB144" s="9">
        <f t="shared" si="29"/>
        <v>114264.14465666667</v>
      </c>
    </row>
    <row r="145" spans="1:28" x14ac:dyDescent="0.55000000000000004">
      <c r="A145" t="str">
        <f t="shared" si="20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COUNTIF(deals_closed!$D$2:$D$20001,Calculations!B738)</f>
        <v>21</v>
      </c>
      <c r="H145" s="7">
        <f>SUMIF(deals_closed!$D:$D,Calculations!B738,deals_closed!$C:$C)</f>
        <v>758216</v>
      </c>
      <c r="I145" s="5">
        <f>VLOOKUP(E145,'2018_commission_structure'!$A$1:$I$4,9,FALSE)</f>
        <v>600000</v>
      </c>
      <c r="J145" s="9">
        <f t="shared" si="21"/>
        <v>750000</v>
      </c>
      <c r="K145" s="10">
        <f t="shared" si="22"/>
        <v>900000</v>
      </c>
      <c r="L145" s="9">
        <f t="shared" si="23"/>
        <v>1200000</v>
      </c>
      <c r="M145" s="8">
        <f t="shared" si="24"/>
        <v>1.2636933333333333</v>
      </c>
      <c r="N145" t="str">
        <f t="shared" si="25"/>
        <v>125-150%</v>
      </c>
      <c r="O145" s="9">
        <f>MIN($H145,$I145)*INDEX('2018_commission_structure'!$A$1:$I$4,MATCH($E145,'2018_commission_structure'!$A$1:$A$4,0),MATCH(O$1,'2018_commission_structure'!$A$1:$I$1,0))</f>
        <v>78000</v>
      </c>
      <c r="P145" s="9">
        <f>IF(H145&gt;I145, MIN(H145-I145, J145-I145)*INDEX('2018_commission_structure'!$A$1:$I$4,MATCH($E145,'2018_commission_structure'!$A$1:$A$4,0),MATCH(P$1,'2018_commission_structure'!$A$1:$I$1,0)),0)</f>
        <v>25500.000000000004</v>
      </c>
      <c r="Q145" s="9">
        <f>IF($H145&gt;J145, MIN($H145-J145, K145-J145)*INDEX('2018_commission_structure'!$A$1:$I$4,MATCH($E145,'2018_commission_structure'!$A$1:$A$4,0),MATCH(Q$1,'2018_commission_structure'!$A$1:$I$1,0)),0)</f>
        <v>1725.36</v>
      </c>
      <c r="R145" s="9">
        <f>IF($H145&gt;K145, MIN($H145-K145, L145-K145)*INDEX('2018_commission_structure'!$A$1:$I$4,MATCH($E145,'2018_commission_structure'!$A$1:$A$4,0),MATCH(R$1,'2018_commission_structure'!$A$1:$I$1,0)),0)</f>
        <v>0</v>
      </c>
      <c r="S145" s="9">
        <f>IF(H145&gt;L145,(H145-L145)*INDEX('2018_commission_structure'!$A$1:$I$4,MATCH($E145,'2018_commission_structure'!$A$1:$A$4,0),MATCH(S$1,'2018_commission_structure'!$A$1:$I$1,0)),0)</f>
        <v>0</v>
      </c>
      <c r="T145" s="9">
        <f t="shared" si="26"/>
        <v>105225.36</v>
      </c>
      <c r="U145" s="9">
        <f t="shared" si="27"/>
        <v>184243.36</v>
      </c>
      <c r="V145" s="9">
        <f>MIN($I145,$H145)*INDEX('Key Metrics'!$E$16:$N$19,MATCH($E145,'Key Metrics'!$E$16:$E$19,0),MATCH(V$1,'Key Metrics'!$E$16:$M$16,0))</f>
        <v>90000</v>
      </c>
      <c r="W145" s="9">
        <f>IF($H145&gt;I145, MIN($H145-I145, J145-I145)*INDEX('Key Metrics'!$E$16:$N$19,MATCH($E145,'Key Metrics'!$E$16:$E$19,0),MATCH(W$1,'Key Metrics'!$E$16:$M$16,0)),0)</f>
        <v>27000</v>
      </c>
      <c r="X145" s="9">
        <f>IF($H145&gt;J145, MIN($H145-J145, K145-J145)*INDEX('Key Metrics'!$E$16:$N$19,MATCH($E145,'Key Metrics'!$E$16:$E$19,0),MATCH(X$1,'Key Metrics'!$E$16:$M$16,0)),0)</f>
        <v>2054</v>
      </c>
      <c r="Y145" s="9">
        <f>IF($H145&gt;K145, MIN($H145-K145, L145-K145)*INDEX('Key Metrics'!$E$16:$N$19,MATCH($E145,'Key Metrics'!$E$16:$E$19,0),MATCH(Y$1,'Key Metrics'!$E$16:$M$16,0)),0)</f>
        <v>0</v>
      </c>
      <c r="Z145" s="9">
        <f>IF($H145&gt;L145,($H145-L145)*INDEX('Key Metrics'!$E$16:$N$19,MATCH($E145,'Key Metrics'!$E$16:$E$19,0),MATCH(Z$1,'Key Metrics'!$E$16:$M$16,0)),0)</f>
        <v>0</v>
      </c>
      <c r="AA145" s="9">
        <f t="shared" si="28"/>
        <v>119054</v>
      </c>
      <c r="AB145" s="9">
        <f t="shared" si="29"/>
        <v>119055.26369333333</v>
      </c>
    </row>
    <row r="146" spans="1:28" x14ac:dyDescent="0.55000000000000004">
      <c r="A146" t="str">
        <f t="shared" si="20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COUNTIF(deals_closed!$D$2:$D$20001,Calculations!B221)</f>
        <v>23</v>
      </c>
      <c r="H146" s="7">
        <f>SUMIF(deals_closed!$D:$D,Calculations!B221,deals_closed!$C:$C)</f>
        <v>854322</v>
      </c>
      <c r="I146" s="5">
        <f>VLOOKUP(E146,'2018_commission_structure'!$A$1:$I$4,9,FALSE)</f>
        <v>500000</v>
      </c>
      <c r="J146" s="9">
        <f t="shared" si="21"/>
        <v>625000</v>
      </c>
      <c r="K146" s="10">
        <f t="shared" si="22"/>
        <v>750000</v>
      </c>
      <c r="L146" s="9">
        <f t="shared" si="23"/>
        <v>1000000</v>
      </c>
      <c r="M146" s="8">
        <f t="shared" si="24"/>
        <v>1.7086440000000001</v>
      </c>
      <c r="N146" t="str">
        <f t="shared" si="25"/>
        <v>150-200%</v>
      </c>
      <c r="O146" s="9">
        <f>MIN($H146,$I146)*INDEX('2018_commission_structure'!$A$1:$I$4,MATCH($E146,'2018_commission_structure'!$A$1:$A$4,0),MATCH(O$1,'2018_commission_structure'!$A$1:$I$1,0))</f>
        <v>50000</v>
      </c>
      <c r="P146" s="9">
        <f>IF(H146&gt;I146, MIN(H146-I146, J146-I146)*INDEX('2018_commission_structure'!$A$1:$I$4,MATCH($E146,'2018_commission_structure'!$A$1:$A$4,0),MATCH(P$1,'2018_commission_structure'!$A$1:$I$1,0)),0)</f>
        <v>18750</v>
      </c>
      <c r="Q146" s="9">
        <f>IF($H146&gt;J146, MIN($H146-J146, K146-J146)*INDEX('2018_commission_structure'!$A$1:$I$4,MATCH($E146,'2018_commission_structure'!$A$1:$A$4,0),MATCH(Q$1,'2018_commission_structure'!$A$1:$I$1,0)),0)</f>
        <v>22500</v>
      </c>
      <c r="R146" s="9">
        <f>IF($H146&gt;K146, MIN($H146-K146, L146-K146)*INDEX('2018_commission_structure'!$A$1:$I$4,MATCH($E146,'2018_commission_structure'!$A$1:$A$4,0),MATCH(R$1,'2018_commission_structure'!$A$1:$I$1,0)),0)</f>
        <v>22950.84</v>
      </c>
      <c r="S146" s="9">
        <f>IF(H146&gt;L146,(H146-L146)*INDEX('2018_commission_structure'!$A$1:$I$4,MATCH($E146,'2018_commission_structure'!$A$1:$A$4,0),MATCH(S$1,'2018_commission_structure'!$A$1:$I$1,0)),0)</f>
        <v>0</v>
      </c>
      <c r="T146" s="9">
        <f t="shared" si="26"/>
        <v>114200.84</v>
      </c>
      <c r="U146" s="9">
        <f t="shared" si="27"/>
        <v>160468.84</v>
      </c>
      <c r="V146" s="9">
        <f>MIN($I146,$H146)*INDEX('Key Metrics'!$E$16:$N$19,MATCH($E146,'Key Metrics'!$E$16:$E$19,0),MATCH(V$1,'Key Metrics'!$E$16:$M$16,0))</f>
        <v>60000</v>
      </c>
      <c r="W146" s="9">
        <f>IF($H146&gt;I146, MIN($H146-I146, J146-I146)*INDEX('Key Metrics'!$E$16:$N$19,MATCH($E146,'Key Metrics'!$E$16:$E$19,0),MATCH(W$1,'Key Metrics'!$E$16:$M$16,0)),0)</f>
        <v>21250</v>
      </c>
      <c r="X146" s="9">
        <f>IF($H146&gt;J146, MIN($H146-J146, K146-J146)*INDEX('Key Metrics'!$E$16:$N$19,MATCH($E146,'Key Metrics'!$E$16:$E$19,0),MATCH(X$1,'Key Metrics'!$E$16:$M$16,0)),0)</f>
        <v>25000</v>
      </c>
      <c r="Y146" s="9">
        <f>IF($H146&gt;K146, MIN($H146-K146, L146-K146)*INDEX('Key Metrics'!$E$16:$N$19,MATCH($E146,'Key Metrics'!$E$16:$E$19,0),MATCH(Y$1,'Key Metrics'!$E$16:$M$16,0)),0)</f>
        <v>22950.84</v>
      </c>
      <c r="Z146" s="9">
        <f>IF($H146&gt;L146,($H146-L146)*INDEX('Key Metrics'!$E$16:$N$19,MATCH($E146,'Key Metrics'!$E$16:$E$19,0),MATCH(Z$1,'Key Metrics'!$E$16:$M$16,0)),0)</f>
        <v>0</v>
      </c>
      <c r="AA146" s="9">
        <f t="shared" si="28"/>
        <v>129200.84</v>
      </c>
      <c r="AB146" s="9">
        <f t="shared" si="29"/>
        <v>129202.54864399999</v>
      </c>
    </row>
    <row r="147" spans="1:28" x14ac:dyDescent="0.55000000000000004">
      <c r="A147" t="str">
        <f t="shared" si="20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COUNTIF(deals_closed!$D$2:$D$20001,Calculations!B520)</f>
        <v>18</v>
      </c>
      <c r="H147" s="7">
        <f>SUMIF(deals_closed!$D:$D,Calculations!B520,deals_closed!$C:$C)</f>
        <v>561077</v>
      </c>
      <c r="I147" s="5">
        <f>VLOOKUP(E147,'2018_commission_structure'!$A$1:$I$4,9,FALSE)</f>
        <v>600000</v>
      </c>
      <c r="J147" s="9">
        <f t="shared" si="21"/>
        <v>750000</v>
      </c>
      <c r="K147" s="10">
        <f t="shared" si="22"/>
        <v>900000</v>
      </c>
      <c r="L147" s="9">
        <f t="shared" si="23"/>
        <v>1200000</v>
      </c>
      <c r="M147" s="8">
        <f t="shared" si="24"/>
        <v>0.93512833333333334</v>
      </c>
      <c r="N147" t="str">
        <f t="shared" si="25"/>
        <v>0-100%</v>
      </c>
      <c r="O147" s="9">
        <f>MIN($H147,$I147)*INDEX('2018_commission_structure'!$A$1:$I$4,MATCH($E147,'2018_commission_structure'!$A$1:$A$4,0),MATCH(O$1,'2018_commission_structure'!$A$1:$I$1,0))</f>
        <v>72940.010000000009</v>
      </c>
      <c r="P147" s="9">
        <f>IF(H147&gt;I147, MIN(H147-I147, J147-I147)*INDEX('2018_commission_structure'!$A$1:$I$4,MATCH($E147,'2018_commission_structure'!$A$1:$A$4,0),MATCH(P$1,'2018_commission_structure'!$A$1:$I$1,0)),0)</f>
        <v>0</v>
      </c>
      <c r="Q147" s="9">
        <f>IF($H147&gt;J147, MIN($H147-J147, K147-J147)*INDEX('2018_commission_structure'!$A$1:$I$4,MATCH($E147,'2018_commission_structure'!$A$1:$A$4,0),MATCH(Q$1,'2018_commission_structure'!$A$1:$I$1,0)),0)</f>
        <v>0</v>
      </c>
      <c r="R147" s="9">
        <f>IF($H147&gt;K147, MIN($H147-K147, L147-K147)*INDEX('2018_commission_structure'!$A$1:$I$4,MATCH($E147,'2018_commission_structure'!$A$1:$A$4,0),MATCH(R$1,'2018_commission_structure'!$A$1:$I$1,0)),0)</f>
        <v>0</v>
      </c>
      <c r="S147" s="9">
        <f>IF(H147&gt;L147,(H147-L147)*INDEX('2018_commission_structure'!$A$1:$I$4,MATCH($E147,'2018_commission_structure'!$A$1:$A$4,0),MATCH(S$1,'2018_commission_structure'!$A$1:$I$1,0)),0)</f>
        <v>0</v>
      </c>
      <c r="T147" s="9">
        <f t="shared" si="26"/>
        <v>72940.010000000009</v>
      </c>
      <c r="U147" s="9">
        <f t="shared" si="27"/>
        <v>136433.01</v>
      </c>
      <c r="V147" s="9">
        <f>MIN($I147,$H147)*INDEX('Key Metrics'!$E$16:$N$19,MATCH($E147,'Key Metrics'!$E$16:$E$19,0),MATCH(V$1,'Key Metrics'!$E$16:$M$16,0))</f>
        <v>84161.55</v>
      </c>
      <c r="W147" s="9">
        <f>IF($H147&gt;I147, MIN($H147-I147, J147-I147)*INDEX('Key Metrics'!$E$16:$N$19,MATCH($E147,'Key Metrics'!$E$16:$E$19,0),MATCH(W$1,'Key Metrics'!$E$16:$M$16,0)),0)</f>
        <v>0</v>
      </c>
      <c r="X147" s="9">
        <f>IF($H147&gt;J147, MIN($H147-J147, K147-J147)*INDEX('Key Metrics'!$E$16:$N$19,MATCH($E147,'Key Metrics'!$E$16:$E$19,0),MATCH(X$1,'Key Metrics'!$E$16:$M$16,0)),0)</f>
        <v>0</v>
      </c>
      <c r="Y147" s="9">
        <f>IF($H147&gt;K147, MIN($H147-K147, L147-K147)*INDEX('Key Metrics'!$E$16:$N$19,MATCH($E147,'Key Metrics'!$E$16:$E$19,0),MATCH(Y$1,'Key Metrics'!$E$16:$M$16,0)),0)</f>
        <v>0</v>
      </c>
      <c r="Z147" s="9">
        <f>IF($H147&gt;L147,($H147-L147)*INDEX('Key Metrics'!$E$16:$N$19,MATCH($E147,'Key Metrics'!$E$16:$E$19,0),MATCH(Z$1,'Key Metrics'!$E$16:$M$16,0)),0)</f>
        <v>0</v>
      </c>
      <c r="AA147" s="9">
        <f t="shared" si="28"/>
        <v>84161.55</v>
      </c>
      <c r="AB147" s="9">
        <f t="shared" si="29"/>
        <v>84162.485128333341</v>
      </c>
    </row>
    <row r="148" spans="1:28" x14ac:dyDescent="0.55000000000000004">
      <c r="A148" t="str">
        <f t="shared" si="20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COUNTIF(deals_closed!$D$2:$D$20001,Calculations!B841)</f>
        <v>18</v>
      </c>
      <c r="H148" s="7">
        <f>SUMIF(deals_closed!$D:$D,Calculations!B841,deals_closed!$C:$C)</f>
        <v>732828</v>
      </c>
      <c r="I148" s="5">
        <f>VLOOKUP(E148,'2018_commission_structure'!$A$1:$I$4,9,FALSE)</f>
        <v>500000</v>
      </c>
      <c r="J148" s="9">
        <f t="shared" si="21"/>
        <v>625000</v>
      </c>
      <c r="K148" s="10">
        <f t="shared" si="22"/>
        <v>750000</v>
      </c>
      <c r="L148" s="9">
        <f t="shared" si="23"/>
        <v>1000000</v>
      </c>
      <c r="M148" s="8">
        <f t="shared" si="24"/>
        <v>1.4656560000000001</v>
      </c>
      <c r="N148" t="str">
        <f t="shared" si="25"/>
        <v>125-150%</v>
      </c>
      <c r="O148" s="9">
        <f>MIN($H148,$I148)*INDEX('2018_commission_structure'!$A$1:$I$4,MATCH($E148,'2018_commission_structure'!$A$1:$A$4,0),MATCH(O$1,'2018_commission_structure'!$A$1:$I$1,0))</f>
        <v>50000</v>
      </c>
      <c r="P148" s="9">
        <f>IF(H148&gt;I148, MIN(H148-I148, J148-I148)*INDEX('2018_commission_structure'!$A$1:$I$4,MATCH($E148,'2018_commission_structure'!$A$1:$A$4,0),MATCH(P$1,'2018_commission_structure'!$A$1:$I$1,0)),0)</f>
        <v>18750</v>
      </c>
      <c r="Q148" s="9">
        <f>IF($H148&gt;J148, MIN($H148-J148, K148-J148)*INDEX('2018_commission_structure'!$A$1:$I$4,MATCH($E148,'2018_commission_structure'!$A$1:$A$4,0),MATCH(Q$1,'2018_commission_structure'!$A$1:$I$1,0)),0)</f>
        <v>19409.04</v>
      </c>
      <c r="R148" s="9">
        <f>IF($H148&gt;K148, MIN($H148-K148, L148-K148)*INDEX('2018_commission_structure'!$A$1:$I$4,MATCH($E148,'2018_commission_structure'!$A$1:$A$4,0),MATCH(R$1,'2018_commission_structure'!$A$1:$I$1,0)),0)</f>
        <v>0</v>
      </c>
      <c r="S148" s="9">
        <f>IF(H148&gt;L148,(H148-L148)*INDEX('2018_commission_structure'!$A$1:$I$4,MATCH($E148,'2018_commission_structure'!$A$1:$A$4,0),MATCH(S$1,'2018_commission_structure'!$A$1:$I$1,0)),0)</f>
        <v>0</v>
      </c>
      <c r="T148" s="9">
        <f t="shared" si="26"/>
        <v>88159.040000000008</v>
      </c>
      <c r="U148" s="9">
        <f t="shared" si="27"/>
        <v>133420.04</v>
      </c>
      <c r="V148" s="9">
        <f>MIN($I148,$H148)*INDEX('Key Metrics'!$E$16:$N$19,MATCH($E148,'Key Metrics'!$E$16:$E$19,0),MATCH(V$1,'Key Metrics'!$E$16:$M$16,0))</f>
        <v>60000</v>
      </c>
      <c r="W148" s="9">
        <f>IF($H148&gt;I148, MIN($H148-I148, J148-I148)*INDEX('Key Metrics'!$E$16:$N$19,MATCH($E148,'Key Metrics'!$E$16:$E$19,0),MATCH(W$1,'Key Metrics'!$E$16:$M$16,0)),0)</f>
        <v>21250</v>
      </c>
      <c r="X148" s="9">
        <f>IF($H148&gt;J148, MIN($H148-J148, K148-J148)*INDEX('Key Metrics'!$E$16:$N$19,MATCH($E148,'Key Metrics'!$E$16:$E$19,0),MATCH(X$1,'Key Metrics'!$E$16:$M$16,0)),0)</f>
        <v>21565.600000000002</v>
      </c>
      <c r="Y148" s="9">
        <f>IF($H148&gt;K148, MIN($H148-K148, L148-K148)*INDEX('Key Metrics'!$E$16:$N$19,MATCH($E148,'Key Metrics'!$E$16:$E$19,0),MATCH(Y$1,'Key Metrics'!$E$16:$M$16,0)),0)</f>
        <v>0</v>
      </c>
      <c r="Z148" s="9">
        <f>IF($H148&gt;L148,($H148-L148)*INDEX('Key Metrics'!$E$16:$N$19,MATCH($E148,'Key Metrics'!$E$16:$E$19,0),MATCH(Z$1,'Key Metrics'!$E$16:$M$16,0)),0)</f>
        <v>0</v>
      </c>
      <c r="AA148" s="9">
        <f t="shared" si="28"/>
        <v>102815.6</v>
      </c>
      <c r="AB148" s="9">
        <f t="shared" si="29"/>
        <v>102817.06565600001</v>
      </c>
    </row>
    <row r="149" spans="1:28" x14ac:dyDescent="0.55000000000000004">
      <c r="A149" t="str">
        <f t="shared" si="20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COUNTIF(deals_closed!$D$2:$D$20001,Calculations!B807)</f>
        <v>22</v>
      </c>
      <c r="H149" s="7">
        <f>SUMIF(deals_closed!$D:$D,Calculations!B807,deals_closed!$C:$C)</f>
        <v>810883</v>
      </c>
      <c r="I149" s="5">
        <f>VLOOKUP(E149,'2018_commission_structure'!$A$1:$I$4,9,FALSE)</f>
        <v>750000</v>
      </c>
      <c r="J149" s="9">
        <f t="shared" si="21"/>
        <v>937500</v>
      </c>
      <c r="K149" s="10">
        <f t="shared" si="22"/>
        <v>1125000</v>
      </c>
      <c r="L149" s="9">
        <f t="shared" si="23"/>
        <v>1500000</v>
      </c>
      <c r="M149" s="8">
        <f t="shared" si="24"/>
        <v>1.0811773333333334</v>
      </c>
      <c r="N149" t="str">
        <f t="shared" si="25"/>
        <v>100-125%</v>
      </c>
      <c r="O149" s="9">
        <f>MIN($H149,$I149)*INDEX('2018_commission_structure'!$A$1:$I$4,MATCH($E149,'2018_commission_structure'!$A$1:$A$4,0),MATCH(O$1,'2018_commission_structure'!$A$1:$I$1,0))</f>
        <v>112500</v>
      </c>
      <c r="P149" s="9">
        <f>IF(H149&gt;I149, MIN(H149-I149, J149-I149)*INDEX('2018_commission_structure'!$A$1:$I$4,MATCH($E149,'2018_commission_structure'!$A$1:$A$4,0),MATCH(P$1,'2018_commission_structure'!$A$1:$I$1,0)),0)</f>
        <v>11567.77</v>
      </c>
      <c r="Q149" s="9">
        <f>IF($H149&gt;J149, MIN($H149-J149, K149-J149)*INDEX('2018_commission_structure'!$A$1:$I$4,MATCH($E149,'2018_commission_structure'!$A$1:$A$4,0),MATCH(Q$1,'2018_commission_structure'!$A$1:$I$1,0)),0)</f>
        <v>0</v>
      </c>
      <c r="R149" s="9">
        <f>IF($H149&gt;K149, MIN($H149-K149, L149-K149)*INDEX('2018_commission_structure'!$A$1:$I$4,MATCH($E149,'2018_commission_structure'!$A$1:$A$4,0),MATCH(R$1,'2018_commission_structure'!$A$1:$I$1,0)),0)</f>
        <v>0</v>
      </c>
      <c r="S149" s="9">
        <f>IF(H149&gt;L149,(H149-L149)*INDEX('2018_commission_structure'!$A$1:$I$4,MATCH($E149,'2018_commission_structure'!$A$1:$A$4,0),MATCH(S$1,'2018_commission_structure'!$A$1:$I$1,0)),0)</f>
        <v>0</v>
      </c>
      <c r="T149" s="9">
        <f t="shared" si="26"/>
        <v>124067.77</v>
      </c>
      <c r="U149" s="9">
        <f t="shared" si="27"/>
        <v>247167.77000000002</v>
      </c>
      <c r="V149" s="9">
        <f>MIN($I149,$H149)*INDEX('Key Metrics'!$E$16:$N$19,MATCH($E149,'Key Metrics'!$E$16:$E$19,0),MATCH(V$1,'Key Metrics'!$E$16:$M$16,0))</f>
        <v>112500</v>
      </c>
      <c r="W149" s="9">
        <f>IF($H149&gt;I149, MIN($H149-I149, J149-I149)*INDEX('Key Metrics'!$E$16:$N$19,MATCH($E149,'Key Metrics'!$E$16:$E$19,0),MATCH(W$1,'Key Metrics'!$E$16:$M$16,0)),0)</f>
        <v>13394.26</v>
      </c>
      <c r="X149" s="9">
        <f>IF($H149&gt;J149, MIN($H149-J149, K149-J149)*INDEX('Key Metrics'!$E$16:$N$19,MATCH($E149,'Key Metrics'!$E$16:$E$19,0),MATCH(X$1,'Key Metrics'!$E$16:$M$16,0)),0)</f>
        <v>0</v>
      </c>
      <c r="Y149" s="9">
        <f>IF($H149&gt;K149, MIN($H149-K149, L149-K149)*INDEX('Key Metrics'!$E$16:$N$19,MATCH($E149,'Key Metrics'!$E$16:$E$19,0),MATCH(Y$1,'Key Metrics'!$E$16:$M$16,0)),0)</f>
        <v>0</v>
      </c>
      <c r="Z149" s="9">
        <f>IF($H149&gt;L149,($H149-L149)*INDEX('Key Metrics'!$E$16:$N$19,MATCH($E149,'Key Metrics'!$E$16:$E$19,0),MATCH(Z$1,'Key Metrics'!$E$16:$M$16,0)),0)</f>
        <v>0</v>
      </c>
      <c r="AA149" s="9">
        <f t="shared" si="28"/>
        <v>125894.26</v>
      </c>
      <c r="AB149" s="9">
        <f t="shared" si="29"/>
        <v>125895.34117733332</v>
      </c>
    </row>
    <row r="150" spans="1:28" x14ac:dyDescent="0.55000000000000004">
      <c r="A150" t="str">
        <f t="shared" si="20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COUNTIF(deals_closed!$D$2:$D$20001,Calculations!B217)</f>
        <v>17</v>
      </c>
      <c r="H150" s="7">
        <f>SUMIF(deals_closed!$D:$D,Calculations!B217,deals_closed!$C:$C)</f>
        <v>637475</v>
      </c>
      <c r="I150" s="5">
        <f>VLOOKUP(E150,'2018_commission_structure'!$A$1:$I$4,9,FALSE)</f>
        <v>600000</v>
      </c>
      <c r="J150" s="9">
        <f t="shared" si="21"/>
        <v>750000</v>
      </c>
      <c r="K150" s="10">
        <f t="shared" si="22"/>
        <v>900000</v>
      </c>
      <c r="L150" s="9">
        <f t="shared" si="23"/>
        <v>1200000</v>
      </c>
      <c r="M150" s="8">
        <f t="shared" si="24"/>
        <v>1.0624583333333333</v>
      </c>
      <c r="N150" t="str">
        <f t="shared" si="25"/>
        <v>100-125%</v>
      </c>
      <c r="O150" s="9">
        <f>MIN($H150,$I150)*INDEX('2018_commission_structure'!$A$1:$I$4,MATCH($E150,'2018_commission_structure'!$A$1:$A$4,0),MATCH(O$1,'2018_commission_structure'!$A$1:$I$1,0))</f>
        <v>78000</v>
      </c>
      <c r="P150" s="9">
        <f>IF(H150&gt;I150, MIN(H150-I150, J150-I150)*INDEX('2018_commission_structure'!$A$1:$I$4,MATCH($E150,'2018_commission_structure'!$A$1:$A$4,0),MATCH(P$1,'2018_commission_structure'!$A$1:$I$1,0)),0)</f>
        <v>6370.7500000000009</v>
      </c>
      <c r="Q150" s="9">
        <f>IF($H150&gt;J150, MIN($H150-J150, K150-J150)*INDEX('2018_commission_structure'!$A$1:$I$4,MATCH($E150,'2018_commission_structure'!$A$1:$A$4,0),MATCH(Q$1,'2018_commission_structure'!$A$1:$I$1,0)),0)</f>
        <v>0</v>
      </c>
      <c r="R150" s="9">
        <f>IF($H150&gt;K150, MIN($H150-K150, L150-K150)*INDEX('2018_commission_structure'!$A$1:$I$4,MATCH($E150,'2018_commission_structure'!$A$1:$A$4,0),MATCH(R$1,'2018_commission_structure'!$A$1:$I$1,0)),0)</f>
        <v>0</v>
      </c>
      <c r="S150" s="9">
        <f>IF(H150&gt;L150,(H150-L150)*INDEX('2018_commission_structure'!$A$1:$I$4,MATCH($E150,'2018_commission_structure'!$A$1:$A$4,0),MATCH(S$1,'2018_commission_structure'!$A$1:$I$1,0)),0)</f>
        <v>0</v>
      </c>
      <c r="T150" s="9">
        <f t="shared" si="26"/>
        <v>84370.75</v>
      </c>
      <c r="U150" s="9">
        <f t="shared" si="27"/>
        <v>139092.75</v>
      </c>
      <c r="V150" s="9">
        <f>MIN($I150,$H150)*INDEX('Key Metrics'!$E$16:$N$19,MATCH($E150,'Key Metrics'!$E$16:$E$19,0),MATCH(V$1,'Key Metrics'!$E$16:$M$16,0))</f>
        <v>90000</v>
      </c>
      <c r="W150" s="9">
        <f>IF($H150&gt;I150, MIN($H150-I150, J150-I150)*INDEX('Key Metrics'!$E$16:$N$19,MATCH($E150,'Key Metrics'!$E$16:$E$19,0),MATCH(W$1,'Key Metrics'!$E$16:$M$16,0)),0)</f>
        <v>6745.5</v>
      </c>
      <c r="X150" s="9">
        <f>IF($H150&gt;J150, MIN($H150-J150, K150-J150)*INDEX('Key Metrics'!$E$16:$N$19,MATCH($E150,'Key Metrics'!$E$16:$E$19,0),MATCH(X$1,'Key Metrics'!$E$16:$M$16,0)),0)</f>
        <v>0</v>
      </c>
      <c r="Y150" s="9">
        <f>IF($H150&gt;K150, MIN($H150-K150, L150-K150)*INDEX('Key Metrics'!$E$16:$N$19,MATCH($E150,'Key Metrics'!$E$16:$E$19,0),MATCH(Y$1,'Key Metrics'!$E$16:$M$16,0)),0)</f>
        <v>0</v>
      </c>
      <c r="Z150" s="9">
        <f>IF($H150&gt;L150,($H150-L150)*INDEX('Key Metrics'!$E$16:$N$19,MATCH($E150,'Key Metrics'!$E$16:$E$19,0),MATCH(Z$1,'Key Metrics'!$E$16:$M$16,0)),0)</f>
        <v>0</v>
      </c>
      <c r="AA150" s="9">
        <f t="shared" si="28"/>
        <v>96745.5</v>
      </c>
      <c r="AB150" s="9">
        <f t="shared" si="29"/>
        <v>96746.562458333327</v>
      </c>
    </row>
    <row r="151" spans="1:28" x14ac:dyDescent="0.55000000000000004">
      <c r="A151" t="str">
        <f t="shared" si="20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COUNTIF(deals_closed!$D$2:$D$20001,Calculations!B976)</f>
        <v>26</v>
      </c>
      <c r="H151" s="7">
        <f>SUMIF(deals_closed!$D:$D,Calculations!B976,deals_closed!$C:$C)</f>
        <v>951577</v>
      </c>
      <c r="I151" s="5">
        <f>VLOOKUP(E151,'2018_commission_structure'!$A$1:$I$4,9,FALSE)</f>
        <v>600000</v>
      </c>
      <c r="J151" s="9">
        <f t="shared" si="21"/>
        <v>750000</v>
      </c>
      <c r="K151" s="10">
        <f t="shared" si="22"/>
        <v>900000</v>
      </c>
      <c r="L151" s="9">
        <f t="shared" si="23"/>
        <v>1200000</v>
      </c>
      <c r="M151" s="8">
        <f t="shared" si="24"/>
        <v>1.5859616666666667</v>
      </c>
      <c r="N151" t="str">
        <f t="shared" si="25"/>
        <v>150-200%</v>
      </c>
      <c r="O151" s="9">
        <f>MIN($H151,$I151)*INDEX('2018_commission_structure'!$A$1:$I$4,MATCH($E151,'2018_commission_structure'!$A$1:$A$4,0),MATCH(O$1,'2018_commission_structure'!$A$1:$I$1,0))</f>
        <v>78000</v>
      </c>
      <c r="P151" s="9">
        <f>IF(H151&gt;I151, MIN(H151-I151, J151-I151)*INDEX('2018_commission_structure'!$A$1:$I$4,MATCH($E151,'2018_commission_structure'!$A$1:$A$4,0),MATCH(P$1,'2018_commission_structure'!$A$1:$I$1,0)),0)</f>
        <v>25500.000000000004</v>
      </c>
      <c r="Q151" s="9">
        <f>IF($H151&gt;J151, MIN($H151-J151, K151-J151)*INDEX('2018_commission_structure'!$A$1:$I$4,MATCH($E151,'2018_commission_structure'!$A$1:$A$4,0),MATCH(Q$1,'2018_commission_structure'!$A$1:$I$1,0)),0)</f>
        <v>31500</v>
      </c>
      <c r="R151" s="9">
        <f>IF($H151&gt;K151, MIN($H151-K151, L151-K151)*INDEX('2018_commission_structure'!$A$1:$I$4,MATCH($E151,'2018_commission_structure'!$A$1:$A$4,0),MATCH(R$1,'2018_commission_structure'!$A$1:$I$1,0)),0)</f>
        <v>13410.02</v>
      </c>
      <c r="S151" s="9">
        <f>IF(H151&gt;L151,(H151-L151)*INDEX('2018_commission_structure'!$A$1:$I$4,MATCH($E151,'2018_commission_structure'!$A$1:$A$4,0),MATCH(S$1,'2018_commission_structure'!$A$1:$I$1,0)),0)</f>
        <v>0</v>
      </c>
      <c r="T151" s="9">
        <f t="shared" si="26"/>
        <v>148410.01999999999</v>
      </c>
      <c r="U151" s="9">
        <f t="shared" si="27"/>
        <v>225465.02</v>
      </c>
      <c r="V151" s="9">
        <f>MIN($I151,$H151)*INDEX('Key Metrics'!$E$16:$N$19,MATCH($E151,'Key Metrics'!$E$16:$E$19,0),MATCH(V$1,'Key Metrics'!$E$16:$M$16,0))</f>
        <v>90000</v>
      </c>
      <c r="W151" s="9">
        <f>IF($H151&gt;I151, MIN($H151-I151, J151-I151)*INDEX('Key Metrics'!$E$16:$N$19,MATCH($E151,'Key Metrics'!$E$16:$E$19,0),MATCH(W$1,'Key Metrics'!$E$16:$M$16,0)),0)</f>
        <v>27000</v>
      </c>
      <c r="X151" s="9">
        <f>IF($H151&gt;J151, MIN($H151-J151, K151-J151)*INDEX('Key Metrics'!$E$16:$N$19,MATCH($E151,'Key Metrics'!$E$16:$E$19,0),MATCH(X$1,'Key Metrics'!$E$16:$M$16,0)),0)</f>
        <v>37500</v>
      </c>
      <c r="Y151" s="9">
        <f>IF($H151&gt;K151, MIN($H151-K151, L151-K151)*INDEX('Key Metrics'!$E$16:$N$19,MATCH($E151,'Key Metrics'!$E$16:$E$19,0),MATCH(Y$1,'Key Metrics'!$E$16:$M$16,0)),0)</f>
        <v>15473.099999999999</v>
      </c>
      <c r="Z151" s="9">
        <f>IF($H151&gt;L151,($H151-L151)*INDEX('Key Metrics'!$E$16:$N$19,MATCH($E151,'Key Metrics'!$E$16:$E$19,0),MATCH(Z$1,'Key Metrics'!$E$16:$M$16,0)),0)</f>
        <v>0</v>
      </c>
      <c r="AA151" s="9">
        <f t="shared" si="28"/>
        <v>169973.1</v>
      </c>
      <c r="AB151" s="9">
        <f t="shared" si="29"/>
        <v>169974.68596166666</v>
      </c>
    </row>
    <row r="152" spans="1:28" x14ac:dyDescent="0.55000000000000004">
      <c r="A152" t="str">
        <f t="shared" si="20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COUNTIF(deals_closed!$D$2:$D$20001,Calculations!B940)</f>
        <v>18</v>
      </c>
      <c r="H152" s="7">
        <f>SUMIF(deals_closed!$D:$D,Calculations!B940,deals_closed!$C:$C)</f>
        <v>696628</v>
      </c>
      <c r="I152" s="5">
        <f>VLOOKUP(E152,'2018_commission_structure'!$A$1:$I$4,9,FALSE)</f>
        <v>500000</v>
      </c>
      <c r="J152" s="9">
        <f t="shared" si="21"/>
        <v>625000</v>
      </c>
      <c r="K152" s="10">
        <f t="shared" si="22"/>
        <v>750000</v>
      </c>
      <c r="L152" s="9">
        <f t="shared" si="23"/>
        <v>1000000</v>
      </c>
      <c r="M152" s="8">
        <f t="shared" si="24"/>
        <v>1.393256</v>
      </c>
      <c r="N152" t="str">
        <f t="shared" si="25"/>
        <v>125-150%</v>
      </c>
      <c r="O152" s="9">
        <f>MIN($H152,$I152)*INDEX('2018_commission_structure'!$A$1:$I$4,MATCH($E152,'2018_commission_structure'!$A$1:$A$4,0),MATCH(O$1,'2018_commission_structure'!$A$1:$I$1,0))</f>
        <v>50000</v>
      </c>
      <c r="P152" s="9">
        <f>IF(H152&gt;I152, MIN(H152-I152, J152-I152)*INDEX('2018_commission_structure'!$A$1:$I$4,MATCH($E152,'2018_commission_structure'!$A$1:$A$4,0),MATCH(P$1,'2018_commission_structure'!$A$1:$I$1,0)),0)</f>
        <v>18750</v>
      </c>
      <c r="Q152" s="9">
        <f>IF($H152&gt;J152, MIN($H152-J152, K152-J152)*INDEX('2018_commission_structure'!$A$1:$I$4,MATCH($E152,'2018_commission_structure'!$A$1:$A$4,0),MATCH(Q$1,'2018_commission_structure'!$A$1:$I$1,0)),0)</f>
        <v>12893.039999999999</v>
      </c>
      <c r="R152" s="9">
        <f>IF($H152&gt;K152, MIN($H152-K152, L152-K152)*INDEX('2018_commission_structure'!$A$1:$I$4,MATCH($E152,'2018_commission_structure'!$A$1:$A$4,0),MATCH(R$1,'2018_commission_structure'!$A$1:$I$1,0)),0)</f>
        <v>0</v>
      </c>
      <c r="S152" s="9">
        <f>IF(H152&gt;L152,(H152-L152)*INDEX('2018_commission_structure'!$A$1:$I$4,MATCH($E152,'2018_commission_structure'!$A$1:$A$4,0),MATCH(S$1,'2018_commission_structure'!$A$1:$I$1,0)),0)</f>
        <v>0</v>
      </c>
      <c r="T152" s="9">
        <f t="shared" si="26"/>
        <v>81643.039999999994</v>
      </c>
      <c r="U152" s="9">
        <f t="shared" si="27"/>
        <v>141231.03999999998</v>
      </c>
      <c r="V152" s="9">
        <f>MIN($I152,$H152)*INDEX('Key Metrics'!$E$16:$N$19,MATCH($E152,'Key Metrics'!$E$16:$E$19,0),MATCH(V$1,'Key Metrics'!$E$16:$M$16,0))</f>
        <v>60000</v>
      </c>
      <c r="W152" s="9">
        <f>IF($H152&gt;I152, MIN($H152-I152, J152-I152)*INDEX('Key Metrics'!$E$16:$N$19,MATCH($E152,'Key Metrics'!$E$16:$E$19,0),MATCH(W$1,'Key Metrics'!$E$16:$M$16,0)),0)</f>
        <v>21250</v>
      </c>
      <c r="X152" s="9">
        <f>IF($H152&gt;J152, MIN($H152-J152, K152-J152)*INDEX('Key Metrics'!$E$16:$N$19,MATCH($E152,'Key Metrics'!$E$16:$E$19,0),MATCH(X$1,'Key Metrics'!$E$16:$M$16,0)),0)</f>
        <v>14325.6</v>
      </c>
      <c r="Y152" s="9">
        <f>IF($H152&gt;K152, MIN($H152-K152, L152-K152)*INDEX('Key Metrics'!$E$16:$N$19,MATCH($E152,'Key Metrics'!$E$16:$E$19,0),MATCH(Y$1,'Key Metrics'!$E$16:$M$16,0)),0)</f>
        <v>0</v>
      </c>
      <c r="Z152" s="9">
        <f>IF($H152&gt;L152,($H152-L152)*INDEX('Key Metrics'!$E$16:$N$19,MATCH($E152,'Key Metrics'!$E$16:$E$19,0),MATCH(Z$1,'Key Metrics'!$E$16:$M$16,0)),0)</f>
        <v>0</v>
      </c>
      <c r="AA152" s="9">
        <f t="shared" si="28"/>
        <v>95575.6</v>
      </c>
      <c r="AB152" s="9">
        <f t="shared" si="29"/>
        <v>95576.993256000002</v>
      </c>
    </row>
    <row r="153" spans="1:28" x14ac:dyDescent="0.55000000000000004">
      <c r="A153" t="str">
        <f t="shared" si="20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COUNTIF(deals_closed!$D$2:$D$20001,Calculations!B681)</f>
        <v>13</v>
      </c>
      <c r="H153" s="7">
        <f>SUMIF(deals_closed!$D:$D,Calculations!B681,deals_closed!$C:$C)</f>
        <v>577150</v>
      </c>
      <c r="I153" s="5">
        <f>VLOOKUP(E153,'2018_commission_structure'!$A$1:$I$4,9,FALSE)</f>
        <v>750000</v>
      </c>
      <c r="J153" s="9">
        <f t="shared" si="21"/>
        <v>937500</v>
      </c>
      <c r="K153" s="10">
        <f t="shared" si="22"/>
        <v>1125000</v>
      </c>
      <c r="L153" s="9">
        <f t="shared" si="23"/>
        <v>1500000</v>
      </c>
      <c r="M153" s="8">
        <f t="shared" si="24"/>
        <v>0.76953333333333329</v>
      </c>
      <c r="N153" t="str">
        <f t="shared" si="25"/>
        <v>0-100%</v>
      </c>
      <c r="O153" s="9">
        <f>MIN($H153,$I153)*INDEX('2018_commission_structure'!$A$1:$I$4,MATCH($E153,'2018_commission_structure'!$A$1:$A$4,0),MATCH(O$1,'2018_commission_structure'!$A$1:$I$1,0))</f>
        <v>86572.5</v>
      </c>
      <c r="P153" s="9">
        <f>IF(H153&gt;I153, MIN(H153-I153, J153-I153)*INDEX('2018_commission_structure'!$A$1:$I$4,MATCH($E153,'2018_commission_structure'!$A$1:$A$4,0),MATCH(P$1,'2018_commission_structure'!$A$1:$I$1,0)),0)</f>
        <v>0</v>
      </c>
      <c r="Q153" s="9">
        <f>IF($H153&gt;J153, MIN($H153-J153, K153-J153)*INDEX('2018_commission_structure'!$A$1:$I$4,MATCH($E153,'2018_commission_structure'!$A$1:$A$4,0),MATCH(Q$1,'2018_commission_structure'!$A$1:$I$1,0)),0)</f>
        <v>0</v>
      </c>
      <c r="R153" s="9">
        <f>IF($H153&gt;K153, MIN($H153-K153, L153-K153)*INDEX('2018_commission_structure'!$A$1:$I$4,MATCH($E153,'2018_commission_structure'!$A$1:$A$4,0),MATCH(R$1,'2018_commission_structure'!$A$1:$I$1,0)),0)</f>
        <v>0</v>
      </c>
      <c r="S153" s="9">
        <f>IF(H153&gt;L153,(H153-L153)*INDEX('2018_commission_structure'!$A$1:$I$4,MATCH($E153,'2018_commission_structure'!$A$1:$A$4,0),MATCH(S$1,'2018_commission_structure'!$A$1:$I$1,0)),0)</f>
        <v>0</v>
      </c>
      <c r="T153" s="9">
        <f t="shared" si="26"/>
        <v>86572.5</v>
      </c>
      <c r="U153" s="9">
        <f t="shared" si="27"/>
        <v>172188.5</v>
      </c>
      <c r="V153" s="9">
        <f>MIN($I153,$H153)*INDEX('Key Metrics'!$E$16:$N$19,MATCH($E153,'Key Metrics'!$E$16:$E$19,0),MATCH(V$1,'Key Metrics'!$E$16:$M$16,0))</f>
        <v>86572.5</v>
      </c>
      <c r="W153" s="9">
        <f>IF($H153&gt;I153, MIN($H153-I153, J153-I153)*INDEX('Key Metrics'!$E$16:$N$19,MATCH($E153,'Key Metrics'!$E$16:$E$19,0),MATCH(W$1,'Key Metrics'!$E$16:$M$16,0)),0)</f>
        <v>0</v>
      </c>
      <c r="X153" s="9">
        <f>IF($H153&gt;J153, MIN($H153-J153, K153-J153)*INDEX('Key Metrics'!$E$16:$N$19,MATCH($E153,'Key Metrics'!$E$16:$E$19,0),MATCH(X$1,'Key Metrics'!$E$16:$M$16,0)),0)</f>
        <v>0</v>
      </c>
      <c r="Y153" s="9">
        <f>IF($H153&gt;K153, MIN($H153-K153, L153-K153)*INDEX('Key Metrics'!$E$16:$N$19,MATCH($E153,'Key Metrics'!$E$16:$E$19,0),MATCH(Y$1,'Key Metrics'!$E$16:$M$16,0)),0)</f>
        <v>0</v>
      </c>
      <c r="Z153" s="9">
        <f>IF($H153&gt;L153,($H153-L153)*INDEX('Key Metrics'!$E$16:$N$19,MATCH($E153,'Key Metrics'!$E$16:$E$19,0),MATCH(Z$1,'Key Metrics'!$E$16:$M$16,0)),0)</f>
        <v>0</v>
      </c>
      <c r="AA153" s="9">
        <f t="shared" si="28"/>
        <v>86572.5</v>
      </c>
      <c r="AB153" s="9">
        <f t="shared" si="29"/>
        <v>86573.269533333339</v>
      </c>
    </row>
    <row r="154" spans="1:28" x14ac:dyDescent="0.55000000000000004">
      <c r="A154" t="str">
        <f t="shared" si="20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COUNTIF(deals_closed!$D$2:$D$20001,Calculations!B51)</f>
        <v>23</v>
      </c>
      <c r="H154" s="7">
        <f>SUMIF(deals_closed!$D:$D,Calculations!B51,deals_closed!$C:$C)</f>
        <v>816810</v>
      </c>
      <c r="I154" s="5">
        <f>VLOOKUP(E154,'2018_commission_structure'!$A$1:$I$4,9,FALSE)</f>
        <v>600000</v>
      </c>
      <c r="J154" s="9">
        <f t="shared" si="21"/>
        <v>750000</v>
      </c>
      <c r="K154" s="10">
        <f t="shared" si="22"/>
        <v>900000</v>
      </c>
      <c r="L154" s="9">
        <f t="shared" si="23"/>
        <v>1200000</v>
      </c>
      <c r="M154" s="8">
        <f t="shared" si="24"/>
        <v>1.3613500000000001</v>
      </c>
      <c r="N154" t="str">
        <f t="shared" si="25"/>
        <v>125-150%</v>
      </c>
      <c r="O154" s="9">
        <f>MIN($H154,$I154)*INDEX('2018_commission_structure'!$A$1:$I$4,MATCH($E154,'2018_commission_structure'!$A$1:$A$4,0),MATCH(O$1,'2018_commission_structure'!$A$1:$I$1,0))</f>
        <v>78000</v>
      </c>
      <c r="P154" s="9">
        <f>IF(H154&gt;I154, MIN(H154-I154, J154-I154)*INDEX('2018_commission_structure'!$A$1:$I$4,MATCH($E154,'2018_commission_structure'!$A$1:$A$4,0),MATCH(P$1,'2018_commission_structure'!$A$1:$I$1,0)),0)</f>
        <v>25500.000000000004</v>
      </c>
      <c r="Q154" s="9">
        <f>IF($H154&gt;J154, MIN($H154-J154, K154-J154)*INDEX('2018_commission_structure'!$A$1:$I$4,MATCH($E154,'2018_commission_structure'!$A$1:$A$4,0),MATCH(Q$1,'2018_commission_structure'!$A$1:$I$1,0)),0)</f>
        <v>14030.1</v>
      </c>
      <c r="R154" s="9">
        <f>IF($H154&gt;K154, MIN($H154-K154, L154-K154)*INDEX('2018_commission_structure'!$A$1:$I$4,MATCH($E154,'2018_commission_structure'!$A$1:$A$4,0),MATCH(R$1,'2018_commission_structure'!$A$1:$I$1,0)),0)</f>
        <v>0</v>
      </c>
      <c r="S154" s="9">
        <f>IF(H154&gt;L154,(H154-L154)*INDEX('2018_commission_structure'!$A$1:$I$4,MATCH($E154,'2018_commission_structure'!$A$1:$A$4,0),MATCH(S$1,'2018_commission_structure'!$A$1:$I$1,0)),0)</f>
        <v>0</v>
      </c>
      <c r="T154" s="9">
        <f t="shared" si="26"/>
        <v>117530.1</v>
      </c>
      <c r="U154" s="9">
        <f t="shared" si="27"/>
        <v>184260.1</v>
      </c>
      <c r="V154" s="9">
        <f>MIN($I154,$H154)*INDEX('Key Metrics'!$E$16:$N$19,MATCH($E154,'Key Metrics'!$E$16:$E$19,0),MATCH(V$1,'Key Metrics'!$E$16:$M$16,0))</f>
        <v>90000</v>
      </c>
      <c r="W154" s="9">
        <f>IF($H154&gt;I154, MIN($H154-I154, J154-I154)*INDEX('Key Metrics'!$E$16:$N$19,MATCH($E154,'Key Metrics'!$E$16:$E$19,0),MATCH(W$1,'Key Metrics'!$E$16:$M$16,0)),0)</f>
        <v>27000</v>
      </c>
      <c r="X154" s="9">
        <f>IF($H154&gt;J154, MIN($H154-J154, K154-J154)*INDEX('Key Metrics'!$E$16:$N$19,MATCH($E154,'Key Metrics'!$E$16:$E$19,0),MATCH(X$1,'Key Metrics'!$E$16:$M$16,0)),0)</f>
        <v>16702.5</v>
      </c>
      <c r="Y154" s="9">
        <f>IF($H154&gt;K154, MIN($H154-K154, L154-K154)*INDEX('Key Metrics'!$E$16:$N$19,MATCH($E154,'Key Metrics'!$E$16:$E$19,0),MATCH(Y$1,'Key Metrics'!$E$16:$M$16,0)),0)</f>
        <v>0</v>
      </c>
      <c r="Z154" s="9">
        <f>IF($H154&gt;L154,($H154-L154)*INDEX('Key Metrics'!$E$16:$N$19,MATCH($E154,'Key Metrics'!$E$16:$E$19,0),MATCH(Z$1,'Key Metrics'!$E$16:$M$16,0)),0)</f>
        <v>0</v>
      </c>
      <c r="AA154" s="9">
        <f t="shared" si="28"/>
        <v>133702.5</v>
      </c>
      <c r="AB154" s="9">
        <f t="shared" si="29"/>
        <v>133703.86134999999</v>
      </c>
    </row>
    <row r="155" spans="1:28" x14ac:dyDescent="0.55000000000000004">
      <c r="A155" t="str">
        <f t="shared" si="20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COUNTIF(deals_closed!$D$2:$D$20001,Calculations!B268)</f>
        <v>18</v>
      </c>
      <c r="H155" s="7">
        <f>SUMIF(deals_closed!$D:$D,Calculations!B268,deals_closed!$C:$C)</f>
        <v>717326</v>
      </c>
      <c r="I155" s="5">
        <f>VLOOKUP(E155,'2018_commission_structure'!$A$1:$I$4,9,FALSE)</f>
        <v>600000</v>
      </c>
      <c r="J155" s="9">
        <f t="shared" si="21"/>
        <v>750000</v>
      </c>
      <c r="K155" s="10">
        <f t="shared" si="22"/>
        <v>900000</v>
      </c>
      <c r="L155" s="9">
        <f t="shared" si="23"/>
        <v>1200000</v>
      </c>
      <c r="M155" s="8">
        <f t="shared" si="24"/>
        <v>1.1955433333333334</v>
      </c>
      <c r="N155" t="str">
        <f t="shared" si="25"/>
        <v>100-125%</v>
      </c>
      <c r="O155" s="9">
        <f>MIN($H155,$I155)*INDEX('2018_commission_structure'!$A$1:$I$4,MATCH($E155,'2018_commission_structure'!$A$1:$A$4,0),MATCH(O$1,'2018_commission_structure'!$A$1:$I$1,0))</f>
        <v>78000</v>
      </c>
      <c r="P155" s="9">
        <f>IF(H155&gt;I155, MIN(H155-I155, J155-I155)*INDEX('2018_commission_structure'!$A$1:$I$4,MATCH($E155,'2018_commission_structure'!$A$1:$A$4,0),MATCH(P$1,'2018_commission_structure'!$A$1:$I$1,0)),0)</f>
        <v>19945.420000000002</v>
      </c>
      <c r="Q155" s="9">
        <f>IF($H155&gt;J155, MIN($H155-J155, K155-J155)*INDEX('2018_commission_structure'!$A$1:$I$4,MATCH($E155,'2018_commission_structure'!$A$1:$A$4,0),MATCH(Q$1,'2018_commission_structure'!$A$1:$I$1,0)),0)</f>
        <v>0</v>
      </c>
      <c r="R155" s="9">
        <f>IF($H155&gt;K155, MIN($H155-K155, L155-K155)*INDEX('2018_commission_structure'!$A$1:$I$4,MATCH($E155,'2018_commission_structure'!$A$1:$A$4,0),MATCH(R$1,'2018_commission_structure'!$A$1:$I$1,0)),0)</f>
        <v>0</v>
      </c>
      <c r="S155" s="9">
        <f>IF(H155&gt;L155,(H155-L155)*INDEX('2018_commission_structure'!$A$1:$I$4,MATCH($E155,'2018_commission_structure'!$A$1:$A$4,0),MATCH(S$1,'2018_commission_structure'!$A$1:$I$1,0)),0)</f>
        <v>0</v>
      </c>
      <c r="T155" s="9">
        <f t="shared" si="26"/>
        <v>97945.42</v>
      </c>
      <c r="U155" s="9">
        <f t="shared" si="27"/>
        <v>153724.41999999998</v>
      </c>
      <c r="V155" s="9">
        <f>MIN($I155,$H155)*INDEX('Key Metrics'!$E$16:$N$19,MATCH($E155,'Key Metrics'!$E$16:$E$19,0),MATCH(V$1,'Key Metrics'!$E$16:$M$16,0))</f>
        <v>90000</v>
      </c>
      <c r="W155" s="9">
        <f>IF($H155&gt;I155, MIN($H155-I155, J155-I155)*INDEX('Key Metrics'!$E$16:$N$19,MATCH($E155,'Key Metrics'!$E$16:$E$19,0),MATCH(W$1,'Key Metrics'!$E$16:$M$16,0)),0)</f>
        <v>21118.68</v>
      </c>
      <c r="X155" s="9">
        <f>IF($H155&gt;J155, MIN($H155-J155, K155-J155)*INDEX('Key Metrics'!$E$16:$N$19,MATCH($E155,'Key Metrics'!$E$16:$E$19,0),MATCH(X$1,'Key Metrics'!$E$16:$M$16,0)),0)</f>
        <v>0</v>
      </c>
      <c r="Y155" s="9">
        <f>IF($H155&gt;K155, MIN($H155-K155, L155-K155)*INDEX('Key Metrics'!$E$16:$N$19,MATCH($E155,'Key Metrics'!$E$16:$E$19,0),MATCH(Y$1,'Key Metrics'!$E$16:$M$16,0)),0)</f>
        <v>0</v>
      </c>
      <c r="Z155" s="9">
        <f>IF($H155&gt;L155,($H155-L155)*INDEX('Key Metrics'!$E$16:$N$19,MATCH($E155,'Key Metrics'!$E$16:$E$19,0),MATCH(Z$1,'Key Metrics'!$E$16:$M$16,0)),0)</f>
        <v>0</v>
      </c>
      <c r="AA155" s="9">
        <f t="shared" si="28"/>
        <v>111118.68</v>
      </c>
      <c r="AB155" s="9">
        <f t="shared" si="29"/>
        <v>111119.87554333333</v>
      </c>
    </row>
    <row r="156" spans="1:28" x14ac:dyDescent="0.55000000000000004">
      <c r="A156" t="str">
        <f t="shared" si="20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COUNTIF(deals_closed!$D$2:$D$20001,Calculations!B622)</f>
        <v>15</v>
      </c>
      <c r="H156" s="7">
        <f>SUMIF(deals_closed!$D:$D,Calculations!B622,deals_closed!$C:$C)</f>
        <v>437601</v>
      </c>
      <c r="I156" s="5">
        <f>VLOOKUP(E156,'2018_commission_structure'!$A$1:$I$4,9,FALSE)</f>
        <v>750000</v>
      </c>
      <c r="J156" s="9">
        <f t="shared" si="21"/>
        <v>937500</v>
      </c>
      <c r="K156" s="10">
        <f t="shared" si="22"/>
        <v>1125000</v>
      </c>
      <c r="L156" s="9">
        <f t="shared" si="23"/>
        <v>1500000</v>
      </c>
      <c r="M156" s="8">
        <f t="shared" si="24"/>
        <v>0.58346799999999999</v>
      </c>
      <c r="N156" t="str">
        <f t="shared" si="25"/>
        <v>0-100%</v>
      </c>
      <c r="O156" s="9">
        <f>MIN($H156,$I156)*INDEX('2018_commission_structure'!$A$1:$I$4,MATCH($E156,'2018_commission_structure'!$A$1:$A$4,0),MATCH(O$1,'2018_commission_structure'!$A$1:$I$1,0))</f>
        <v>65640.149999999994</v>
      </c>
      <c r="P156" s="9">
        <f>IF(H156&gt;I156, MIN(H156-I156, J156-I156)*INDEX('2018_commission_structure'!$A$1:$I$4,MATCH($E156,'2018_commission_structure'!$A$1:$A$4,0),MATCH(P$1,'2018_commission_structure'!$A$1:$I$1,0)),0)</f>
        <v>0</v>
      </c>
      <c r="Q156" s="9">
        <f>IF($H156&gt;J156, MIN($H156-J156, K156-J156)*INDEX('2018_commission_structure'!$A$1:$I$4,MATCH($E156,'2018_commission_structure'!$A$1:$A$4,0),MATCH(Q$1,'2018_commission_structure'!$A$1:$I$1,0)),0)</f>
        <v>0</v>
      </c>
      <c r="R156" s="9">
        <f>IF($H156&gt;K156, MIN($H156-K156, L156-K156)*INDEX('2018_commission_structure'!$A$1:$I$4,MATCH($E156,'2018_commission_structure'!$A$1:$A$4,0),MATCH(R$1,'2018_commission_structure'!$A$1:$I$1,0)),0)</f>
        <v>0</v>
      </c>
      <c r="S156" s="9">
        <f>IF(H156&gt;L156,(H156-L156)*INDEX('2018_commission_structure'!$A$1:$I$4,MATCH($E156,'2018_commission_structure'!$A$1:$A$4,0),MATCH(S$1,'2018_commission_structure'!$A$1:$I$1,0)),0)</f>
        <v>0</v>
      </c>
      <c r="T156" s="9">
        <f t="shared" si="26"/>
        <v>65640.149999999994</v>
      </c>
      <c r="U156" s="9">
        <f t="shared" si="27"/>
        <v>180103.15</v>
      </c>
      <c r="V156" s="9">
        <f>MIN($I156,$H156)*INDEX('Key Metrics'!$E$16:$N$19,MATCH($E156,'Key Metrics'!$E$16:$E$19,0),MATCH(V$1,'Key Metrics'!$E$16:$M$16,0))</f>
        <v>65640.149999999994</v>
      </c>
      <c r="W156" s="9">
        <f>IF($H156&gt;I156, MIN($H156-I156, J156-I156)*INDEX('Key Metrics'!$E$16:$N$19,MATCH($E156,'Key Metrics'!$E$16:$E$19,0),MATCH(W$1,'Key Metrics'!$E$16:$M$16,0)),0)</f>
        <v>0</v>
      </c>
      <c r="X156" s="9">
        <f>IF($H156&gt;J156, MIN($H156-J156, K156-J156)*INDEX('Key Metrics'!$E$16:$N$19,MATCH($E156,'Key Metrics'!$E$16:$E$19,0),MATCH(X$1,'Key Metrics'!$E$16:$M$16,0)),0)</f>
        <v>0</v>
      </c>
      <c r="Y156" s="9">
        <f>IF($H156&gt;K156, MIN($H156-K156, L156-K156)*INDEX('Key Metrics'!$E$16:$N$19,MATCH($E156,'Key Metrics'!$E$16:$E$19,0),MATCH(Y$1,'Key Metrics'!$E$16:$M$16,0)),0)</f>
        <v>0</v>
      </c>
      <c r="Z156" s="9">
        <f>IF($H156&gt;L156,($H156-L156)*INDEX('Key Metrics'!$E$16:$N$19,MATCH($E156,'Key Metrics'!$E$16:$E$19,0),MATCH(Z$1,'Key Metrics'!$E$16:$M$16,0)),0)</f>
        <v>0</v>
      </c>
      <c r="AA156" s="9">
        <f t="shared" si="28"/>
        <v>65640.149999999994</v>
      </c>
      <c r="AB156" s="9">
        <f t="shared" si="29"/>
        <v>65640.733467999991</v>
      </c>
    </row>
    <row r="157" spans="1:28" x14ac:dyDescent="0.55000000000000004">
      <c r="A157" t="str">
        <f t="shared" si="20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COUNTIF(deals_closed!$D$2:$D$20001,Calculations!B609)</f>
        <v>23</v>
      </c>
      <c r="H157" s="7">
        <f>SUMIF(deals_closed!$D:$D,Calculations!B609,deals_closed!$C:$C)</f>
        <v>726495</v>
      </c>
      <c r="I157" s="5">
        <f>VLOOKUP(E157,'2018_commission_structure'!$A$1:$I$4,9,FALSE)</f>
        <v>750000</v>
      </c>
      <c r="J157" s="9">
        <f t="shared" si="21"/>
        <v>937500</v>
      </c>
      <c r="K157" s="10">
        <f t="shared" si="22"/>
        <v>1125000</v>
      </c>
      <c r="L157" s="9">
        <f t="shared" si="23"/>
        <v>1500000</v>
      </c>
      <c r="M157" s="8">
        <f t="shared" si="24"/>
        <v>0.96865999999999997</v>
      </c>
      <c r="N157" t="str">
        <f t="shared" si="25"/>
        <v>0-100%</v>
      </c>
      <c r="O157" s="9">
        <f>MIN($H157,$I157)*INDEX('2018_commission_structure'!$A$1:$I$4,MATCH($E157,'2018_commission_structure'!$A$1:$A$4,0),MATCH(O$1,'2018_commission_structure'!$A$1:$I$1,0))</f>
        <v>108974.25</v>
      </c>
      <c r="P157" s="9">
        <f>IF(H157&gt;I157, MIN(H157-I157, J157-I157)*INDEX('2018_commission_structure'!$A$1:$I$4,MATCH($E157,'2018_commission_structure'!$A$1:$A$4,0),MATCH(P$1,'2018_commission_structure'!$A$1:$I$1,0)),0)</f>
        <v>0</v>
      </c>
      <c r="Q157" s="9">
        <f>IF($H157&gt;J157, MIN($H157-J157, K157-J157)*INDEX('2018_commission_structure'!$A$1:$I$4,MATCH($E157,'2018_commission_structure'!$A$1:$A$4,0),MATCH(Q$1,'2018_commission_structure'!$A$1:$I$1,0)),0)</f>
        <v>0</v>
      </c>
      <c r="R157" s="9">
        <f>IF($H157&gt;K157, MIN($H157-K157, L157-K157)*INDEX('2018_commission_structure'!$A$1:$I$4,MATCH($E157,'2018_commission_structure'!$A$1:$A$4,0),MATCH(R$1,'2018_commission_structure'!$A$1:$I$1,0)),0)</f>
        <v>0</v>
      </c>
      <c r="S157" s="9">
        <f>IF(H157&gt;L157,(H157-L157)*INDEX('2018_commission_structure'!$A$1:$I$4,MATCH($E157,'2018_commission_structure'!$A$1:$A$4,0),MATCH(S$1,'2018_commission_structure'!$A$1:$I$1,0)),0)</f>
        <v>0</v>
      </c>
      <c r="T157" s="9">
        <f t="shared" si="26"/>
        <v>108974.25</v>
      </c>
      <c r="U157" s="9">
        <f t="shared" si="27"/>
        <v>192789.25</v>
      </c>
      <c r="V157" s="9">
        <f>MIN($I157,$H157)*INDEX('Key Metrics'!$E$16:$N$19,MATCH($E157,'Key Metrics'!$E$16:$E$19,0),MATCH(V$1,'Key Metrics'!$E$16:$M$16,0))</f>
        <v>108974.25</v>
      </c>
      <c r="W157" s="9">
        <f>IF($H157&gt;I157, MIN($H157-I157, J157-I157)*INDEX('Key Metrics'!$E$16:$N$19,MATCH($E157,'Key Metrics'!$E$16:$E$19,0),MATCH(W$1,'Key Metrics'!$E$16:$M$16,0)),0)</f>
        <v>0</v>
      </c>
      <c r="X157" s="9">
        <f>IF($H157&gt;J157, MIN($H157-J157, K157-J157)*INDEX('Key Metrics'!$E$16:$N$19,MATCH($E157,'Key Metrics'!$E$16:$E$19,0),MATCH(X$1,'Key Metrics'!$E$16:$M$16,0)),0)</f>
        <v>0</v>
      </c>
      <c r="Y157" s="9">
        <f>IF($H157&gt;K157, MIN($H157-K157, L157-K157)*INDEX('Key Metrics'!$E$16:$N$19,MATCH($E157,'Key Metrics'!$E$16:$E$19,0),MATCH(Y$1,'Key Metrics'!$E$16:$M$16,0)),0)</f>
        <v>0</v>
      </c>
      <c r="Z157" s="9">
        <f>IF($H157&gt;L157,($H157-L157)*INDEX('Key Metrics'!$E$16:$N$19,MATCH($E157,'Key Metrics'!$E$16:$E$19,0),MATCH(Z$1,'Key Metrics'!$E$16:$M$16,0)),0)</f>
        <v>0</v>
      </c>
      <c r="AA157" s="9">
        <f t="shared" si="28"/>
        <v>108974.25</v>
      </c>
      <c r="AB157" s="9">
        <f t="shared" si="29"/>
        <v>108975.21866</v>
      </c>
    </row>
    <row r="158" spans="1:28" x14ac:dyDescent="0.55000000000000004">
      <c r="A158" t="str">
        <f t="shared" si="20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COUNTIF(deals_closed!$D$2:$D$20001,Calculations!B624)</f>
        <v>21</v>
      </c>
      <c r="H158" s="7">
        <f>SUMIF(deals_closed!$D:$D,Calculations!B624,deals_closed!$C:$C)</f>
        <v>760093</v>
      </c>
      <c r="I158" s="5">
        <f>VLOOKUP(E158,'2018_commission_structure'!$A$1:$I$4,9,FALSE)</f>
        <v>600000</v>
      </c>
      <c r="J158" s="9">
        <f t="shared" si="21"/>
        <v>750000</v>
      </c>
      <c r="K158" s="10">
        <f t="shared" si="22"/>
        <v>900000</v>
      </c>
      <c r="L158" s="9">
        <f t="shared" si="23"/>
        <v>1200000</v>
      </c>
      <c r="M158" s="8">
        <f t="shared" si="24"/>
        <v>1.2668216666666667</v>
      </c>
      <c r="N158" t="str">
        <f t="shared" si="25"/>
        <v>125-150%</v>
      </c>
      <c r="O158" s="9">
        <f>MIN($H158,$I158)*INDEX('2018_commission_structure'!$A$1:$I$4,MATCH($E158,'2018_commission_structure'!$A$1:$A$4,0),MATCH(O$1,'2018_commission_structure'!$A$1:$I$1,0))</f>
        <v>78000</v>
      </c>
      <c r="P158" s="9">
        <f>IF(H158&gt;I158, MIN(H158-I158, J158-I158)*INDEX('2018_commission_structure'!$A$1:$I$4,MATCH($E158,'2018_commission_structure'!$A$1:$A$4,0),MATCH(P$1,'2018_commission_structure'!$A$1:$I$1,0)),0)</f>
        <v>25500.000000000004</v>
      </c>
      <c r="Q158" s="9">
        <f>IF($H158&gt;J158, MIN($H158-J158, K158-J158)*INDEX('2018_commission_structure'!$A$1:$I$4,MATCH($E158,'2018_commission_structure'!$A$1:$A$4,0),MATCH(Q$1,'2018_commission_structure'!$A$1:$I$1,0)),0)</f>
        <v>2119.5299999999997</v>
      </c>
      <c r="R158" s="9">
        <f>IF($H158&gt;K158, MIN($H158-K158, L158-K158)*INDEX('2018_commission_structure'!$A$1:$I$4,MATCH($E158,'2018_commission_structure'!$A$1:$A$4,0),MATCH(R$1,'2018_commission_structure'!$A$1:$I$1,0)),0)</f>
        <v>0</v>
      </c>
      <c r="S158" s="9">
        <f>IF(H158&gt;L158,(H158-L158)*INDEX('2018_commission_structure'!$A$1:$I$4,MATCH($E158,'2018_commission_structure'!$A$1:$A$4,0),MATCH(S$1,'2018_commission_structure'!$A$1:$I$1,0)),0)</f>
        <v>0</v>
      </c>
      <c r="T158" s="9">
        <f t="shared" si="26"/>
        <v>105619.53</v>
      </c>
      <c r="U158" s="9">
        <f t="shared" si="27"/>
        <v>161714.53</v>
      </c>
      <c r="V158" s="9">
        <f>MIN($I158,$H158)*INDEX('Key Metrics'!$E$16:$N$19,MATCH($E158,'Key Metrics'!$E$16:$E$19,0),MATCH(V$1,'Key Metrics'!$E$16:$M$16,0))</f>
        <v>90000</v>
      </c>
      <c r="W158" s="9">
        <f>IF($H158&gt;I158, MIN($H158-I158, J158-I158)*INDEX('Key Metrics'!$E$16:$N$19,MATCH($E158,'Key Metrics'!$E$16:$E$19,0),MATCH(W$1,'Key Metrics'!$E$16:$M$16,0)),0)</f>
        <v>27000</v>
      </c>
      <c r="X158" s="9">
        <f>IF($H158&gt;J158, MIN($H158-J158, K158-J158)*INDEX('Key Metrics'!$E$16:$N$19,MATCH($E158,'Key Metrics'!$E$16:$E$19,0),MATCH(X$1,'Key Metrics'!$E$16:$M$16,0)),0)</f>
        <v>2523.25</v>
      </c>
      <c r="Y158" s="9">
        <f>IF($H158&gt;K158, MIN($H158-K158, L158-K158)*INDEX('Key Metrics'!$E$16:$N$19,MATCH($E158,'Key Metrics'!$E$16:$E$19,0),MATCH(Y$1,'Key Metrics'!$E$16:$M$16,0)),0)</f>
        <v>0</v>
      </c>
      <c r="Z158" s="9">
        <f>IF($H158&gt;L158,($H158-L158)*INDEX('Key Metrics'!$E$16:$N$19,MATCH($E158,'Key Metrics'!$E$16:$E$19,0),MATCH(Z$1,'Key Metrics'!$E$16:$M$16,0)),0)</f>
        <v>0</v>
      </c>
      <c r="AA158" s="9">
        <f t="shared" si="28"/>
        <v>119523.25</v>
      </c>
      <c r="AB158" s="9">
        <f t="shared" si="29"/>
        <v>119524.51682166666</v>
      </c>
    </row>
    <row r="159" spans="1:28" x14ac:dyDescent="0.55000000000000004">
      <c r="A159" t="str">
        <f t="shared" si="20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COUNTIF(deals_closed!$D$2:$D$20001,Calculations!B601)</f>
        <v>14</v>
      </c>
      <c r="H159" s="7">
        <f>SUMIF(deals_closed!$D:$D,Calculations!B601,deals_closed!$C:$C)</f>
        <v>430049</v>
      </c>
      <c r="I159" s="5">
        <f>VLOOKUP(E159,'2018_commission_structure'!$A$1:$I$4,9,FALSE)</f>
        <v>750000</v>
      </c>
      <c r="J159" s="9">
        <f t="shared" si="21"/>
        <v>937500</v>
      </c>
      <c r="K159" s="10">
        <f t="shared" si="22"/>
        <v>1125000</v>
      </c>
      <c r="L159" s="9">
        <f t="shared" si="23"/>
        <v>1500000</v>
      </c>
      <c r="M159" s="8">
        <f t="shared" si="24"/>
        <v>0.57339866666666661</v>
      </c>
      <c r="N159" t="str">
        <f t="shared" si="25"/>
        <v>0-100%</v>
      </c>
      <c r="O159" s="9">
        <f>MIN($H159,$I159)*INDEX('2018_commission_structure'!$A$1:$I$4,MATCH($E159,'2018_commission_structure'!$A$1:$A$4,0),MATCH(O$1,'2018_commission_structure'!$A$1:$I$1,0))</f>
        <v>64507.35</v>
      </c>
      <c r="P159" s="9">
        <f>IF(H159&gt;I159, MIN(H159-I159, J159-I159)*INDEX('2018_commission_structure'!$A$1:$I$4,MATCH($E159,'2018_commission_structure'!$A$1:$A$4,0),MATCH(P$1,'2018_commission_structure'!$A$1:$I$1,0)),0)</f>
        <v>0</v>
      </c>
      <c r="Q159" s="9">
        <f>IF($H159&gt;J159, MIN($H159-J159, K159-J159)*INDEX('2018_commission_structure'!$A$1:$I$4,MATCH($E159,'2018_commission_structure'!$A$1:$A$4,0),MATCH(Q$1,'2018_commission_structure'!$A$1:$I$1,0)),0)</f>
        <v>0</v>
      </c>
      <c r="R159" s="9">
        <f>IF($H159&gt;K159, MIN($H159-K159, L159-K159)*INDEX('2018_commission_structure'!$A$1:$I$4,MATCH($E159,'2018_commission_structure'!$A$1:$A$4,0),MATCH(R$1,'2018_commission_structure'!$A$1:$I$1,0)),0)</f>
        <v>0</v>
      </c>
      <c r="S159" s="9">
        <f>IF(H159&gt;L159,(H159-L159)*INDEX('2018_commission_structure'!$A$1:$I$4,MATCH($E159,'2018_commission_structure'!$A$1:$A$4,0),MATCH(S$1,'2018_commission_structure'!$A$1:$I$1,0)),0)</f>
        <v>0</v>
      </c>
      <c r="T159" s="9">
        <f t="shared" si="26"/>
        <v>64507.35</v>
      </c>
      <c r="U159" s="9">
        <f t="shared" si="27"/>
        <v>186687.35</v>
      </c>
      <c r="V159" s="9">
        <f>MIN($I159,$H159)*INDEX('Key Metrics'!$E$16:$N$19,MATCH($E159,'Key Metrics'!$E$16:$E$19,0),MATCH(V$1,'Key Metrics'!$E$16:$M$16,0))</f>
        <v>64507.35</v>
      </c>
      <c r="W159" s="9">
        <f>IF($H159&gt;I159, MIN($H159-I159, J159-I159)*INDEX('Key Metrics'!$E$16:$N$19,MATCH($E159,'Key Metrics'!$E$16:$E$19,0),MATCH(W$1,'Key Metrics'!$E$16:$M$16,0)),0)</f>
        <v>0</v>
      </c>
      <c r="X159" s="9">
        <f>IF($H159&gt;J159, MIN($H159-J159, K159-J159)*INDEX('Key Metrics'!$E$16:$N$19,MATCH($E159,'Key Metrics'!$E$16:$E$19,0),MATCH(X$1,'Key Metrics'!$E$16:$M$16,0)),0)</f>
        <v>0</v>
      </c>
      <c r="Y159" s="9">
        <f>IF($H159&gt;K159, MIN($H159-K159, L159-K159)*INDEX('Key Metrics'!$E$16:$N$19,MATCH($E159,'Key Metrics'!$E$16:$E$19,0),MATCH(Y$1,'Key Metrics'!$E$16:$M$16,0)),0)</f>
        <v>0</v>
      </c>
      <c r="Z159" s="9">
        <f>IF($H159&gt;L159,($H159-L159)*INDEX('Key Metrics'!$E$16:$N$19,MATCH($E159,'Key Metrics'!$E$16:$E$19,0),MATCH(Z$1,'Key Metrics'!$E$16:$M$16,0)),0)</f>
        <v>0</v>
      </c>
      <c r="AA159" s="9">
        <f t="shared" si="28"/>
        <v>64507.35</v>
      </c>
      <c r="AB159" s="9">
        <f t="shared" si="29"/>
        <v>64507.923398666666</v>
      </c>
    </row>
    <row r="160" spans="1:28" x14ac:dyDescent="0.55000000000000004">
      <c r="A160" t="str">
        <f t="shared" si="20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COUNTIF(deals_closed!$D$2:$D$20001,Calculations!B139)</f>
        <v>23</v>
      </c>
      <c r="H160" s="7">
        <f>SUMIF(deals_closed!$D:$D,Calculations!B139,deals_closed!$C:$C)</f>
        <v>825058</v>
      </c>
      <c r="I160" s="5">
        <f>VLOOKUP(E160,'2018_commission_structure'!$A$1:$I$4,9,FALSE)</f>
        <v>750000</v>
      </c>
      <c r="J160" s="9">
        <f t="shared" si="21"/>
        <v>937500</v>
      </c>
      <c r="K160" s="10">
        <f t="shared" si="22"/>
        <v>1125000</v>
      </c>
      <c r="L160" s="9">
        <f t="shared" si="23"/>
        <v>1500000</v>
      </c>
      <c r="M160" s="8">
        <f t="shared" si="24"/>
        <v>1.1000773333333334</v>
      </c>
      <c r="N160" t="str">
        <f t="shared" si="25"/>
        <v>100-125%</v>
      </c>
      <c r="O160" s="9">
        <f>MIN($H160,$I160)*INDEX('2018_commission_structure'!$A$1:$I$4,MATCH($E160,'2018_commission_structure'!$A$1:$A$4,0),MATCH(O$1,'2018_commission_structure'!$A$1:$I$1,0))</f>
        <v>112500</v>
      </c>
      <c r="P160" s="9">
        <f>IF(H160&gt;I160, MIN(H160-I160, J160-I160)*INDEX('2018_commission_structure'!$A$1:$I$4,MATCH($E160,'2018_commission_structure'!$A$1:$A$4,0),MATCH(P$1,'2018_commission_structure'!$A$1:$I$1,0)),0)</f>
        <v>14261.02</v>
      </c>
      <c r="Q160" s="9">
        <f>IF($H160&gt;J160, MIN($H160-J160, K160-J160)*INDEX('2018_commission_structure'!$A$1:$I$4,MATCH($E160,'2018_commission_structure'!$A$1:$A$4,0),MATCH(Q$1,'2018_commission_structure'!$A$1:$I$1,0)),0)</f>
        <v>0</v>
      </c>
      <c r="R160" s="9">
        <f>IF($H160&gt;K160, MIN($H160-K160, L160-K160)*INDEX('2018_commission_structure'!$A$1:$I$4,MATCH($E160,'2018_commission_structure'!$A$1:$A$4,0),MATCH(R$1,'2018_commission_structure'!$A$1:$I$1,0)),0)</f>
        <v>0</v>
      </c>
      <c r="S160" s="9">
        <f>IF(H160&gt;L160,(H160-L160)*INDEX('2018_commission_structure'!$A$1:$I$4,MATCH($E160,'2018_commission_structure'!$A$1:$A$4,0),MATCH(S$1,'2018_commission_structure'!$A$1:$I$1,0)),0)</f>
        <v>0</v>
      </c>
      <c r="T160" s="9">
        <f t="shared" si="26"/>
        <v>126761.02</v>
      </c>
      <c r="U160" s="9">
        <f t="shared" si="27"/>
        <v>248715.02000000002</v>
      </c>
      <c r="V160" s="9">
        <f>MIN($I160,$H160)*INDEX('Key Metrics'!$E$16:$N$19,MATCH($E160,'Key Metrics'!$E$16:$E$19,0),MATCH(V$1,'Key Metrics'!$E$16:$M$16,0))</f>
        <v>112500</v>
      </c>
      <c r="W160" s="9">
        <f>IF($H160&gt;I160, MIN($H160-I160, J160-I160)*INDEX('Key Metrics'!$E$16:$N$19,MATCH($E160,'Key Metrics'!$E$16:$E$19,0),MATCH(W$1,'Key Metrics'!$E$16:$M$16,0)),0)</f>
        <v>16512.759999999998</v>
      </c>
      <c r="X160" s="9">
        <f>IF($H160&gt;J160, MIN($H160-J160, K160-J160)*INDEX('Key Metrics'!$E$16:$N$19,MATCH($E160,'Key Metrics'!$E$16:$E$19,0),MATCH(X$1,'Key Metrics'!$E$16:$M$16,0)),0)</f>
        <v>0</v>
      </c>
      <c r="Y160" s="9">
        <f>IF($H160&gt;K160, MIN($H160-K160, L160-K160)*INDEX('Key Metrics'!$E$16:$N$19,MATCH($E160,'Key Metrics'!$E$16:$E$19,0),MATCH(Y$1,'Key Metrics'!$E$16:$M$16,0)),0)</f>
        <v>0</v>
      </c>
      <c r="Z160" s="9">
        <f>IF($H160&gt;L160,($H160-L160)*INDEX('Key Metrics'!$E$16:$N$19,MATCH($E160,'Key Metrics'!$E$16:$E$19,0),MATCH(Z$1,'Key Metrics'!$E$16:$M$16,0)),0)</f>
        <v>0</v>
      </c>
      <c r="AA160" s="9">
        <f t="shared" si="28"/>
        <v>129012.76</v>
      </c>
      <c r="AB160" s="9">
        <f t="shared" si="29"/>
        <v>129013.86007733333</v>
      </c>
    </row>
    <row r="161" spans="1:28" x14ac:dyDescent="0.55000000000000004">
      <c r="A161" t="str">
        <f t="shared" si="20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COUNTIF(deals_closed!$D$2:$D$20001,Calculations!B99)</f>
        <v>28</v>
      </c>
      <c r="H161" s="7">
        <f>SUMIF(deals_closed!$D:$D,Calculations!B99,deals_closed!$C:$C)</f>
        <v>930106</v>
      </c>
      <c r="I161" s="5">
        <f>VLOOKUP(E161,'2018_commission_structure'!$A$1:$I$4,9,FALSE)</f>
        <v>600000</v>
      </c>
      <c r="J161" s="9">
        <f t="shared" si="21"/>
        <v>750000</v>
      </c>
      <c r="K161" s="10">
        <f t="shared" si="22"/>
        <v>900000</v>
      </c>
      <c r="L161" s="9">
        <f t="shared" si="23"/>
        <v>1200000</v>
      </c>
      <c r="M161" s="8">
        <f t="shared" si="24"/>
        <v>1.5501766666666668</v>
      </c>
      <c r="N161" t="str">
        <f t="shared" si="25"/>
        <v>150-200%</v>
      </c>
      <c r="O161" s="9">
        <f>MIN($H161,$I161)*INDEX('2018_commission_structure'!$A$1:$I$4,MATCH($E161,'2018_commission_structure'!$A$1:$A$4,0),MATCH(O$1,'2018_commission_structure'!$A$1:$I$1,0))</f>
        <v>78000</v>
      </c>
      <c r="P161" s="9">
        <f>IF(H161&gt;I161, MIN(H161-I161, J161-I161)*INDEX('2018_commission_structure'!$A$1:$I$4,MATCH($E161,'2018_commission_structure'!$A$1:$A$4,0),MATCH(P$1,'2018_commission_structure'!$A$1:$I$1,0)),0)</f>
        <v>25500.000000000004</v>
      </c>
      <c r="Q161" s="9">
        <f>IF($H161&gt;J161, MIN($H161-J161, K161-J161)*INDEX('2018_commission_structure'!$A$1:$I$4,MATCH($E161,'2018_commission_structure'!$A$1:$A$4,0),MATCH(Q$1,'2018_commission_structure'!$A$1:$I$1,0)),0)</f>
        <v>31500</v>
      </c>
      <c r="R161" s="9">
        <f>IF($H161&gt;K161, MIN($H161-K161, L161-K161)*INDEX('2018_commission_structure'!$A$1:$I$4,MATCH($E161,'2018_commission_structure'!$A$1:$A$4,0),MATCH(R$1,'2018_commission_structure'!$A$1:$I$1,0)),0)</f>
        <v>7827.56</v>
      </c>
      <c r="S161" s="9">
        <f>IF(H161&gt;L161,(H161-L161)*INDEX('2018_commission_structure'!$A$1:$I$4,MATCH($E161,'2018_commission_structure'!$A$1:$A$4,0),MATCH(S$1,'2018_commission_structure'!$A$1:$I$1,0)),0)</f>
        <v>0</v>
      </c>
      <c r="T161" s="9">
        <f t="shared" si="26"/>
        <v>142827.56</v>
      </c>
      <c r="U161" s="9">
        <f t="shared" si="27"/>
        <v>199040.56</v>
      </c>
      <c r="V161" s="9">
        <f>MIN($I161,$H161)*INDEX('Key Metrics'!$E$16:$N$19,MATCH($E161,'Key Metrics'!$E$16:$E$19,0),MATCH(V$1,'Key Metrics'!$E$16:$M$16,0))</f>
        <v>90000</v>
      </c>
      <c r="W161" s="9">
        <f>IF($H161&gt;I161, MIN($H161-I161, J161-I161)*INDEX('Key Metrics'!$E$16:$N$19,MATCH($E161,'Key Metrics'!$E$16:$E$19,0),MATCH(W$1,'Key Metrics'!$E$16:$M$16,0)),0)</f>
        <v>27000</v>
      </c>
      <c r="X161" s="9">
        <f>IF($H161&gt;J161, MIN($H161-J161, K161-J161)*INDEX('Key Metrics'!$E$16:$N$19,MATCH($E161,'Key Metrics'!$E$16:$E$19,0),MATCH(X$1,'Key Metrics'!$E$16:$M$16,0)),0)</f>
        <v>37500</v>
      </c>
      <c r="Y161" s="9">
        <f>IF($H161&gt;K161, MIN($H161-K161, L161-K161)*INDEX('Key Metrics'!$E$16:$N$19,MATCH($E161,'Key Metrics'!$E$16:$E$19,0),MATCH(Y$1,'Key Metrics'!$E$16:$M$16,0)),0)</f>
        <v>9031.7999999999993</v>
      </c>
      <c r="Z161" s="9">
        <f>IF($H161&gt;L161,($H161-L161)*INDEX('Key Metrics'!$E$16:$N$19,MATCH($E161,'Key Metrics'!$E$16:$E$19,0),MATCH(Z$1,'Key Metrics'!$E$16:$M$16,0)),0)</f>
        <v>0</v>
      </c>
      <c r="AA161" s="9">
        <f t="shared" si="28"/>
        <v>163531.79999999999</v>
      </c>
      <c r="AB161" s="9">
        <f t="shared" si="29"/>
        <v>163533.35017666666</v>
      </c>
    </row>
    <row r="162" spans="1:28" x14ac:dyDescent="0.55000000000000004">
      <c r="A162" t="str">
        <f t="shared" si="20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COUNTIF(deals_closed!$D$2:$D$20001,Calculations!B1000)</f>
        <v>25</v>
      </c>
      <c r="H162" s="7">
        <f>SUMIF(deals_closed!$D:$D,Calculations!B1000,deals_closed!$C:$C)</f>
        <v>838575</v>
      </c>
      <c r="I162" s="5">
        <f>VLOOKUP(E162,'2018_commission_structure'!$A$1:$I$4,9,FALSE)</f>
        <v>750000</v>
      </c>
      <c r="J162" s="9">
        <f t="shared" si="21"/>
        <v>937500</v>
      </c>
      <c r="K162" s="10">
        <f t="shared" si="22"/>
        <v>1125000</v>
      </c>
      <c r="L162" s="9">
        <f t="shared" si="23"/>
        <v>1500000</v>
      </c>
      <c r="M162" s="8">
        <f t="shared" si="24"/>
        <v>1.1181000000000001</v>
      </c>
      <c r="N162" t="str">
        <f t="shared" si="25"/>
        <v>100-125%</v>
      </c>
      <c r="O162" s="9">
        <f>MIN($H162,$I162)*INDEX('2018_commission_structure'!$A$1:$I$4,MATCH($E162,'2018_commission_structure'!$A$1:$A$4,0),MATCH(O$1,'2018_commission_structure'!$A$1:$I$1,0))</f>
        <v>112500</v>
      </c>
      <c r="P162" s="9">
        <f>IF(H162&gt;I162, MIN(H162-I162, J162-I162)*INDEX('2018_commission_structure'!$A$1:$I$4,MATCH($E162,'2018_commission_structure'!$A$1:$A$4,0),MATCH(P$1,'2018_commission_structure'!$A$1:$I$1,0)),0)</f>
        <v>16829.25</v>
      </c>
      <c r="Q162" s="9">
        <f>IF($H162&gt;J162, MIN($H162-J162, K162-J162)*INDEX('2018_commission_structure'!$A$1:$I$4,MATCH($E162,'2018_commission_structure'!$A$1:$A$4,0),MATCH(Q$1,'2018_commission_structure'!$A$1:$I$1,0)),0)</f>
        <v>0</v>
      </c>
      <c r="R162" s="9">
        <f>IF($H162&gt;K162, MIN($H162-K162, L162-K162)*INDEX('2018_commission_structure'!$A$1:$I$4,MATCH($E162,'2018_commission_structure'!$A$1:$A$4,0),MATCH(R$1,'2018_commission_structure'!$A$1:$I$1,0)),0)</f>
        <v>0</v>
      </c>
      <c r="S162" s="9">
        <f>IF(H162&gt;L162,(H162-L162)*INDEX('2018_commission_structure'!$A$1:$I$4,MATCH($E162,'2018_commission_structure'!$A$1:$A$4,0),MATCH(S$1,'2018_commission_structure'!$A$1:$I$1,0)),0)</f>
        <v>0</v>
      </c>
      <c r="T162" s="9">
        <f t="shared" si="26"/>
        <v>129329.25</v>
      </c>
      <c r="U162" s="9">
        <f t="shared" si="27"/>
        <v>246678.25</v>
      </c>
      <c r="V162" s="9">
        <f>MIN($I162,$H162)*INDEX('Key Metrics'!$E$16:$N$19,MATCH($E162,'Key Metrics'!$E$16:$E$19,0),MATCH(V$1,'Key Metrics'!$E$16:$M$16,0))</f>
        <v>112500</v>
      </c>
      <c r="W162" s="9">
        <f>IF($H162&gt;I162, MIN($H162-I162, J162-I162)*INDEX('Key Metrics'!$E$16:$N$19,MATCH($E162,'Key Metrics'!$E$16:$E$19,0),MATCH(W$1,'Key Metrics'!$E$16:$M$16,0)),0)</f>
        <v>19486.5</v>
      </c>
      <c r="X162" s="9">
        <f>IF($H162&gt;J162, MIN($H162-J162, K162-J162)*INDEX('Key Metrics'!$E$16:$N$19,MATCH($E162,'Key Metrics'!$E$16:$E$19,0),MATCH(X$1,'Key Metrics'!$E$16:$M$16,0)),0)</f>
        <v>0</v>
      </c>
      <c r="Y162" s="9">
        <f>IF($H162&gt;K162, MIN($H162-K162, L162-K162)*INDEX('Key Metrics'!$E$16:$N$19,MATCH($E162,'Key Metrics'!$E$16:$E$19,0),MATCH(Y$1,'Key Metrics'!$E$16:$M$16,0)),0)</f>
        <v>0</v>
      </c>
      <c r="Z162" s="9">
        <f>IF($H162&gt;L162,($H162-L162)*INDEX('Key Metrics'!$E$16:$N$19,MATCH($E162,'Key Metrics'!$E$16:$E$19,0),MATCH(Z$1,'Key Metrics'!$E$16:$M$16,0)),0)</f>
        <v>0</v>
      </c>
      <c r="AA162" s="9">
        <f t="shared" si="28"/>
        <v>131986.5</v>
      </c>
      <c r="AB162" s="9">
        <f t="shared" si="29"/>
        <v>131987.61809999999</v>
      </c>
    </row>
    <row r="163" spans="1:28" x14ac:dyDescent="0.55000000000000004">
      <c r="A163" t="str">
        <f t="shared" si="20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COUNTIF(deals_closed!$D$2:$D$20001,Calculations!B94)</f>
        <v>9</v>
      </c>
      <c r="H163" s="7">
        <f>SUMIF(deals_closed!$D:$D,Calculations!B94,deals_closed!$C:$C)</f>
        <v>219869</v>
      </c>
      <c r="I163" s="5">
        <f>VLOOKUP(E163,'2018_commission_structure'!$A$1:$I$4,9,FALSE)</f>
        <v>750000</v>
      </c>
      <c r="J163" s="9">
        <f t="shared" si="21"/>
        <v>937500</v>
      </c>
      <c r="K163" s="10">
        <f t="shared" si="22"/>
        <v>1125000</v>
      </c>
      <c r="L163" s="9">
        <f t="shared" si="23"/>
        <v>1500000</v>
      </c>
      <c r="M163" s="8">
        <f t="shared" si="24"/>
        <v>0.29315866666666668</v>
      </c>
      <c r="N163" t="str">
        <f t="shared" si="25"/>
        <v>0-100%</v>
      </c>
      <c r="O163" s="9">
        <f>MIN($H163,$I163)*INDEX('2018_commission_structure'!$A$1:$I$4,MATCH($E163,'2018_commission_structure'!$A$1:$A$4,0),MATCH(O$1,'2018_commission_structure'!$A$1:$I$1,0))</f>
        <v>32980.35</v>
      </c>
      <c r="P163" s="9">
        <f>IF(H163&gt;I163, MIN(H163-I163, J163-I163)*INDEX('2018_commission_structure'!$A$1:$I$4,MATCH($E163,'2018_commission_structure'!$A$1:$A$4,0),MATCH(P$1,'2018_commission_structure'!$A$1:$I$1,0)),0)</f>
        <v>0</v>
      </c>
      <c r="Q163" s="9">
        <f>IF($H163&gt;J163, MIN($H163-J163, K163-J163)*INDEX('2018_commission_structure'!$A$1:$I$4,MATCH($E163,'2018_commission_structure'!$A$1:$A$4,0),MATCH(Q$1,'2018_commission_structure'!$A$1:$I$1,0)),0)</f>
        <v>0</v>
      </c>
      <c r="R163" s="9">
        <f>IF($H163&gt;K163, MIN($H163-K163, L163-K163)*INDEX('2018_commission_structure'!$A$1:$I$4,MATCH($E163,'2018_commission_structure'!$A$1:$A$4,0),MATCH(R$1,'2018_commission_structure'!$A$1:$I$1,0)),0)</f>
        <v>0</v>
      </c>
      <c r="S163" s="9">
        <f>IF(H163&gt;L163,(H163-L163)*INDEX('2018_commission_structure'!$A$1:$I$4,MATCH($E163,'2018_commission_structure'!$A$1:$A$4,0),MATCH(S$1,'2018_commission_structure'!$A$1:$I$1,0)),0)</f>
        <v>0</v>
      </c>
      <c r="T163" s="9">
        <f t="shared" si="26"/>
        <v>32980.35</v>
      </c>
      <c r="U163" s="9">
        <f t="shared" si="27"/>
        <v>153663.35</v>
      </c>
      <c r="V163" s="9">
        <f>MIN($I163,$H163)*INDEX('Key Metrics'!$E$16:$N$19,MATCH($E163,'Key Metrics'!$E$16:$E$19,0),MATCH(V$1,'Key Metrics'!$E$16:$M$16,0))</f>
        <v>32980.35</v>
      </c>
      <c r="W163" s="9">
        <f>IF($H163&gt;I163, MIN($H163-I163, J163-I163)*INDEX('Key Metrics'!$E$16:$N$19,MATCH($E163,'Key Metrics'!$E$16:$E$19,0),MATCH(W$1,'Key Metrics'!$E$16:$M$16,0)),0)</f>
        <v>0</v>
      </c>
      <c r="X163" s="9">
        <f>IF($H163&gt;J163, MIN($H163-J163, K163-J163)*INDEX('Key Metrics'!$E$16:$N$19,MATCH($E163,'Key Metrics'!$E$16:$E$19,0),MATCH(X$1,'Key Metrics'!$E$16:$M$16,0)),0)</f>
        <v>0</v>
      </c>
      <c r="Y163" s="9">
        <f>IF($H163&gt;K163, MIN($H163-K163, L163-K163)*INDEX('Key Metrics'!$E$16:$N$19,MATCH($E163,'Key Metrics'!$E$16:$E$19,0),MATCH(Y$1,'Key Metrics'!$E$16:$M$16,0)),0)</f>
        <v>0</v>
      </c>
      <c r="Z163" s="9">
        <f>IF($H163&gt;L163,($H163-L163)*INDEX('Key Metrics'!$E$16:$N$19,MATCH($E163,'Key Metrics'!$E$16:$E$19,0),MATCH(Z$1,'Key Metrics'!$E$16:$M$16,0)),0)</f>
        <v>0</v>
      </c>
      <c r="AA163" s="9">
        <f t="shared" si="28"/>
        <v>32980.35</v>
      </c>
      <c r="AB163" s="9">
        <f t="shared" si="29"/>
        <v>32980.643158666666</v>
      </c>
    </row>
    <row r="164" spans="1:28" x14ac:dyDescent="0.55000000000000004">
      <c r="A164" t="str">
        <f t="shared" si="20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COUNTIF(deals_closed!$D$2:$D$20001,Calculations!B821)</f>
        <v>10</v>
      </c>
      <c r="H164" s="7">
        <f>SUMIF(deals_closed!$D:$D,Calculations!B821,deals_closed!$C:$C)</f>
        <v>329258</v>
      </c>
      <c r="I164" s="5">
        <f>VLOOKUP(E164,'2018_commission_structure'!$A$1:$I$4,9,FALSE)</f>
        <v>750000</v>
      </c>
      <c r="J164" s="9">
        <f t="shared" si="21"/>
        <v>937500</v>
      </c>
      <c r="K164" s="10">
        <f t="shared" si="22"/>
        <v>1125000</v>
      </c>
      <c r="L164" s="9">
        <f t="shared" si="23"/>
        <v>1500000</v>
      </c>
      <c r="M164" s="8">
        <f t="shared" si="24"/>
        <v>0.43901066666666666</v>
      </c>
      <c r="N164" t="str">
        <f t="shared" si="25"/>
        <v>0-100%</v>
      </c>
      <c r="O164" s="9">
        <f>MIN($H164,$I164)*INDEX('2018_commission_structure'!$A$1:$I$4,MATCH($E164,'2018_commission_structure'!$A$1:$A$4,0),MATCH(O$1,'2018_commission_structure'!$A$1:$I$1,0))</f>
        <v>49388.7</v>
      </c>
      <c r="P164" s="9">
        <f>IF(H164&gt;I164, MIN(H164-I164, J164-I164)*INDEX('2018_commission_structure'!$A$1:$I$4,MATCH($E164,'2018_commission_structure'!$A$1:$A$4,0),MATCH(P$1,'2018_commission_structure'!$A$1:$I$1,0)),0)</f>
        <v>0</v>
      </c>
      <c r="Q164" s="9">
        <f>IF($H164&gt;J164, MIN($H164-J164, K164-J164)*INDEX('2018_commission_structure'!$A$1:$I$4,MATCH($E164,'2018_commission_structure'!$A$1:$A$4,0),MATCH(Q$1,'2018_commission_structure'!$A$1:$I$1,0)),0)</f>
        <v>0</v>
      </c>
      <c r="R164" s="9">
        <f>IF($H164&gt;K164, MIN($H164-K164, L164-K164)*INDEX('2018_commission_structure'!$A$1:$I$4,MATCH($E164,'2018_commission_structure'!$A$1:$A$4,0),MATCH(R$1,'2018_commission_structure'!$A$1:$I$1,0)),0)</f>
        <v>0</v>
      </c>
      <c r="S164" s="9">
        <f>IF(H164&gt;L164,(H164-L164)*INDEX('2018_commission_structure'!$A$1:$I$4,MATCH($E164,'2018_commission_structure'!$A$1:$A$4,0),MATCH(S$1,'2018_commission_structure'!$A$1:$I$1,0)),0)</f>
        <v>0</v>
      </c>
      <c r="T164" s="9">
        <f t="shared" si="26"/>
        <v>49388.7</v>
      </c>
      <c r="U164" s="9">
        <f t="shared" si="27"/>
        <v>165701.70000000001</v>
      </c>
      <c r="V164" s="9">
        <f>MIN($I164,$H164)*INDEX('Key Metrics'!$E$16:$N$19,MATCH($E164,'Key Metrics'!$E$16:$E$19,0),MATCH(V$1,'Key Metrics'!$E$16:$M$16,0))</f>
        <v>49388.7</v>
      </c>
      <c r="W164" s="9">
        <f>IF($H164&gt;I164, MIN($H164-I164, J164-I164)*INDEX('Key Metrics'!$E$16:$N$19,MATCH($E164,'Key Metrics'!$E$16:$E$19,0),MATCH(W$1,'Key Metrics'!$E$16:$M$16,0)),0)</f>
        <v>0</v>
      </c>
      <c r="X164" s="9">
        <f>IF($H164&gt;J164, MIN($H164-J164, K164-J164)*INDEX('Key Metrics'!$E$16:$N$19,MATCH($E164,'Key Metrics'!$E$16:$E$19,0),MATCH(X$1,'Key Metrics'!$E$16:$M$16,0)),0)</f>
        <v>0</v>
      </c>
      <c r="Y164" s="9">
        <f>IF($H164&gt;K164, MIN($H164-K164, L164-K164)*INDEX('Key Metrics'!$E$16:$N$19,MATCH($E164,'Key Metrics'!$E$16:$E$19,0),MATCH(Y$1,'Key Metrics'!$E$16:$M$16,0)),0)</f>
        <v>0</v>
      </c>
      <c r="Z164" s="9">
        <f>IF($H164&gt;L164,($H164-L164)*INDEX('Key Metrics'!$E$16:$N$19,MATCH($E164,'Key Metrics'!$E$16:$E$19,0),MATCH(Z$1,'Key Metrics'!$E$16:$M$16,0)),0)</f>
        <v>0</v>
      </c>
      <c r="AA164" s="9">
        <f t="shared" si="28"/>
        <v>49388.7</v>
      </c>
      <c r="AB164" s="9">
        <f t="shared" si="29"/>
        <v>49389.139010666666</v>
      </c>
    </row>
    <row r="165" spans="1:28" x14ac:dyDescent="0.55000000000000004">
      <c r="A165" t="str">
        <f t="shared" si="20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COUNTIF(deals_closed!$D$2:$D$20001,Calculations!B61)</f>
        <v>15</v>
      </c>
      <c r="H165" s="7">
        <f>SUMIF(deals_closed!$D:$D,Calculations!B61,deals_closed!$C:$C)</f>
        <v>500816</v>
      </c>
      <c r="I165" s="5">
        <f>VLOOKUP(E165,'2018_commission_structure'!$A$1:$I$4,9,FALSE)</f>
        <v>750000</v>
      </c>
      <c r="J165" s="9">
        <f t="shared" si="21"/>
        <v>937500</v>
      </c>
      <c r="K165" s="10">
        <f t="shared" si="22"/>
        <v>1125000</v>
      </c>
      <c r="L165" s="9">
        <f t="shared" si="23"/>
        <v>1500000</v>
      </c>
      <c r="M165" s="8">
        <f t="shared" si="24"/>
        <v>0.66775466666666672</v>
      </c>
      <c r="N165" t="str">
        <f t="shared" si="25"/>
        <v>0-100%</v>
      </c>
      <c r="O165" s="9">
        <f>MIN($H165,$I165)*INDEX('2018_commission_structure'!$A$1:$I$4,MATCH($E165,'2018_commission_structure'!$A$1:$A$4,0),MATCH(O$1,'2018_commission_structure'!$A$1:$I$1,0))</f>
        <v>75122.399999999994</v>
      </c>
      <c r="P165" s="9">
        <f>IF(H165&gt;I165, MIN(H165-I165, J165-I165)*INDEX('2018_commission_structure'!$A$1:$I$4,MATCH($E165,'2018_commission_structure'!$A$1:$A$4,0),MATCH(P$1,'2018_commission_structure'!$A$1:$I$1,0)),0)</f>
        <v>0</v>
      </c>
      <c r="Q165" s="9">
        <f>IF($H165&gt;J165, MIN($H165-J165, K165-J165)*INDEX('2018_commission_structure'!$A$1:$I$4,MATCH($E165,'2018_commission_structure'!$A$1:$A$4,0),MATCH(Q$1,'2018_commission_structure'!$A$1:$I$1,0)),0)</f>
        <v>0</v>
      </c>
      <c r="R165" s="9">
        <f>IF($H165&gt;K165, MIN($H165-K165, L165-K165)*INDEX('2018_commission_structure'!$A$1:$I$4,MATCH($E165,'2018_commission_structure'!$A$1:$A$4,0),MATCH(R$1,'2018_commission_structure'!$A$1:$I$1,0)),0)</f>
        <v>0</v>
      </c>
      <c r="S165" s="9">
        <f>IF(H165&gt;L165,(H165-L165)*INDEX('2018_commission_structure'!$A$1:$I$4,MATCH($E165,'2018_commission_structure'!$A$1:$A$4,0),MATCH(S$1,'2018_commission_structure'!$A$1:$I$1,0)),0)</f>
        <v>0</v>
      </c>
      <c r="T165" s="9">
        <f t="shared" si="26"/>
        <v>75122.399999999994</v>
      </c>
      <c r="U165" s="9">
        <f t="shared" si="27"/>
        <v>171121.4</v>
      </c>
      <c r="V165" s="9">
        <f>MIN($I165,$H165)*INDEX('Key Metrics'!$E$16:$N$19,MATCH($E165,'Key Metrics'!$E$16:$E$19,0),MATCH(V$1,'Key Metrics'!$E$16:$M$16,0))</f>
        <v>75122.399999999994</v>
      </c>
      <c r="W165" s="9">
        <f>IF($H165&gt;I165, MIN($H165-I165, J165-I165)*INDEX('Key Metrics'!$E$16:$N$19,MATCH($E165,'Key Metrics'!$E$16:$E$19,0),MATCH(W$1,'Key Metrics'!$E$16:$M$16,0)),0)</f>
        <v>0</v>
      </c>
      <c r="X165" s="9">
        <f>IF($H165&gt;J165, MIN($H165-J165, K165-J165)*INDEX('Key Metrics'!$E$16:$N$19,MATCH($E165,'Key Metrics'!$E$16:$E$19,0),MATCH(X$1,'Key Metrics'!$E$16:$M$16,0)),0)</f>
        <v>0</v>
      </c>
      <c r="Y165" s="9">
        <f>IF($H165&gt;K165, MIN($H165-K165, L165-K165)*INDEX('Key Metrics'!$E$16:$N$19,MATCH($E165,'Key Metrics'!$E$16:$E$19,0),MATCH(Y$1,'Key Metrics'!$E$16:$M$16,0)),0)</f>
        <v>0</v>
      </c>
      <c r="Z165" s="9">
        <f>IF($H165&gt;L165,($H165-L165)*INDEX('Key Metrics'!$E$16:$N$19,MATCH($E165,'Key Metrics'!$E$16:$E$19,0),MATCH(Z$1,'Key Metrics'!$E$16:$M$16,0)),0)</f>
        <v>0</v>
      </c>
      <c r="AA165" s="9">
        <f t="shared" si="28"/>
        <v>75122.399999999994</v>
      </c>
      <c r="AB165" s="9">
        <f t="shared" si="29"/>
        <v>75123.067754666656</v>
      </c>
    </row>
    <row r="166" spans="1:28" x14ac:dyDescent="0.55000000000000004">
      <c r="A166" t="str">
        <f t="shared" si="20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COUNTIF(deals_closed!$D$2:$D$20001,Calculations!B238)</f>
        <v>17</v>
      </c>
      <c r="H166" s="7">
        <f>SUMIF(deals_closed!$D:$D,Calculations!B238,deals_closed!$C:$C)</f>
        <v>608507</v>
      </c>
      <c r="I166" s="5">
        <f>VLOOKUP(E166,'2018_commission_structure'!$A$1:$I$4,9,FALSE)</f>
        <v>600000</v>
      </c>
      <c r="J166" s="9">
        <f t="shared" si="21"/>
        <v>750000</v>
      </c>
      <c r="K166" s="10">
        <f t="shared" si="22"/>
        <v>900000</v>
      </c>
      <c r="L166" s="9">
        <f t="shared" si="23"/>
        <v>1200000</v>
      </c>
      <c r="M166" s="8">
        <f t="shared" si="24"/>
        <v>1.0141783333333334</v>
      </c>
      <c r="N166" t="str">
        <f t="shared" si="25"/>
        <v>100-125%</v>
      </c>
      <c r="O166" s="9">
        <f>MIN($H166,$I166)*INDEX('2018_commission_structure'!$A$1:$I$4,MATCH($E166,'2018_commission_structure'!$A$1:$A$4,0),MATCH(O$1,'2018_commission_structure'!$A$1:$I$1,0))</f>
        <v>78000</v>
      </c>
      <c r="P166" s="9">
        <f>IF(H166&gt;I166, MIN(H166-I166, J166-I166)*INDEX('2018_commission_structure'!$A$1:$I$4,MATCH($E166,'2018_commission_structure'!$A$1:$A$4,0),MATCH(P$1,'2018_commission_structure'!$A$1:$I$1,0)),0)</f>
        <v>1446.19</v>
      </c>
      <c r="Q166" s="9">
        <f>IF($H166&gt;J166, MIN($H166-J166, K166-J166)*INDEX('2018_commission_structure'!$A$1:$I$4,MATCH($E166,'2018_commission_structure'!$A$1:$A$4,0),MATCH(Q$1,'2018_commission_structure'!$A$1:$I$1,0)),0)</f>
        <v>0</v>
      </c>
      <c r="R166" s="9">
        <f>IF($H166&gt;K166, MIN($H166-K166, L166-K166)*INDEX('2018_commission_structure'!$A$1:$I$4,MATCH($E166,'2018_commission_structure'!$A$1:$A$4,0),MATCH(R$1,'2018_commission_structure'!$A$1:$I$1,0)),0)</f>
        <v>0</v>
      </c>
      <c r="S166" s="9">
        <f>IF(H166&gt;L166,(H166-L166)*INDEX('2018_commission_structure'!$A$1:$I$4,MATCH($E166,'2018_commission_structure'!$A$1:$A$4,0),MATCH(S$1,'2018_commission_structure'!$A$1:$I$1,0)),0)</f>
        <v>0</v>
      </c>
      <c r="T166" s="9">
        <f t="shared" si="26"/>
        <v>79446.19</v>
      </c>
      <c r="U166" s="9">
        <f t="shared" si="27"/>
        <v>158134.19</v>
      </c>
      <c r="V166" s="9">
        <f>MIN($I166,$H166)*INDEX('Key Metrics'!$E$16:$N$19,MATCH($E166,'Key Metrics'!$E$16:$E$19,0),MATCH(V$1,'Key Metrics'!$E$16:$M$16,0))</f>
        <v>90000</v>
      </c>
      <c r="W166" s="9">
        <f>IF($H166&gt;I166, MIN($H166-I166, J166-I166)*INDEX('Key Metrics'!$E$16:$N$19,MATCH($E166,'Key Metrics'!$E$16:$E$19,0),MATCH(W$1,'Key Metrics'!$E$16:$M$16,0)),0)</f>
        <v>1531.26</v>
      </c>
      <c r="X166" s="9">
        <f>IF($H166&gt;J166, MIN($H166-J166, K166-J166)*INDEX('Key Metrics'!$E$16:$N$19,MATCH($E166,'Key Metrics'!$E$16:$E$19,0),MATCH(X$1,'Key Metrics'!$E$16:$M$16,0)),0)</f>
        <v>0</v>
      </c>
      <c r="Y166" s="9">
        <f>IF($H166&gt;K166, MIN($H166-K166, L166-K166)*INDEX('Key Metrics'!$E$16:$N$19,MATCH($E166,'Key Metrics'!$E$16:$E$19,0),MATCH(Y$1,'Key Metrics'!$E$16:$M$16,0)),0)</f>
        <v>0</v>
      </c>
      <c r="Z166" s="9">
        <f>IF($H166&gt;L166,($H166-L166)*INDEX('Key Metrics'!$E$16:$N$19,MATCH($E166,'Key Metrics'!$E$16:$E$19,0),MATCH(Z$1,'Key Metrics'!$E$16:$M$16,0)),0)</f>
        <v>0</v>
      </c>
      <c r="AA166" s="9">
        <f t="shared" si="28"/>
        <v>91531.26</v>
      </c>
      <c r="AB166" s="9">
        <f t="shared" si="29"/>
        <v>91532.274178333333</v>
      </c>
    </row>
    <row r="167" spans="1:28" x14ac:dyDescent="0.55000000000000004">
      <c r="A167" t="str">
        <f t="shared" si="20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COUNTIF(deals_closed!$D$2:$D$20001,Calculations!B350)</f>
        <v>24</v>
      </c>
      <c r="H167" s="7">
        <f>SUMIF(deals_closed!$D:$D,Calculations!B350,deals_closed!$C:$C)</f>
        <v>860270</v>
      </c>
      <c r="I167" s="5">
        <f>VLOOKUP(E167,'2018_commission_structure'!$A$1:$I$4,9,FALSE)</f>
        <v>750000</v>
      </c>
      <c r="J167" s="9">
        <f t="shared" si="21"/>
        <v>937500</v>
      </c>
      <c r="K167" s="10">
        <f t="shared" si="22"/>
        <v>1125000</v>
      </c>
      <c r="L167" s="9">
        <f t="shared" si="23"/>
        <v>1500000</v>
      </c>
      <c r="M167" s="8">
        <f t="shared" si="24"/>
        <v>1.1470266666666666</v>
      </c>
      <c r="N167" t="str">
        <f t="shared" si="25"/>
        <v>100-125%</v>
      </c>
      <c r="O167" s="9">
        <f>MIN($H167,$I167)*INDEX('2018_commission_structure'!$A$1:$I$4,MATCH($E167,'2018_commission_structure'!$A$1:$A$4,0),MATCH(O$1,'2018_commission_structure'!$A$1:$I$1,0))</f>
        <v>112500</v>
      </c>
      <c r="P167" s="9">
        <f>IF(H167&gt;I167, MIN(H167-I167, J167-I167)*INDEX('2018_commission_structure'!$A$1:$I$4,MATCH($E167,'2018_commission_structure'!$A$1:$A$4,0),MATCH(P$1,'2018_commission_structure'!$A$1:$I$1,0)),0)</f>
        <v>20951.3</v>
      </c>
      <c r="Q167" s="9">
        <f>IF($H167&gt;J167, MIN($H167-J167, K167-J167)*INDEX('2018_commission_structure'!$A$1:$I$4,MATCH($E167,'2018_commission_structure'!$A$1:$A$4,0),MATCH(Q$1,'2018_commission_structure'!$A$1:$I$1,0)),0)</f>
        <v>0</v>
      </c>
      <c r="R167" s="9">
        <f>IF($H167&gt;K167, MIN($H167-K167, L167-K167)*INDEX('2018_commission_structure'!$A$1:$I$4,MATCH($E167,'2018_commission_structure'!$A$1:$A$4,0),MATCH(R$1,'2018_commission_structure'!$A$1:$I$1,0)),0)</f>
        <v>0</v>
      </c>
      <c r="S167" s="9">
        <f>IF(H167&gt;L167,(H167-L167)*INDEX('2018_commission_structure'!$A$1:$I$4,MATCH($E167,'2018_commission_structure'!$A$1:$A$4,0),MATCH(S$1,'2018_commission_structure'!$A$1:$I$1,0)),0)</f>
        <v>0</v>
      </c>
      <c r="T167" s="9">
        <f t="shared" si="26"/>
        <v>133451.29999999999</v>
      </c>
      <c r="U167" s="9">
        <f t="shared" si="27"/>
        <v>220935.3</v>
      </c>
      <c r="V167" s="9">
        <f>MIN($I167,$H167)*INDEX('Key Metrics'!$E$16:$N$19,MATCH($E167,'Key Metrics'!$E$16:$E$19,0),MATCH(V$1,'Key Metrics'!$E$16:$M$16,0))</f>
        <v>112500</v>
      </c>
      <c r="W167" s="9">
        <f>IF($H167&gt;I167, MIN($H167-I167, J167-I167)*INDEX('Key Metrics'!$E$16:$N$19,MATCH($E167,'Key Metrics'!$E$16:$E$19,0),MATCH(W$1,'Key Metrics'!$E$16:$M$16,0)),0)</f>
        <v>24259.4</v>
      </c>
      <c r="X167" s="9">
        <f>IF($H167&gt;J167, MIN($H167-J167, K167-J167)*INDEX('Key Metrics'!$E$16:$N$19,MATCH($E167,'Key Metrics'!$E$16:$E$19,0),MATCH(X$1,'Key Metrics'!$E$16:$M$16,0)),0)</f>
        <v>0</v>
      </c>
      <c r="Y167" s="9">
        <f>IF($H167&gt;K167, MIN($H167-K167, L167-K167)*INDEX('Key Metrics'!$E$16:$N$19,MATCH($E167,'Key Metrics'!$E$16:$E$19,0),MATCH(Y$1,'Key Metrics'!$E$16:$M$16,0)),0)</f>
        <v>0</v>
      </c>
      <c r="Z167" s="9">
        <f>IF($H167&gt;L167,($H167-L167)*INDEX('Key Metrics'!$E$16:$N$19,MATCH($E167,'Key Metrics'!$E$16:$E$19,0),MATCH(Z$1,'Key Metrics'!$E$16:$M$16,0)),0)</f>
        <v>0</v>
      </c>
      <c r="AA167" s="9">
        <f t="shared" si="28"/>
        <v>136759.4</v>
      </c>
      <c r="AB167" s="9">
        <f t="shared" si="29"/>
        <v>136760.54702666667</v>
      </c>
    </row>
    <row r="168" spans="1:28" x14ac:dyDescent="0.55000000000000004">
      <c r="A168" t="str">
        <f t="shared" si="20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COUNTIF(deals_closed!$D$2:$D$20001,Calculations!B802)</f>
        <v>20</v>
      </c>
      <c r="H168" s="7">
        <f>SUMIF(deals_closed!$D:$D,Calculations!B802,deals_closed!$C:$C)</f>
        <v>730595</v>
      </c>
      <c r="I168" s="5">
        <f>VLOOKUP(E168,'2018_commission_structure'!$A$1:$I$4,9,FALSE)</f>
        <v>600000</v>
      </c>
      <c r="J168" s="9">
        <f t="shared" si="21"/>
        <v>750000</v>
      </c>
      <c r="K168" s="10">
        <f t="shared" si="22"/>
        <v>900000</v>
      </c>
      <c r="L168" s="9">
        <f t="shared" si="23"/>
        <v>1200000</v>
      </c>
      <c r="M168" s="8">
        <f t="shared" si="24"/>
        <v>1.2176583333333333</v>
      </c>
      <c r="N168" t="str">
        <f t="shared" si="25"/>
        <v>100-125%</v>
      </c>
      <c r="O168" s="9">
        <f>MIN($H168,$I168)*INDEX('2018_commission_structure'!$A$1:$I$4,MATCH($E168,'2018_commission_structure'!$A$1:$A$4,0),MATCH(O$1,'2018_commission_structure'!$A$1:$I$1,0))</f>
        <v>78000</v>
      </c>
      <c r="P168" s="9">
        <f>IF(H168&gt;I168, MIN(H168-I168, J168-I168)*INDEX('2018_commission_structure'!$A$1:$I$4,MATCH($E168,'2018_commission_structure'!$A$1:$A$4,0),MATCH(P$1,'2018_commission_structure'!$A$1:$I$1,0)),0)</f>
        <v>22201.15</v>
      </c>
      <c r="Q168" s="9">
        <f>IF($H168&gt;J168, MIN($H168-J168, K168-J168)*INDEX('2018_commission_structure'!$A$1:$I$4,MATCH($E168,'2018_commission_structure'!$A$1:$A$4,0),MATCH(Q$1,'2018_commission_structure'!$A$1:$I$1,0)),0)</f>
        <v>0</v>
      </c>
      <c r="R168" s="9">
        <f>IF($H168&gt;K168, MIN($H168-K168, L168-K168)*INDEX('2018_commission_structure'!$A$1:$I$4,MATCH($E168,'2018_commission_structure'!$A$1:$A$4,0),MATCH(R$1,'2018_commission_structure'!$A$1:$I$1,0)),0)</f>
        <v>0</v>
      </c>
      <c r="S168" s="9">
        <f>IF(H168&gt;L168,(H168-L168)*INDEX('2018_commission_structure'!$A$1:$I$4,MATCH($E168,'2018_commission_structure'!$A$1:$A$4,0),MATCH(S$1,'2018_commission_structure'!$A$1:$I$1,0)),0)</f>
        <v>0</v>
      </c>
      <c r="T168" s="9">
        <f t="shared" si="26"/>
        <v>100201.15</v>
      </c>
      <c r="U168" s="9">
        <f t="shared" si="27"/>
        <v>156217.15</v>
      </c>
      <c r="V168" s="9">
        <f>MIN($I168,$H168)*INDEX('Key Metrics'!$E$16:$N$19,MATCH($E168,'Key Metrics'!$E$16:$E$19,0),MATCH(V$1,'Key Metrics'!$E$16:$M$16,0))</f>
        <v>90000</v>
      </c>
      <c r="W168" s="9">
        <f>IF($H168&gt;I168, MIN($H168-I168, J168-I168)*INDEX('Key Metrics'!$E$16:$N$19,MATCH($E168,'Key Metrics'!$E$16:$E$19,0),MATCH(W$1,'Key Metrics'!$E$16:$M$16,0)),0)</f>
        <v>23507.1</v>
      </c>
      <c r="X168" s="9">
        <f>IF($H168&gt;J168, MIN($H168-J168, K168-J168)*INDEX('Key Metrics'!$E$16:$N$19,MATCH($E168,'Key Metrics'!$E$16:$E$19,0),MATCH(X$1,'Key Metrics'!$E$16:$M$16,0)),0)</f>
        <v>0</v>
      </c>
      <c r="Y168" s="9">
        <f>IF($H168&gt;K168, MIN($H168-K168, L168-K168)*INDEX('Key Metrics'!$E$16:$N$19,MATCH($E168,'Key Metrics'!$E$16:$E$19,0),MATCH(Y$1,'Key Metrics'!$E$16:$M$16,0)),0)</f>
        <v>0</v>
      </c>
      <c r="Z168" s="9">
        <f>IF($H168&gt;L168,($H168-L168)*INDEX('Key Metrics'!$E$16:$N$19,MATCH($E168,'Key Metrics'!$E$16:$E$19,0),MATCH(Z$1,'Key Metrics'!$E$16:$M$16,0)),0)</f>
        <v>0</v>
      </c>
      <c r="AA168" s="9">
        <f t="shared" si="28"/>
        <v>113507.1</v>
      </c>
      <c r="AB168" s="9">
        <f t="shared" si="29"/>
        <v>113508.31765833334</v>
      </c>
    </row>
    <row r="169" spans="1:28" x14ac:dyDescent="0.55000000000000004">
      <c r="A169" t="str">
        <f t="shared" si="20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COUNTIF(deals_closed!$D$2:$D$20001,Calculations!B874)</f>
        <v>14</v>
      </c>
      <c r="H169" s="7">
        <f>SUMIF(deals_closed!$D:$D,Calculations!B874,deals_closed!$C:$C)</f>
        <v>459113</v>
      </c>
      <c r="I169" s="5">
        <f>VLOOKUP(E169,'2018_commission_structure'!$A$1:$I$4,9,FALSE)</f>
        <v>500000</v>
      </c>
      <c r="J169" s="9">
        <f t="shared" si="21"/>
        <v>625000</v>
      </c>
      <c r="K169" s="10">
        <f t="shared" si="22"/>
        <v>750000</v>
      </c>
      <c r="L169" s="9">
        <f t="shared" si="23"/>
        <v>1000000</v>
      </c>
      <c r="M169" s="8">
        <f t="shared" si="24"/>
        <v>0.91822599999999999</v>
      </c>
      <c r="N169" t="str">
        <f t="shared" si="25"/>
        <v>0-100%</v>
      </c>
      <c r="O169" s="9">
        <f>MIN($H169,$I169)*INDEX('2018_commission_structure'!$A$1:$I$4,MATCH($E169,'2018_commission_structure'!$A$1:$A$4,0),MATCH(O$1,'2018_commission_structure'!$A$1:$I$1,0))</f>
        <v>45911.3</v>
      </c>
      <c r="P169" s="9">
        <f>IF(H169&gt;I169, MIN(H169-I169, J169-I169)*INDEX('2018_commission_structure'!$A$1:$I$4,MATCH($E169,'2018_commission_structure'!$A$1:$A$4,0),MATCH(P$1,'2018_commission_structure'!$A$1:$I$1,0)),0)</f>
        <v>0</v>
      </c>
      <c r="Q169" s="9">
        <f>IF($H169&gt;J169, MIN($H169-J169, K169-J169)*INDEX('2018_commission_structure'!$A$1:$I$4,MATCH($E169,'2018_commission_structure'!$A$1:$A$4,0),MATCH(Q$1,'2018_commission_structure'!$A$1:$I$1,0)),0)</f>
        <v>0</v>
      </c>
      <c r="R169" s="9">
        <f>IF($H169&gt;K169, MIN($H169-K169, L169-K169)*INDEX('2018_commission_structure'!$A$1:$I$4,MATCH($E169,'2018_commission_structure'!$A$1:$A$4,0),MATCH(R$1,'2018_commission_structure'!$A$1:$I$1,0)),0)</f>
        <v>0</v>
      </c>
      <c r="S169" s="9">
        <f>IF(H169&gt;L169,(H169-L169)*INDEX('2018_commission_structure'!$A$1:$I$4,MATCH($E169,'2018_commission_structure'!$A$1:$A$4,0),MATCH(S$1,'2018_commission_structure'!$A$1:$I$1,0)),0)</f>
        <v>0</v>
      </c>
      <c r="T169" s="9">
        <f t="shared" si="26"/>
        <v>45911.3</v>
      </c>
      <c r="U169" s="9">
        <f t="shared" si="27"/>
        <v>102698.3</v>
      </c>
      <c r="V169" s="9">
        <f>MIN($I169,$H169)*INDEX('Key Metrics'!$E$16:$N$19,MATCH($E169,'Key Metrics'!$E$16:$E$19,0),MATCH(V$1,'Key Metrics'!$E$16:$M$16,0))</f>
        <v>55093.56</v>
      </c>
      <c r="W169" s="9">
        <f>IF($H169&gt;I169, MIN($H169-I169, J169-I169)*INDEX('Key Metrics'!$E$16:$N$19,MATCH($E169,'Key Metrics'!$E$16:$E$19,0),MATCH(W$1,'Key Metrics'!$E$16:$M$16,0)),0)</f>
        <v>0</v>
      </c>
      <c r="X169" s="9">
        <f>IF($H169&gt;J169, MIN($H169-J169, K169-J169)*INDEX('Key Metrics'!$E$16:$N$19,MATCH($E169,'Key Metrics'!$E$16:$E$19,0),MATCH(X$1,'Key Metrics'!$E$16:$M$16,0)),0)</f>
        <v>0</v>
      </c>
      <c r="Y169" s="9">
        <f>IF($H169&gt;K169, MIN($H169-K169, L169-K169)*INDEX('Key Metrics'!$E$16:$N$19,MATCH($E169,'Key Metrics'!$E$16:$E$19,0),MATCH(Y$1,'Key Metrics'!$E$16:$M$16,0)),0)</f>
        <v>0</v>
      </c>
      <c r="Z169" s="9">
        <f>IF($H169&gt;L169,($H169-L169)*INDEX('Key Metrics'!$E$16:$N$19,MATCH($E169,'Key Metrics'!$E$16:$E$19,0),MATCH(Z$1,'Key Metrics'!$E$16:$M$16,0)),0)</f>
        <v>0</v>
      </c>
      <c r="AA169" s="9">
        <f t="shared" si="28"/>
        <v>55093.56</v>
      </c>
      <c r="AB169" s="9">
        <f t="shared" si="29"/>
        <v>55094.478225999999</v>
      </c>
    </row>
    <row r="170" spans="1:28" x14ac:dyDescent="0.55000000000000004">
      <c r="A170" t="str">
        <f t="shared" si="20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COUNTIF(deals_closed!$D$2:$D$20001,Calculations!B443)</f>
        <v>18</v>
      </c>
      <c r="H170" s="7">
        <f>SUMIF(deals_closed!$D:$D,Calculations!B443,deals_closed!$C:$C)</f>
        <v>638085</v>
      </c>
      <c r="I170" s="5">
        <f>VLOOKUP(E170,'2018_commission_structure'!$A$1:$I$4,9,FALSE)</f>
        <v>600000</v>
      </c>
      <c r="J170" s="9">
        <f t="shared" si="21"/>
        <v>750000</v>
      </c>
      <c r="K170" s="10">
        <f t="shared" si="22"/>
        <v>900000</v>
      </c>
      <c r="L170" s="9">
        <f t="shared" si="23"/>
        <v>1200000</v>
      </c>
      <c r="M170" s="8">
        <f t="shared" si="24"/>
        <v>1.0634749999999999</v>
      </c>
      <c r="N170" t="str">
        <f t="shared" si="25"/>
        <v>100-125%</v>
      </c>
      <c r="O170" s="9">
        <f>MIN($H170,$I170)*INDEX('2018_commission_structure'!$A$1:$I$4,MATCH($E170,'2018_commission_structure'!$A$1:$A$4,0),MATCH(O$1,'2018_commission_structure'!$A$1:$I$1,0))</f>
        <v>78000</v>
      </c>
      <c r="P170" s="9">
        <f>IF(H170&gt;I170, MIN(H170-I170, J170-I170)*INDEX('2018_commission_structure'!$A$1:$I$4,MATCH($E170,'2018_commission_structure'!$A$1:$A$4,0),MATCH(P$1,'2018_commission_structure'!$A$1:$I$1,0)),0)</f>
        <v>6474.4500000000007</v>
      </c>
      <c r="Q170" s="9">
        <f>IF($H170&gt;J170, MIN($H170-J170, K170-J170)*INDEX('2018_commission_structure'!$A$1:$I$4,MATCH($E170,'2018_commission_structure'!$A$1:$A$4,0),MATCH(Q$1,'2018_commission_structure'!$A$1:$I$1,0)),0)</f>
        <v>0</v>
      </c>
      <c r="R170" s="9">
        <f>IF($H170&gt;K170, MIN($H170-K170, L170-K170)*INDEX('2018_commission_structure'!$A$1:$I$4,MATCH($E170,'2018_commission_structure'!$A$1:$A$4,0),MATCH(R$1,'2018_commission_structure'!$A$1:$I$1,0)),0)</f>
        <v>0</v>
      </c>
      <c r="S170" s="9">
        <f>IF(H170&gt;L170,(H170-L170)*INDEX('2018_commission_structure'!$A$1:$I$4,MATCH($E170,'2018_commission_structure'!$A$1:$A$4,0),MATCH(S$1,'2018_commission_structure'!$A$1:$I$1,0)),0)</f>
        <v>0</v>
      </c>
      <c r="T170" s="9">
        <f t="shared" si="26"/>
        <v>84474.45</v>
      </c>
      <c r="U170" s="9">
        <f t="shared" si="27"/>
        <v>163463.45000000001</v>
      </c>
      <c r="V170" s="9">
        <f>MIN($I170,$H170)*INDEX('Key Metrics'!$E$16:$N$19,MATCH($E170,'Key Metrics'!$E$16:$E$19,0),MATCH(V$1,'Key Metrics'!$E$16:$M$16,0))</f>
        <v>90000</v>
      </c>
      <c r="W170" s="9">
        <f>IF($H170&gt;I170, MIN($H170-I170, J170-I170)*INDEX('Key Metrics'!$E$16:$N$19,MATCH($E170,'Key Metrics'!$E$16:$E$19,0),MATCH(W$1,'Key Metrics'!$E$16:$M$16,0)),0)</f>
        <v>6855.3</v>
      </c>
      <c r="X170" s="9">
        <f>IF($H170&gt;J170, MIN($H170-J170, K170-J170)*INDEX('Key Metrics'!$E$16:$N$19,MATCH($E170,'Key Metrics'!$E$16:$E$19,0),MATCH(X$1,'Key Metrics'!$E$16:$M$16,0)),0)</f>
        <v>0</v>
      </c>
      <c r="Y170" s="9">
        <f>IF($H170&gt;K170, MIN($H170-K170, L170-K170)*INDEX('Key Metrics'!$E$16:$N$19,MATCH($E170,'Key Metrics'!$E$16:$E$19,0),MATCH(Y$1,'Key Metrics'!$E$16:$M$16,0)),0)</f>
        <v>0</v>
      </c>
      <c r="Z170" s="9">
        <f>IF($H170&gt;L170,($H170-L170)*INDEX('Key Metrics'!$E$16:$N$19,MATCH($E170,'Key Metrics'!$E$16:$E$19,0),MATCH(Z$1,'Key Metrics'!$E$16:$M$16,0)),0)</f>
        <v>0</v>
      </c>
      <c r="AA170" s="9">
        <f t="shared" si="28"/>
        <v>96855.3</v>
      </c>
      <c r="AB170" s="9">
        <f t="shared" si="29"/>
        <v>96856.363475000006</v>
      </c>
    </row>
    <row r="171" spans="1:28" x14ac:dyDescent="0.55000000000000004">
      <c r="A171" t="str">
        <f t="shared" si="20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COUNTIF(deals_closed!$D$2:$D$20001,Calculations!B149)</f>
        <v>15</v>
      </c>
      <c r="H171" s="7">
        <f>SUMIF(deals_closed!$D:$D,Calculations!B149,deals_closed!$C:$C)</f>
        <v>549442</v>
      </c>
      <c r="I171" s="5">
        <f>VLOOKUP(E171,'2018_commission_structure'!$A$1:$I$4,9,FALSE)</f>
        <v>600000</v>
      </c>
      <c r="J171" s="9">
        <f t="shared" si="21"/>
        <v>750000</v>
      </c>
      <c r="K171" s="10">
        <f t="shared" si="22"/>
        <v>900000</v>
      </c>
      <c r="L171" s="9">
        <f t="shared" si="23"/>
        <v>1200000</v>
      </c>
      <c r="M171" s="8">
        <f t="shared" si="24"/>
        <v>0.91573666666666664</v>
      </c>
      <c r="N171" t="str">
        <f t="shared" si="25"/>
        <v>0-100%</v>
      </c>
      <c r="O171" s="9">
        <f>MIN($H171,$I171)*INDEX('2018_commission_structure'!$A$1:$I$4,MATCH($E171,'2018_commission_structure'!$A$1:$A$4,0),MATCH(O$1,'2018_commission_structure'!$A$1:$I$1,0))</f>
        <v>71427.460000000006</v>
      </c>
      <c r="P171" s="9">
        <f>IF(H171&gt;I171, MIN(H171-I171, J171-I171)*INDEX('2018_commission_structure'!$A$1:$I$4,MATCH($E171,'2018_commission_structure'!$A$1:$A$4,0),MATCH(P$1,'2018_commission_structure'!$A$1:$I$1,0)),0)</f>
        <v>0</v>
      </c>
      <c r="Q171" s="9">
        <f>IF($H171&gt;J171, MIN($H171-J171, K171-J171)*INDEX('2018_commission_structure'!$A$1:$I$4,MATCH($E171,'2018_commission_structure'!$A$1:$A$4,0),MATCH(Q$1,'2018_commission_structure'!$A$1:$I$1,0)),0)</f>
        <v>0</v>
      </c>
      <c r="R171" s="9">
        <f>IF($H171&gt;K171, MIN($H171-K171, L171-K171)*INDEX('2018_commission_structure'!$A$1:$I$4,MATCH($E171,'2018_commission_structure'!$A$1:$A$4,0),MATCH(R$1,'2018_commission_structure'!$A$1:$I$1,0)),0)</f>
        <v>0</v>
      </c>
      <c r="S171" s="9">
        <f>IF(H171&gt;L171,(H171-L171)*INDEX('2018_commission_structure'!$A$1:$I$4,MATCH($E171,'2018_commission_structure'!$A$1:$A$4,0),MATCH(S$1,'2018_commission_structure'!$A$1:$I$1,0)),0)</f>
        <v>0</v>
      </c>
      <c r="T171" s="9">
        <f t="shared" si="26"/>
        <v>71427.460000000006</v>
      </c>
      <c r="U171" s="9">
        <f t="shared" si="27"/>
        <v>141733.46000000002</v>
      </c>
      <c r="V171" s="9">
        <f>MIN($I171,$H171)*INDEX('Key Metrics'!$E$16:$N$19,MATCH($E171,'Key Metrics'!$E$16:$E$19,0),MATCH(V$1,'Key Metrics'!$E$16:$M$16,0))</f>
        <v>82416.3</v>
      </c>
      <c r="W171" s="9">
        <f>IF($H171&gt;I171, MIN($H171-I171, J171-I171)*INDEX('Key Metrics'!$E$16:$N$19,MATCH($E171,'Key Metrics'!$E$16:$E$19,0),MATCH(W$1,'Key Metrics'!$E$16:$M$16,0)),0)</f>
        <v>0</v>
      </c>
      <c r="X171" s="9">
        <f>IF($H171&gt;J171, MIN($H171-J171, K171-J171)*INDEX('Key Metrics'!$E$16:$N$19,MATCH($E171,'Key Metrics'!$E$16:$E$19,0),MATCH(X$1,'Key Metrics'!$E$16:$M$16,0)),0)</f>
        <v>0</v>
      </c>
      <c r="Y171" s="9">
        <f>IF($H171&gt;K171, MIN($H171-K171, L171-K171)*INDEX('Key Metrics'!$E$16:$N$19,MATCH($E171,'Key Metrics'!$E$16:$E$19,0),MATCH(Y$1,'Key Metrics'!$E$16:$M$16,0)),0)</f>
        <v>0</v>
      </c>
      <c r="Z171" s="9">
        <f>IF($H171&gt;L171,($H171-L171)*INDEX('Key Metrics'!$E$16:$N$19,MATCH($E171,'Key Metrics'!$E$16:$E$19,0),MATCH(Z$1,'Key Metrics'!$E$16:$M$16,0)),0)</f>
        <v>0</v>
      </c>
      <c r="AA171" s="9">
        <f t="shared" si="28"/>
        <v>82416.3</v>
      </c>
      <c r="AB171" s="9">
        <f t="shared" si="29"/>
        <v>82417.215736666665</v>
      </c>
    </row>
    <row r="172" spans="1:28" x14ac:dyDescent="0.55000000000000004">
      <c r="A172" t="str">
        <f t="shared" si="20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COUNTIF(deals_closed!$D$2:$D$20001,Calculations!B717)</f>
        <v>12</v>
      </c>
      <c r="H172" s="7">
        <f>SUMIF(deals_closed!$D:$D,Calculations!B717,deals_closed!$C:$C)</f>
        <v>473689</v>
      </c>
      <c r="I172" s="5">
        <f>VLOOKUP(E172,'2018_commission_structure'!$A$1:$I$4,9,FALSE)</f>
        <v>600000</v>
      </c>
      <c r="J172" s="9">
        <f t="shared" si="21"/>
        <v>750000</v>
      </c>
      <c r="K172" s="10">
        <f t="shared" si="22"/>
        <v>900000</v>
      </c>
      <c r="L172" s="9">
        <f t="shared" si="23"/>
        <v>1200000</v>
      </c>
      <c r="M172" s="8">
        <f t="shared" si="24"/>
        <v>0.78948166666666664</v>
      </c>
      <c r="N172" t="str">
        <f t="shared" si="25"/>
        <v>0-100%</v>
      </c>
      <c r="O172" s="9">
        <f>MIN($H172,$I172)*INDEX('2018_commission_structure'!$A$1:$I$4,MATCH($E172,'2018_commission_structure'!$A$1:$A$4,0),MATCH(O$1,'2018_commission_structure'!$A$1:$I$1,0))</f>
        <v>61579.57</v>
      </c>
      <c r="P172" s="9">
        <f>IF(H172&gt;I172, MIN(H172-I172, J172-I172)*INDEX('2018_commission_structure'!$A$1:$I$4,MATCH($E172,'2018_commission_structure'!$A$1:$A$4,0),MATCH(P$1,'2018_commission_structure'!$A$1:$I$1,0)),0)</f>
        <v>0</v>
      </c>
      <c r="Q172" s="9">
        <f>IF($H172&gt;J172, MIN($H172-J172, K172-J172)*INDEX('2018_commission_structure'!$A$1:$I$4,MATCH($E172,'2018_commission_structure'!$A$1:$A$4,0),MATCH(Q$1,'2018_commission_structure'!$A$1:$I$1,0)),0)</f>
        <v>0</v>
      </c>
      <c r="R172" s="9">
        <f>IF($H172&gt;K172, MIN($H172-K172, L172-K172)*INDEX('2018_commission_structure'!$A$1:$I$4,MATCH($E172,'2018_commission_structure'!$A$1:$A$4,0),MATCH(R$1,'2018_commission_structure'!$A$1:$I$1,0)),0)</f>
        <v>0</v>
      </c>
      <c r="S172" s="9">
        <f>IF(H172&gt;L172,(H172-L172)*INDEX('2018_commission_structure'!$A$1:$I$4,MATCH($E172,'2018_commission_structure'!$A$1:$A$4,0),MATCH(S$1,'2018_commission_structure'!$A$1:$I$1,0)),0)</f>
        <v>0</v>
      </c>
      <c r="T172" s="9">
        <f t="shared" si="26"/>
        <v>61579.57</v>
      </c>
      <c r="U172" s="9">
        <f t="shared" si="27"/>
        <v>124780.57</v>
      </c>
      <c r="V172" s="9">
        <f>MIN($I172,$H172)*INDEX('Key Metrics'!$E$16:$N$19,MATCH($E172,'Key Metrics'!$E$16:$E$19,0),MATCH(V$1,'Key Metrics'!$E$16:$M$16,0))</f>
        <v>71053.349999999991</v>
      </c>
      <c r="W172" s="9">
        <f>IF($H172&gt;I172, MIN($H172-I172, J172-I172)*INDEX('Key Metrics'!$E$16:$N$19,MATCH($E172,'Key Metrics'!$E$16:$E$19,0),MATCH(W$1,'Key Metrics'!$E$16:$M$16,0)),0)</f>
        <v>0</v>
      </c>
      <c r="X172" s="9">
        <f>IF($H172&gt;J172, MIN($H172-J172, K172-J172)*INDEX('Key Metrics'!$E$16:$N$19,MATCH($E172,'Key Metrics'!$E$16:$E$19,0),MATCH(X$1,'Key Metrics'!$E$16:$M$16,0)),0)</f>
        <v>0</v>
      </c>
      <c r="Y172" s="9">
        <f>IF($H172&gt;K172, MIN($H172-K172, L172-K172)*INDEX('Key Metrics'!$E$16:$N$19,MATCH($E172,'Key Metrics'!$E$16:$E$19,0),MATCH(Y$1,'Key Metrics'!$E$16:$M$16,0)),0)</f>
        <v>0</v>
      </c>
      <c r="Z172" s="9">
        <f>IF($H172&gt;L172,($H172-L172)*INDEX('Key Metrics'!$E$16:$N$19,MATCH($E172,'Key Metrics'!$E$16:$E$19,0),MATCH(Z$1,'Key Metrics'!$E$16:$M$16,0)),0)</f>
        <v>0</v>
      </c>
      <c r="AA172" s="9">
        <f t="shared" si="28"/>
        <v>71053.349999999991</v>
      </c>
      <c r="AB172" s="9">
        <f t="shared" si="29"/>
        <v>71054.139481666658</v>
      </c>
    </row>
    <row r="173" spans="1:28" x14ac:dyDescent="0.55000000000000004">
      <c r="A173" t="str">
        <f t="shared" si="20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COUNTIF(deals_closed!$D$2:$D$20001,Calculations!B682)</f>
        <v>30</v>
      </c>
      <c r="H173" s="7">
        <f>SUMIF(deals_closed!$D:$D,Calculations!B682,deals_closed!$C:$C)</f>
        <v>1025894</v>
      </c>
      <c r="I173" s="5">
        <f>VLOOKUP(E173,'2018_commission_structure'!$A$1:$I$4,9,FALSE)</f>
        <v>500000</v>
      </c>
      <c r="J173" s="9">
        <f t="shared" si="21"/>
        <v>625000</v>
      </c>
      <c r="K173" s="10">
        <f t="shared" si="22"/>
        <v>750000</v>
      </c>
      <c r="L173" s="9">
        <f t="shared" si="23"/>
        <v>1000000</v>
      </c>
      <c r="M173" s="8">
        <f t="shared" si="24"/>
        <v>2.0517880000000002</v>
      </c>
      <c r="N173" t="str">
        <f t="shared" si="25"/>
        <v>&gt;200%</v>
      </c>
      <c r="O173" s="9">
        <f>MIN($H173,$I173)*INDEX('2018_commission_structure'!$A$1:$I$4,MATCH($E173,'2018_commission_structure'!$A$1:$A$4,0),MATCH(O$1,'2018_commission_structure'!$A$1:$I$1,0))</f>
        <v>50000</v>
      </c>
      <c r="P173" s="9">
        <f>IF(H173&gt;I173, MIN(H173-I173, J173-I173)*INDEX('2018_commission_structure'!$A$1:$I$4,MATCH($E173,'2018_commission_structure'!$A$1:$A$4,0),MATCH(P$1,'2018_commission_structure'!$A$1:$I$1,0)),0)</f>
        <v>18750</v>
      </c>
      <c r="Q173" s="9">
        <f>IF($H173&gt;J173, MIN($H173-J173, K173-J173)*INDEX('2018_commission_structure'!$A$1:$I$4,MATCH($E173,'2018_commission_structure'!$A$1:$A$4,0),MATCH(Q$1,'2018_commission_structure'!$A$1:$I$1,0)),0)</f>
        <v>22500</v>
      </c>
      <c r="R173" s="9">
        <f>IF($H173&gt;K173, MIN($H173-K173, L173-K173)*INDEX('2018_commission_structure'!$A$1:$I$4,MATCH($E173,'2018_commission_structure'!$A$1:$A$4,0),MATCH(R$1,'2018_commission_structure'!$A$1:$I$1,0)),0)</f>
        <v>55000</v>
      </c>
      <c r="S173" s="9">
        <f>IF(H173&gt;L173,(H173-L173)*INDEX('2018_commission_structure'!$A$1:$I$4,MATCH($E173,'2018_commission_structure'!$A$1:$A$4,0),MATCH(S$1,'2018_commission_structure'!$A$1:$I$1,0)),0)</f>
        <v>2589.4</v>
      </c>
      <c r="T173" s="9">
        <f t="shared" si="26"/>
        <v>148839.4</v>
      </c>
      <c r="U173" s="9">
        <f t="shared" si="27"/>
        <v>179095.4</v>
      </c>
      <c r="V173" s="9">
        <f>MIN($I173,$H173)*INDEX('Key Metrics'!$E$16:$N$19,MATCH($E173,'Key Metrics'!$E$16:$E$19,0),MATCH(V$1,'Key Metrics'!$E$16:$M$16,0))</f>
        <v>60000</v>
      </c>
      <c r="W173" s="9">
        <f>IF($H173&gt;I173, MIN($H173-I173, J173-I173)*INDEX('Key Metrics'!$E$16:$N$19,MATCH($E173,'Key Metrics'!$E$16:$E$19,0),MATCH(W$1,'Key Metrics'!$E$16:$M$16,0)),0)</f>
        <v>21250</v>
      </c>
      <c r="X173" s="9">
        <f>IF($H173&gt;J173, MIN($H173-J173, K173-J173)*INDEX('Key Metrics'!$E$16:$N$19,MATCH($E173,'Key Metrics'!$E$16:$E$19,0),MATCH(X$1,'Key Metrics'!$E$16:$M$16,0)),0)</f>
        <v>25000</v>
      </c>
      <c r="Y173" s="9">
        <f>IF($H173&gt;K173, MIN($H173-K173, L173-K173)*INDEX('Key Metrics'!$E$16:$N$19,MATCH($E173,'Key Metrics'!$E$16:$E$19,0),MATCH(Y$1,'Key Metrics'!$E$16:$M$16,0)),0)</f>
        <v>55000</v>
      </c>
      <c r="Z173" s="9">
        <f>IF($H173&gt;L173,($H173-L173)*INDEX('Key Metrics'!$E$16:$N$19,MATCH($E173,'Key Metrics'!$E$16:$E$19,0),MATCH(Z$1,'Key Metrics'!$E$16:$M$16,0)),0)</f>
        <v>2589.4</v>
      </c>
      <c r="AA173" s="9">
        <f t="shared" si="28"/>
        <v>163839.4</v>
      </c>
      <c r="AB173" s="9">
        <f t="shared" si="29"/>
        <v>163841.45178800001</v>
      </c>
    </row>
    <row r="174" spans="1:28" x14ac:dyDescent="0.55000000000000004">
      <c r="A174" t="str">
        <f t="shared" si="20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COUNTIF(deals_closed!$D$2:$D$20001,Calculations!B629)</f>
        <v>20</v>
      </c>
      <c r="H174" s="7">
        <f>SUMIF(deals_closed!$D:$D,Calculations!B629,deals_closed!$C:$C)</f>
        <v>607358</v>
      </c>
      <c r="I174" s="5">
        <f>VLOOKUP(E174,'2018_commission_structure'!$A$1:$I$4,9,FALSE)</f>
        <v>600000</v>
      </c>
      <c r="J174" s="9">
        <f t="shared" si="21"/>
        <v>750000</v>
      </c>
      <c r="K174" s="10">
        <f t="shared" si="22"/>
        <v>900000</v>
      </c>
      <c r="L174" s="9">
        <f t="shared" si="23"/>
        <v>1200000</v>
      </c>
      <c r="M174" s="8">
        <f t="shared" si="24"/>
        <v>1.0122633333333333</v>
      </c>
      <c r="N174" t="str">
        <f t="shared" si="25"/>
        <v>100-125%</v>
      </c>
      <c r="O174" s="9">
        <f>MIN($H174,$I174)*INDEX('2018_commission_structure'!$A$1:$I$4,MATCH($E174,'2018_commission_structure'!$A$1:$A$4,0),MATCH(O$1,'2018_commission_structure'!$A$1:$I$1,0))</f>
        <v>78000</v>
      </c>
      <c r="P174" s="9">
        <f>IF(H174&gt;I174, MIN(H174-I174, J174-I174)*INDEX('2018_commission_structure'!$A$1:$I$4,MATCH($E174,'2018_commission_structure'!$A$1:$A$4,0),MATCH(P$1,'2018_commission_structure'!$A$1:$I$1,0)),0)</f>
        <v>1250.8600000000001</v>
      </c>
      <c r="Q174" s="9">
        <f>IF($H174&gt;J174, MIN($H174-J174, K174-J174)*INDEX('2018_commission_structure'!$A$1:$I$4,MATCH($E174,'2018_commission_structure'!$A$1:$A$4,0),MATCH(Q$1,'2018_commission_structure'!$A$1:$I$1,0)),0)</f>
        <v>0</v>
      </c>
      <c r="R174" s="9">
        <f>IF($H174&gt;K174, MIN($H174-K174, L174-K174)*INDEX('2018_commission_structure'!$A$1:$I$4,MATCH($E174,'2018_commission_structure'!$A$1:$A$4,0),MATCH(R$1,'2018_commission_structure'!$A$1:$I$1,0)),0)</f>
        <v>0</v>
      </c>
      <c r="S174" s="9">
        <f>IF(H174&gt;L174,(H174-L174)*INDEX('2018_commission_structure'!$A$1:$I$4,MATCH($E174,'2018_commission_structure'!$A$1:$A$4,0),MATCH(S$1,'2018_commission_structure'!$A$1:$I$1,0)),0)</f>
        <v>0</v>
      </c>
      <c r="T174" s="9">
        <f t="shared" si="26"/>
        <v>79250.86</v>
      </c>
      <c r="U174" s="9">
        <f t="shared" si="27"/>
        <v>152400.85999999999</v>
      </c>
      <c r="V174" s="9">
        <f>MIN($I174,$H174)*INDEX('Key Metrics'!$E$16:$N$19,MATCH($E174,'Key Metrics'!$E$16:$E$19,0),MATCH(V$1,'Key Metrics'!$E$16:$M$16,0))</f>
        <v>90000</v>
      </c>
      <c r="W174" s="9">
        <f>IF($H174&gt;I174, MIN($H174-I174, J174-I174)*INDEX('Key Metrics'!$E$16:$N$19,MATCH($E174,'Key Metrics'!$E$16:$E$19,0),MATCH(W$1,'Key Metrics'!$E$16:$M$16,0)),0)</f>
        <v>1324.44</v>
      </c>
      <c r="X174" s="9">
        <f>IF($H174&gt;J174, MIN($H174-J174, K174-J174)*INDEX('Key Metrics'!$E$16:$N$19,MATCH($E174,'Key Metrics'!$E$16:$E$19,0),MATCH(X$1,'Key Metrics'!$E$16:$M$16,0)),0)</f>
        <v>0</v>
      </c>
      <c r="Y174" s="9">
        <f>IF($H174&gt;K174, MIN($H174-K174, L174-K174)*INDEX('Key Metrics'!$E$16:$N$19,MATCH($E174,'Key Metrics'!$E$16:$E$19,0),MATCH(Y$1,'Key Metrics'!$E$16:$M$16,0)),0)</f>
        <v>0</v>
      </c>
      <c r="Z174" s="9">
        <f>IF($H174&gt;L174,($H174-L174)*INDEX('Key Metrics'!$E$16:$N$19,MATCH($E174,'Key Metrics'!$E$16:$E$19,0),MATCH(Z$1,'Key Metrics'!$E$16:$M$16,0)),0)</f>
        <v>0</v>
      </c>
      <c r="AA174" s="9">
        <f t="shared" si="28"/>
        <v>91324.44</v>
      </c>
      <c r="AB174" s="9">
        <f t="shared" si="29"/>
        <v>91325.45226333334</v>
      </c>
    </row>
    <row r="175" spans="1:28" x14ac:dyDescent="0.55000000000000004">
      <c r="A175" t="str">
        <f t="shared" si="20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COUNTIF(deals_closed!$D$2:$D$20001,Calculations!B523)</f>
        <v>27</v>
      </c>
      <c r="H175" s="7">
        <f>SUMIF(deals_closed!$D:$D,Calculations!B523,deals_closed!$C:$C)</f>
        <v>945909</v>
      </c>
      <c r="I175" s="5">
        <f>VLOOKUP(E175,'2018_commission_structure'!$A$1:$I$4,9,FALSE)</f>
        <v>500000</v>
      </c>
      <c r="J175" s="9">
        <f t="shared" si="21"/>
        <v>625000</v>
      </c>
      <c r="K175" s="10">
        <f t="shared" si="22"/>
        <v>750000</v>
      </c>
      <c r="L175" s="9">
        <f t="shared" si="23"/>
        <v>1000000</v>
      </c>
      <c r="M175" s="8">
        <f t="shared" si="24"/>
        <v>1.891818</v>
      </c>
      <c r="N175" t="str">
        <f t="shared" si="25"/>
        <v>150-200%</v>
      </c>
      <c r="O175" s="9">
        <f>MIN($H175,$I175)*INDEX('2018_commission_structure'!$A$1:$I$4,MATCH($E175,'2018_commission_structure'!$A$1:$A$4,0),MATCH(O$1,'2018_commission_structure'!$A$1:$I$1,0))</f>
        <v>50000</v>
      </c>
      <c r="P175" s="9">
        <f>IF(H175&gt;I175, MIN(H175-I175, J175-I175)*INDEX('2018_commission_structure'!$A$1:$I$4,MATCH($E175,'2018_commission_structure'!$A$1:$A$4,0),MATCH(P$1,'2018_commission_structure'!$A$1:$I$1,0)),0)</f>
        <v>18750</v>
      </c>
      <c r="Q175" s="9">
        <f>IF($H175&gt;J175, MIN($H175-J175, K175-J175)*INDEX('2018_commission_structure'!$A$1:$I$4,MATCH($E175,'2018_commission_structure'!$A$1:$A$4,0),MATCH(Q$1,'2018_commission_structure'!$A$1:$I$1,0)),0)</f>
        <v>22500</v>
      </c>
      <c r="R175" s="9">
        <f>IF($H175&gt;K175, MIN($H175-K175, L175-K175)*INDEX('2018_commission_structure'!$A$1:$I$4,MATCH($E175,'2018_commission_structure'!$A$1:$A$4,0),MATCH(R$1,'2018_commission_structure'!$A$1:$I$1,0)),0)</f>
        <v>43099.98</v>
      </c>
      <c r="S175" s="9">
        <f>IF(H175&gt;L175,(H175-L175)*INDEX('2018_commission_structure'!$A$1:$I$4,MATCH($E175,'2018_commission_structure'!$A$1:$A$4,0),MATCH(S$1,'2018_commission_structure'!$A$1:$I$1,0)),0)</f>
        <v>0</v>
      </c>
      <c r="T175" s="9">
        <f t="shared" si="26"/>
        <v>134349.98000000001</v>
      </c>
      <c r="U175" s="9">
        <f t="shared" si="27"/>
        <v>175206.98</v>
      </c>
      <c r="V175" s="9">
        <f>MIN($I175,$H175)*INDEX('Key Metrics'!$E$16:$N$19,MATCH($E175,'Key Metrics'!$E$16:$E$19,0),MATCH(V$1,'Key Metrics'!$E$16:$M$16,0))</f>
        <v>60000</v>
      </c>
      <c r="W175" s="9">
        <f>IF($H175&gt;I175, MIN($H175-I175, J175-I175)*INDEX('Key Metrics'!$E$16:$N$19,MATCH($E175,'Key Metrics'!$E$16:$E$19,0),MATCH(W$1,'Key Metrics'!$E$16:$M$16,0)),0)</f>
        <v>21250</v>
      </c>
      <c r="X175" s="9">
        <f>IF($H175&gt;J175, MIN($H175-J175, K175-J175)*INDEX('Key Metrics'!$E$16:$N$19,MATCH($E175,'Key Metrics'!$E$16:$E$19,0),MATCH(X$1,'Key Metrics'!$E$16:$M$16,0)),0)</f>
        <v>25000</v>
      </c>
      <c r="Y175" s="9">
        <f>IF($H175&gt;K175, MIN($H175-K175, L175-K175)*INDEX('Key Metrics'!$E$16:$N$19,MATCH($E175,'Key Metrics'!$E$16:$E$19,0),MATCH(Y$1,'Key Metrics'!$E$16:$M$16,0)),0)</f>
        <v>43099.98</v>
      </c>
      <c r="Z175" s="9">
        <f>IF($H175&gt;L175,($H175-L175)*INDEX('Key Metrics'!$E$16:$N$19,MATCH($E175,'Key Metrics'!$E$16:$E$19,0),MATCH(Z$1,'Key Metrics'!$E$16:$M$16,0)),0)</f>
        <v>0</v>
      </c>
      <c r="AA175" s="9">
        <f t="shared" si="28"/>
        <v>149349.98000000001</v>
      </c>
      <c r="AB175" s="9">
        <f t="shared" si="29"/>
        <v>149351.87181800001</v>
      </c>
    </row>
    <row r="176" spans="1:28" x14ac:dyDescent="0.55000000000000004">
      <c r="A176" t="str">
        <f t="shared" si="20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COUNTIF(deals_closed!$D$2:$D$20001,Calculations!B283)</f>
        <v>21</v>
      </c>
      <c r="H176" s="7">
        <f>SUMIF(deals_closed!$D:$D,Calculations!B283,deals_closed!$C:$C)</f>
        <v>780782</v>
      </c>
      <c r="I176" s="5">
        <f>VLOOKUP(E176,'2018_commission_structure'!$A$1:$I$4,9,FALSE)</f>
        <v>500000</v>
      </c>
      <c r="J176" s="9">
        <f t="shared" si="21"/>
        <v>625000</v>
      </c>
      <c r="K176" s="10">
        <f t="shared" si="22"/>
        <v>750000</v>
      </c>
      <c r="L176" s="9">
        <f t="shared" si="23"/>
        <v>1000000</v>
      </c>
      <c r="M176" s="8">
        <f t="shared" si="24"/>
        <v>1.561564</v>
      </c>
      <c r="N176" t="str">
        <f t="shared" si="25"/>
        <v>150-200%</v>
      </c>
      <c r="O176" s="9">
        <f>MIN($H176,$I176)*INDEX('2018_commission_structure'!$A$1:$I$4,MATCH($E176,'2018_commission_structure'!$A$1:$A$4,0),MATCH(O$1,'2018_commission_structure'!$A$1:$I$1,0))</f>
        <v>50000</v>
      </c>
      <c r="P176" s="9">
        <f>IF(H176&gt;I176, MIN(H176-I176, J176-I176)*INDEX('2018_commission_structure'!$A$1:$I$4,MATCH($E176,'2018_commission_structure'!$A$1:$A$4,0),MATCH(P$1,'2018_commission_structure'!$A$1:$I$1,0)),0)</f>
        <v>18750</v>
      </c>
      <c r="Q176" s="9">
        <f>IF($H176&gt;J176, MIN($H176-J176, K176-J176)*INDEX('2018_commission_structure'!$A$1:$I$4,MATCH($E176,'2018_commission_structure'!$A$1:$A$4,0),MATCH(Q$1,'2018_commission_structure'!$A$1:$I$1,0)),0)</f>
        <v>22500</v>
      </c>
      <c r="R176" s="9">
        <f>IF($H176&gt;K176, MIN($H176-K176, L176-K176)*INDEX('2018_commission_structure'!$A$1:$I$4,MATCH($E176,'2018_commission_structure'!$A$1:$A$4,0),MATCH(R$1,'2018_commission_structure'!$A$1:$I$1,0)),0)</f>
        <v>6772.04</v>
      </c>
      <c r="S176" s="9">
        <f>IF(H176&gt;L176,(H176-L176)*INDEX('2018_commission_structure'!$A$1:$I$4,MATCH($E176,'2018_commission_structure'!$A$1:$A$4,0),MATCH(S$1,'2018_commission_structure'!$A$1:$I$1,0)),0)</f>
        <v>0</v>
      </c>
      <c r="T176" s="9">
        <f t="shared" si="26"/>
        <v>98022.04</v>
      </c>
      <c r="U176" s="9">
        <f t="shared" si="27"/>
        <v>130583.03999999999</v>
      </c>
      <c r="V176" s="9">
        <f>MIN($I176,$H176)*INDEX('Key Metrics'!$E$16:$N$19,MATCH($E176,'Key Metrics'!$E$16:$E$19,0),MATCH(V$1,'Key Metrics'!$E$16:$M$16,0))</f>
        <v>60000</v>
      </c>
      <c r="W176" s="9">
        <f>IF($H176&gt;I176, MIN($H176-I176, J176-I176)*INDEX('Key Metrics'!$E$16:$N$19,MATCH($E176,'Key Metrics'!$E$16:$E$19,0),MATCH(W$1,'Key Metrics'!$E$16:$M$16,0)),0)</f>
        <v>21250</v>
      </c>
      <c r="X176" s="9">
        <f>IF($H176&gt;J176, MIN($H176-J176, K176-J176)*INDEX('Key Metrics'!$E$16:$N$19,MATCH($E176,'Key Metrics'!$E$16:$E$19,0),MATCH(X$1,'Key Metrics'!$E$16:$M$16,0)),0)</f>
        <v>25000</v>
      </c>
      <c r="Y176" s="9">
        <f>IF($H176&gt;K176, MIN($H176-K176, L176-K176)*INDEX('Key Metrics'!$E$16:$N$19,MATCH($E176,'Key Metrics'!$E$16:$E$19,0),MATCH(Y$1,'Key Metrics'!$E$16:$M$16,0)),0)</f>
        <v>6772.04</v>
      </c>
      <c r="Z176" s="9">
        <f>IF($H176&gt;L176,($H176-L176)*INDEX('Key Metrics'!$E$16:$N$19,MATCH($E176,'Key Metrics'!$E$16:$E$19,0),MATCH(Z$1,'Key Metrics'!$E$16:$M$16,0)),0)</f>
        <v>0</v>
      </c>
      <c r="AA176" s="9">
        <f t="shared" si="28"/>
        <v>113022.04</v>
      </c>
      <c r="AB176" s="9">
        <f t="shared" si="29"/>
        <v>113023.601564</v>
      </c>
    </row>
    <row r="177" spans="1:28" x14ac:dyDescent="0.55000000000000004">
      <c r="A177" t="str">
        <f t="shared" si="20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COUNTIF(deals_closed!$D$2:$D$20001,Calculations!B249)</f>
        <v>12</v>
      </c>
      <c r="H177" s="7">
        <f>SUMIF(deals_closed!$D:$D,Calculations!B249,deals_closed!$C:$C)</f>
        <v>328657</v>
      </c>
      <c r="I177" s="5">
        <f>VLOOKUP(E177,'2018_commission_structure'!$A$1:$I$4,9,FALSE)</f>
        <v>600000</v>
      </c>
      <c r="J177" s="9">
        <f t="shared" si="21"/>
        <v>750000</v>
      </c>
      <c r="K177" s="10">
        <f t="shared" si="22"/>
        <v>900000</v>
      </c>
      <c r="L177" s="9">
        <f t="shared" si="23"/>
        <v>1200000</v>
      </c>
      <c r="M177" s="8">
        <f t="shared" si="24"/>
        <v>0.5477616666666667</v>
      </c>
      <c r="N177" t="str">
        <f t="shared" si="25"/>
        <v>0-100%</v>
      </c>
      <c r="O177" s="9">
        <f>MIN($H177,$I177)*INDEX('2018_commission_structure'!$A$1:$I$4,MATCH($E177,'2018_commission_structure'!$A$1:$A$4,0),MATCH(O$1,'2018_commission_structure'!$A$1:$I$1,0))</f>
        <v>42725.41</v>
      </c>
      <c r="P177" s="9">
        <f>IF(H177&gt;I177, MIN(H177-I177, J177-I177)*INDEX('2018_commission_structure'!$A$1:$I$4,MATCH($E177,'2018_commission_structure'!$A$1:$A$4,0),MATCH(P$1,'2018_commission_structure'!$A$1:$I$1,0)),0)</f>
        <v>0</v>
      </c>
      <c r="Q177" s="9">
        <f>IF($H177&gt;J177, MIN($H177-J177, K177-J177)*INDEX('2018_commission_structure'!$A$1:$I$4,MATCH($E177,'2018_commission_structure'!$A$1:$A$4,0),MATCH(Q$1,'2018_commission_structure'!$A$1:$I$1,0)),0)</f>
        <v>0</v>
      </c>
      <c r="R177" s="9">
        <f>IF($H177&gt;K177, MIN($H177-K177, L177-K177)*INDEX('2018_commission_structure'!$A$1:$I$4,MATCH($E177,'2018_commission_structure'!$A$1:$A$4,0),MATCH(R$1,'2018_commission_structure'!$A$1:$I$1,0)),0)</f>
        <v>0</v>
      </c>
      <c r="S177" s="9">
        <f>IF(H177&gt;L177,(H177-L177)*INDEX('2018_commission_structure'!$A$1:$I$4,MATCH($E177,'2018_commission_structure'!$A$1:$A$4,0),MATCH(S$1,'2018_commission_structure'!$A$1:$I$1,0)),0)</f>
        <v>0</v>
      </c>
      <c r="T177" s="9">
        <f t="shared" si="26"/>
        <v>42725.41</v>
      </c>
      <c r="U177" s="9">
        <f t="shared" si="27"/>
        <v>114523.41</v>
      </c>
      <c r="V177" s="9">
        <f>MIN($I177,$H177)*INDEX('Key Metrics'!$E$16:$N$19,MATCH($E177,'Key Metrics'!$E$16:$E$19,0),MATCH(V$1,'Key Metrics'!$E$16:$M$16,0))</f>
        <v>49298.549999999996</v>
      </c>
      <c r="W177" s="9">
        <f>IF($H177&gt;I177, MIN($H177-I177, J177-I177)*INDEX('Key Metrics'!$E$16:$N$19,MATCH($E177,'Key Metrics'!$E$16:$E$19,0),MATCH(W$1,'Key Metrics'!$E$16:$M$16,0)),0)</f>
        <v>0</v>
      </c>
      <c r="X177" s="9">
        <f>IF($H177&gt;J177, MIN($H177-J177, K177-J177)*INDEX('Key Metrics'!$E$16:$N$19,MATCH($E177,'Key Metrics'!$E$16:$E$19,0),MATCH(X$1,'Key Metrics'!$E$16:$M$16,0)),0)</f>
        <v>0</v>
      </c>
      <c r="Y177" s="9">
        <f>IF($H177&gt;K177, MIN($H177-K177, L177-K177)*INDEX('Key Metrics'!$E$16:$N$19,MATCH($E177,'Key Metrics'!$E$16:$E$19,0),MATCH(Y$1,'Key Metrics'!$E$16:$M$16,0)),0)</f>
        <v>0</v>
      </c>
      <c r="Z177" s="9">
        <f>IF($H177&gt;L177,($H177-L177)*INDEX('Key Metrics'!$E$16:$N$19,MATCH($E177,'Key Metrics'!$E$16:$E$19,0),MATCH(Z$1,'Key Metrics'!$E$16:$M$16,0)),0)</f>
        <v>0</v>
      </c>
      <c r="AA177" s="9">
        <f t="shared" si="28"/>
        <v>49298.549999999996</v>
      </c>
      <c r="AB177" s="9">
        <f t="shared" si="29"/>
        <v>49299.097761666664</v>
      </c>
    </row>
    <row r="178" spans="1:28" x14ac:dyDescent="0.55000000000000004">
      <c r="A178" t="str">
        <f t="shared" si="20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COUNTIF(deals_closed!$D$2:$D$20001,Calculations!B895)</f>
        <v>17</v>
      </c>
      <c r="H178" s="7">
        <f>SUMIF(deals_closed!$D:$D,Calculations!B895,deals_closed!$C:$C)</f>
        <v>487994</v>
      </c>
      <c r="I178" s="5">
        <f>VLOOKUP(E178,'2018_commission_structure'!$A$1:$I$4,9,FALSE)</f>
        <v>500000</v>
      </c>
      <c r="J178" s="9">
        <f t="shared" si="21"/>
        <v>625000</v>
      </c>
      <c r="K178" s="10">
        <f t="shared" si="22"/>
        <v>750000</v>
      </c>
      <c r="L178" s="9">
        <f t="shared" si="23"/>
        <v>1000000</v>
      </c>
      <c r="M178" s="8">
        <f t="shared" si="24"/>
        <v>0.97598799999999997</v>
      </c>
      <c r="N178" t="str">
        <f t="shared" si="25"/>
        <v>0-100%</v>
      </c>
      <c r="O178" s="9">
        <f>MIN($H178,$I178)*INDEX('2018_commission_structure'!$A$1:$I$4,MATCH($E178,'2018_commission_structure'!$A$1:$A$4,0),MATCH(O$1,'2018_commission_structure'!$A$1:$I$1,0))</f>
        <v>48799.4</v>
      </c>
      <c r="P178" s="9">
        <f>IF(H178&gt;I178, MIN(H178-I178, J178-I178)*INDEX('2018_commission_structure'!$A$1:$I$4,MATCH($E178,'2018_commission_structure'!$A$1:$A$4,0),MATCH(P$1,'2018_commission_structure'!$A$1:$I$1,0)),0)</f>
        <v>0</v>
      </c>
      <c r="Q178" s="9">
        <f>IF($H178&gt;J178, MIN($H178-J178, K178-J178)*INDEX('2018_commission_structure'!$A$1:$I$4,MATCH($E178,'2018_commission_structure'!$A$1:$A$4,0),MATCH(Q$1,'2018_commission_structure'!$A$1:$I$1,0)),0)</f>
        <v>0</v>
      </c>
      <c r="R178" s="9">
        <f>IF($H178&gt;K178, MIN($H178-K178, L178-K178)*INDEX('2018_commission_structure'!$A$1:$I$4,MATCH($E178,'2018_commission_structure'!$A$1:$A$4,0),MATCH(R$1,'2018_commission_structure'!$A$1:$I$1,0)),0)</f>
        <v>0</v>
      </c>
      <c r="S178" s="9">
        <f>IF(H178&gt;L178,(H178-L178)*INDEX('2018_commission_structure'!$A$1:$I$4,MATCH($E178,'2018_commission_structure'!$A$1:$A$4,0),MATCH(S$1,'2018_commission_structure'!$A$1:$I$1,0)),0)</f>
        <v>0</v>
      </c>
      <c r="T178" s="9">
        <f t="shared" si="26"/>
        <v>48799.4</v>
      </c>
      <c r="U178" s="9">
        <f t="shared" si="27"/>
        <v>102255.4</v>
      </c>
      <c r="V178" s="9">
        <f>MIN($I178,$H178)*INDEX('Key Metrics'!$E$16:$N$19,MATCH($E178,'Key Metrics'!$E$16:$E$19,0),MATCH(V$1,'Key Metrics'!$E$16:$M$16,0))</f>
        <v>58559.28</v>
      </c>
      <c r="W178" s="9">
        <f>IF($H178&gt;I178, MIN($H178-I178, J178-I178)*INDEX('Key Metrics'!$E$16:$N$19,MATCH($E178,'Key Metrics'!$E$16:$E$19,0),MATCH(W$1,'Key Metrics'!$E$16:$M$16,0)),0)</f>
        <v>0</v>
      </c>
      <c r="X178" s="9">
        <f>IF($H178&gt;J178, MIN($H178-J178, K178-J178)*INDEX('Key Metrics'!$E$16:$N$19,MATCH($E178,'Key Metrics'!$E$16:$E$19,0),MATCH(X$1,'Key Metrics'!$E$16:$M$16,0)),0)</f>
        <v>0</v>
      </c>
      <c r="Y178" s="9">
        <f>IF($H178&gt;K178, MIN($H178-K178, L178-K178)*INDEX('Key Metrics'!$E$16:$N$19,MATCH($E178,'Key Metrics'!$E$16:$E$19,0),MATCH(Y$1,'Key Metrics'!$E$16:$M$16,0)),0)</f>
        <v>0</v>
      </c>
      <c r="Z178" s="9">
        <f>IF($H178&gt;L178,($H178-L178)*INDEX('Key Metrics'!$E$16:$N$19,MATCH($E178,'Key Metrics'!$E$16:$E$19,0),MATCH(Z$1,'Key Metrics'!$E$16:$M$16,0)),0)</f>
        <v>0</v>
      </c>
      <c r="AA178" s="9">
        <f t="shared" si="28"/>
        <v>58559.28</v>
      </c>
      <c r="AB178" s="9">
        <f t="shared" si="29"/>
        <v>58560.255987999997</v>
      </c>
    </row>
    <row r="179" spans="1:28" x14ac:dyDescent="0.55000000000000004">
      <c r="A179" t="str">
        <f t="shared" si="20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COUNTIF(deals_closed!$D$2:$D$20001,Calculations!B19)</f>
        <v>17</v>
      </c>
      <c r="H179" s="7">
        <f>SUMIF(deals_closed!$D:$D,Calculations!B19,deals_closed!$C:$C)</f>
        <v>662428</v>
      </c>
      <c r="I179" s="5">
        <f>VLOOKUP(E179,'2018_commission_structure'!$A$1:$I$4,9,FALSE)</f>
        <v>500000</v>
      </c>
      <c r="J179" s="9">
        <f t="shared" si="21"/>
        <v>625000</v>
      </c>
      <c r="K179" s="10">
        <f t="shared" si="22"/>
        <v>750000</v>
      </c>
      <c r="L179" s="9">
        <f t="shared" si="23"/>
        <v>1000000</v>
      </c>
      <c r="M179" s="8">
        <f t="shared" si="24"/>
        <v>1.324856</v>
      </c>
      <c r="N179" t="str">
        <f t="shared" si="25"/>
        <v>125-150%</v>
      </c>
      <c r="O179" s="9">
        <f>MIN($H179,$I179)*INDEX('2018_commission_structure'!$A$1:$I$4,MATCH($E179,'2018_commission_structure'!$A$1:$A$4,0),MATCH(O$1,'2018_commission_structure'!$A$1:$I$1,0))</f>
        <v>50000</v>
      </c>
      <c r="P179" s="9">
        <f>IF(H179&gt;I179, MIN(H179-I179, J179-I179)*INDEX('2018_commission_structure'!$A$1:$I$4,MATCH($E179,'2018_commission_structure'!$A$1:$A$4,0),MATCH(P$1,'2018_commission_structure'!$A$1:$I$1,0)),0)</f>
        <v>18750</v>
      </c>
      <c r="Q179" s="9">
        <f>IF($H179&gt;J179, MIN($H179-J179, K179-J179)*INDEX('2018_commission_structure'!$A$1:$I$4,MATCH($E179,'2018_commission_structure'!$A$1:$A$4,0),MATCH(Q$1,'2018_commission_structure'!$A$1:$I$1,0)),0)</f>
        <v>6737.04</v>
      </c>
      <c r="R179" s="9">
        <f>IF($H179&gt;K179, MIN($H179-K179, L179-K179)*INDEX('2018_commission_structure'!$A$1:$I$4,MATCH($E179,'2018_commission_structure'!$A$1:$A$4,0),MATCH(R$1,'2018_commission_structure'!$A$1:$I$1,0)),0)</f>
        <v>0</v>
      </c>
      <c r="S179" s="9">
        <f>IF(H179&gt;L179,(H179-L179)*INDEX('2018_commission_structure'!$A$1:$I$4,MATCH($E179,'2018_commission_structure'!$A$1:$A$4,0),MATCH(S$1,'2018_commission_structure'!$A$1:$I$1,0)),0)</f>
        <v>0</v>
      </c>
      <c r="T179" s="9">
        <f t="shared" si="26"/>
        <v>75487.039999999994</v>
      </c>
      <c r="U179" s="9">
        <f t="shared" si="27"/>
        <v>126125.04</v>
      </c>
      <c r="V179" s="9">
        <f>MIN($I179,$H179)*INDEX('Key Metrics'!$E$16:$N$19,MATCH($E179,'Key Metrics'!$E$16:$E$19,0),MATCH(V$1,'Key Metrics'!$E$16:$M$16,0))</f>
        <v>60000</v>
      </c>
      <c r="W179" s="9">
        <f>IF($H179&gt;I179, MIN($H179-I179, J179-I179)*INDEX('Key Metrics'!$E$16:$N$19,MATCH($E179,'Key Metrics'!$E$16:$E$19,0),MATCH(W$1,'Key Metrics'!$E$16:$M$16,0)),0)</f>
        <v>21250</v>
      </c>
      <c r="X179" s="9">
        <f>IF($H179&gt;J179, MIN($H179-J179, K179-J179)*INDEX('Key Metrics'!$E$16:$N$19,MATCH($E179,'Key Metrics'!$E$16:$E$19,0),MATCH(X$1,'Key Metrics'!$E$16:$M$16,0)),0)</f>
        <v>7485.6</v>
      </c>
      <c r="Y179" s="9">
        <f>IF($H179&gt;K179, MIN($H179-K179, L179-K179)*INDEX('Key Metrics'!$E$16:$N$19,MATCH($E179,'Key Metrics'!$E$16:$E$19,0),MATCH(Y$1,'Key Metrics'!$E$16:$M$16,0)),0)</f>
        <v>0</v>
      </c>
      <c r="Z179" s="9">
        <f>IF($H179&gt;L179,($H179-L179)*INDEX('Key Metrics'!$E$16:$N$19,MATCH($E179,'Key Metrics'!$E$16:$E$19,0),MATCH(Z$1,'Key Metrics'!$E$16:$M$16,0)),0)</f>
        <v>0</v>
      </c>
      <c r="AA179" s="9">
        <f t="shared" si="28"/>
        <v>88735.6</v>
      </c>
      <c r="AB179" s="9">
        <f t="shared" si="29"/>
        <v>88736.924856000012</v>
      </c>
    </row>
    <row r="180" spans="1:28" x14ac:dyDescent="0.55000000000000004">
      <c r="A180" t="str">
        <f t="shared" si="20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COUNTIF(deals_closed!$D$2:$D$20001,Calculations!B464)</f>
        <v>24</v>
      </c>
      <c r="H180" s="7">
        <f>SUMIF(deals_closed!$D:$D,Calculations!B464,deals_closed!$C:$C)</f>
        <v>866306</v>
      </c>
      <c r="I180" s="5">
        <f>VLOOKUP(E180,'2018_commission_structure'!$A$1:$I$4,9,FALSE)</f>
        <v>750000</v>
      </c>
      <c r="J180" s="9">
        <f t="shared" si="21"/>
        <v>937500</v>
      </c>
      <c r="K180" s="10">
        <f t="shared" si="22"/>
        <v>1125000</v>
      </c>
      <c r="L180" s="9">
        <f t="shared" si="23"/>
        <v>1500000</v>
      </c>
      <c r="M180" s="8">
        <f t="shared" si="24"/>
        <v>1.1550746666666667</v>
      </c>
      <c r="N180" t="str">
        <f t="shared" si="25"/>
        <v>100-125%</v>
      </c>
      <c r="O180" s="9">
        <f>MIN($H180,$I180)*INDEX('2018_commission_structure'!$A$1:$I$4,MATCH($E180,'2018_commission_structure'!$A$1:$A$4,0),MATCH(O$1,'2018_commission_structure'!$A$1:$I$1,0))</f>
        <v>112500</v>
      </c>
      <c r="P180" s="9">
        <f>IF(H180&gt;I180, MIN(H180-I180, J180-I180)*INDEX('2018_commission_structure'!$A$1:$I$4,MATCH($E180,'2018_commission_structure'!$A$1:$A$4,0),MATCH(P$1,'2018_commission_structure'!$A$1:$I$1,0)),0)</f>
        <v>22098.14</v>
      </c>
      <c r="Q180" s="9">
        <f>IF($H180&gt;J180, MIN($H180-J180, K180-J180)*INDEX('2018_commission_structure'!$A$1:$I$4,MATCH($E180,'2018_commission_structure'!$A$1:$A$4,0),MATCH(Q$1,'2018_commission_structure'!$A$1:$I$1,0)),0)</f>
        <v>0</v>
      </c>
      <c r="R180" s="9">
        <f>IF($H180&gt;K180, MIN($H180-K180, L180-K180)*INDEX('2018_commission_structure'!$A$1:$I$4,MATCH($E180,'2018_commission_structure'!$A$1:$A$4,0),MATCH(R$1,'2018_commission_structure'!$A$1:$I$1,0)),0)</f>
        <v>0</v>
      </c>
      <c r="S180" s="9">
        <f>IF(H180&gt;L180,(H180-L180)*INDEX('2018_commission_structure'!$A$1:$I$4,MATCH($E180,'2018_commission_structure'!$A$1:$A$4,0),MATCH(S$1,'2018_commission_structure'!$A$1:$I$1,0)),0)</f>
        <v>0</v>
      </c>
      <c r="T180" s="9">
        <f t="shared" si="26"/>
        <v>134598.14000000001</v>
      </c>
      <c r="U180" s="9">
        <f t="shared" si="27"/>
        <v>220753.14</v>
      </c>
      <c r="V180" s="9">
        <f>MIN($I180,$H180)*INDEX('Key Metrics'!$E$16:$N$19,MATCH($E180,'Key Metrics'!$E$16:$E$19,0),MATCH(V$1,'Key Metrics'!$E$16:$M$16,0))</f>
        <v>112500</v>
      </c>
      <c r="W180" s="9">
        <f>IF($H180&gt;I180, MIN($H180-I180, J180-I180)*INDEX('Key Metrics'!$E$16:$N$19,MATCH($E180,'Key Metrics'!$E$16:$E$19,0),MATCH(W$1,'Key Metrics'!$E$16:$M$16,0)),0)</f>
        <v>25587.32</v>
      </c>
      <c r="X180" s="9">
        <f>IF($H180&gt;J180, MIN($H180-J180, K180-J180)*INDEX('Key Metrics'!$E$16:$N$19,MATCH($E180,'Key Metrics'!$E$16:$E$19,0),MATCH(X$1,'Key Metrics'!$E$16:$M$16,0)),0)</f>
        <v>0</v>
      </c>
      <c r="Y180" s="9">
        <f>IF($H180&gt;K180, MIN($H180-K180, L180-K180)*INDEX('Key Metrics'!$E$16:$N$19,MATCH($E180,'Key Metrics'!$E$16:$E$19,0),MATCH(Y$1,'Key Metrics'!$E$16:$M$16,0)),0)</f>
        <v>0</v>
      </c>
      <c r="Z180" s="9">
        <f>IF($H180&gt;L180,($H180-L180)*INDEX('Key Metrics'!$E$16:$N$19,MATCH($E180,'Key Metrics'!$E$16:$E$19,0),MATCH(Z$1,'Key Metrics'!$E$16:$M$16,0)),0)</f>
        <v>0</v>
      </c>
      <c r="AA180" s="9">
        <f t="shared" si="28"/>
        <v>138087.32</v>
      </c>
      <c r="AB180" s="9">
        <f t="shared" si="29"/>
        <v>138088.47507466667</v>
      </c>
    </row>
    <row r="181" spans="1:28" x14ac:dyDescent="0.55000000000000004">
      <c r="A181" t="str">
        <f t="shared" si="20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COUNTIF(deals_closed!$D$2:$D$20001,Calculations!B156)</f>
        <v>24</v>
      </c>
      <c r="H181" s="7">
        <f>SUMIF(deals_closed!$D:$D,Calculations!B156,deals_closed!$C:$C)</f>
        <v>819368</v>
      </c>
      <c r="I181" s="5">
        <f>VLOOKUP(E181,'2018_commission_structure'!$A$1:$I$4,9,FALSE)</f>
        <v>750000</v>
      </c>
      <c r="J181" s="9">
        <f t="shared" si="21"/>
        <v>937500</v>
      </c>
      <c r="K181" s="10">
        <f t="shared" si="22"/>
        <v>1125000</v>
      </c>
      <c r="L181" s="9">
        <f t="shared" si="23"/>
        <v>1500000</v>
      </c>
      <c r="M181" s="8">
        <f t="shared" si="24"/>
        <v>1.0924906666666667</v>
      </c>
      <c r="N181" t="str">
        <f t="shared" si="25"/>
        <v>100-125%</v>
      </c>
      <c r="O181" s="9">
        <f>MIN($H181,$I181)*INDEX('2018_commission_structure'!$A$1:$I$4,MATCH($E181,'2018_commission_structure'!$A$1:$A$4,0),MATCH(O$1,'2018_commission_structure'!$A$1:$I$1,0))</f>
        <v>112500</v>
      </c>
      <c r="P181" s="9">
        <f>IF(H181&gt;I181, MIN(H181-I181, J181-I181)*INDEX('2018_commission_structure'!$A$1:$I$4,MATCH($E181,'2018_commission_structure'!$A$1:$A$4,0),MATCH(P$1,'2018_commission_structure'!$A$1:$I$1,0)),0)</f>
        <v>13179.92</v>
      </c>
      <c r="Q181" s="9">
        <f>IF($H181&gt;J181, MIN($H181-J181, K181-J181)*INDEX('2018_commission_structure'!$A$1:$I$4,MATCH($E181,'2018_commission_structure'!$A$1:$A$4,0),MATCH(Q$1,'2018_commission_structure'!$A$1:$I$1,0)),0)</f>
        <v>0</v>
      </c>
      <c r="R181" s="9">
        <f>IF($H181&gt;K181, MIN($H181-K181, L181-K181)*INDEX('2018_commission_structure'!$A$1:$I$4,MATCH($E181,'2018_commission_structure'!$A$1:$A$4,0),MATCH(R$1,'2018_commission_structure'!$A$1:$I$1,0)),0)</f>
        <v>0</v>
      </c>
      <c r="S181" s="9">
        <f>IF(H181&gt;L181,(H181-L181)*INDEX('2018_commission_structure'!$A$1:$I$4,MATCH($E181,'2018_commission_structure'!$A$1:$A$4,0),MATCH(S$1,'2018_commission_structure'!$A$1:$I$1,0)),0)</f>
        <v>0</v>
      </c>
      <c r="T181" s="9">
        <f t="shared" si="26"/>
        <v>125679.92</v>
      </c>
      <c r="U181" s="9">
        <f t="shared" si="27"/>
        <v>234039.91999999998</v>
      </c>
      <c r="V181" s="9">
        <f>MIN($I181,$H181)*INDEX('Key Metrics'!$E$16:$N$19,MATCH($E181,'Key Metrics'!$E$16:$E$19,0),MATCH(V$1,'Key Metrics'!$E$16:$M$16,0))</f>
        <v>112500</v>
      </c>
      <c r="W181" s="9">
        <f>IF($H181&gt;I181, MIN($H181-I181, J181-I181)*INDEX('Key Metrics'!$E$16:$N$19,MATCH($E181,'Key Metrics'!$E$16:$E$19,0),MATCH(W$1,'Key Metrics'!$E$16:$M$16,0)),0)</f>
        <v>15260.960000000001</v>
      </c>
      <c r="X181" s="9">
        <f>IF($H181&gt;J181, MIN($H181-J181, K181-J181)*INDEX('Key Metrics'!$E$16:$N$19,MATCH($E181,'Key Metrics'!$E$16:$E$19,0),MATCH(X$1,'Key Metrics'!$E$16:$M$16,0)),0)</f>
        <v>0</v>
      </c>
      <c r="Y181" s="9">
        <f>IF($H181&gt;K181, MIN($H181-K181, L181-K181)*INDEX('Key Metrics'!$E$16:$N$19,MATCH($E181,'Key Metrics'!$E$16:$E$19,0),MATCH(Y$1,'Key Metrics'!$E$16:$M$16,0)),0)</f>
        <v>0</v>
      </c>
      <c r="Z181" s="9">
        <f>IF($H181&gt;L181,($H181-L181)*INDEX('Key Metrics'!$E$16:$N$19,MATCH($E181,'Key Metrics'!$E$16:$E$19,0),MATCH(Z$1,'Key Metrics'!$E$16:$M$16,0)),0)</f>
        <v>0</v>
      </c>
      <c r="AA181" s="9">
        <f t="shared" si="28"/>
        <v>127760.96000000001</v>
      </c>
      <c r="AB181" s="9">
        <f t="shared" si="29"/>
        <v>127762.05249066667</v>
      </c>
    </row>
    <row r="182" spans="1:28" x14ac:dyDescent="0.55000000000000004">
      <c r="A182" t="str">
        <f t="shared" si="20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COUNTIF(deals_closed!$D$2:$D$20001,Calculations!B147)</f>
        <v>16</v>
      </c>
      <c r="H182" s="7">
        <f>SUMIF(deals_closed!$D:$D,Calculations!B147,deals_closed!$C:$C)</f>
        <v>531435</v>
      </c>
      <c r="I182" s="5">
        <f>VLOOKUP(E182,'2018_commission_structure'!$A$1:$I$4,9,FALSE)</f>
        <v>750000</v>
      </c>
      <c r="J182" s="9">
        <f t="shared" si="21"/>
        <v>937500</v>
      </c>
      <c r="K182" s="10">
        <f t="shared" si="22"/>
        <v>1125000</v>
      </c>
      <c r="L182" s="9">
        <f t="shared" si="23"/>
        <v>1500000</v>
      </c>
      <c r="M182" s="8">
        <f t="shared" si="24"/>
        <v>0.70857999999999999</v>
      </c>
      <c r="N182" t="str">
        <f t="shared" si="25"/>
        <v>0-100%</v>
      </c>
      <c r="O182" s="9">
        <f>MIN($H182,$I182)*INDEX('2018_commission_structure'!$A$1:$I$4,MATCH($E182,'2018_commission_structure'!$A$1:$A$4,0),MATCH(O$1,'2018_commission_structure'!$A$1:$I$1,0))</f>
        <v>79715.25</v>
      </c>
      <c r="P182" s="9">
        <f>IF(H182&gt;I182, MIN(H182-I182, J182-I182)*INDEX('2018_commission_structure'!$A$1:$I$4,MATCH($E182,'2018_commission_structure'!$A$1:$A$4,0),MATCH(P$1,'2018_commission_structure'!$A$1:$I$1,0)),0)</f>
        <v>0</v>
      </c>
      <c r="Q182" s="9">
        <f>IF($H182&gt;J182, MIN($H182-J182, K182-J182)*INDEX('2018_commission_structure'!$A$1:$I$4,MATCH($E182,'2018_commission_structure'!$A$1:$A$4,0),MATCH(Q$1,'2018_commission_structure'!$A$1:$I$1,0)),0)</f>
        <v>0</v>
      </c>
      <c r="R182" s="9">
        <f>IF($H182&gt;K182, MIN($H182-K182, L182-K182)*INDEX('2018_commission_structure'!$A$1:$I$4,MATCH($E182,'2018_commission_structure'!$A$1:$A$4,0),MATCH(R$1,'2018_commission_structure'!$A$1:$I$1,0)),0)</f>
        <v>0</v>
      </c>
      <c r="S182" s="9">
        <f>IF(H182&gt;L182,(H182-L182)*INDEX('2018_commission_structure'!$A$1:$I$4,MATCH($E182,'2018_commission_structure'!$A$1:$A$4,0),MATCH(S$1,'2018_commission_structure'!$A$1:$I$1,0)),0)</f>
        <v>0</v>
      </c>
      <c r="T182" s="9">
        <f t="shared" si="26"/>
        <v>79715.25</v>
      </c>
      <c r="U182" s="9">
        <f t="shared" si="27"/>
        <v>189632.25</v>
      </c>
      <c r="V182" s="9">
        <f>MIN($I182,$H182)*INDEX('Key Metrics'!$E$16:$N$19,MATCH($E182,'Key Metrics'!$E$16:$E$19,0),MATCH(V$1,'Key Metrics'!$E$16:$M$16,0))</f>
        <v>79715.25</v>
      </c>
      <c r="W182" s="9">
        <f>IF($H182&gt;I182, MIN($H182-I182, J182-I182)*INDEX('Key Metrics'!$E$16:$N$19,MATCH($E182,'Key Metrics'!$E$16:$E$19,0),MATCH(W$1,'Key Metrics'!$E$16:$M$16,0)),0)</f>
        <v>0</v>
      </c>
      <c r="X182" s="9">
        <f>IF($H182&gt;J182, MIN($H182-J182, K182-J182)*INDEX('Key Metrics'!$E$16:$N$19,MATCH($E182,'Key Metrics'!$E$16:$E$19,0),MATCH(X$1,'Key Metrics'!$E$16:$M$16,0)),0)</f>
        <v>0</v>
      </c>
      <c r="Y182" s="9">
        <f>IF($H182&gt;K182, MIN($H182-K182, L182-K182)*INDEX('Key Metrics'!$E$16:$N$19,MATCH($E182,'Key Metrics'!$E$16:$E$19,0),MATCH(Y$1,'Key Metrics'!$E$16:$M$16,0)),0)</f>
        <v>0</v>
      </c>
      <c r="Z182" s="9">
        <f>IF($H182&gt;L182,($H182-L182)*INDEX('Key Metrics'!$E$16:$N$19,MATCH($E182,'Key Metrics'!$E$16:$E$19,0),MATCH(Z$1,'Key Metrics'!$E$16:$M$16,0)),0)</f>
        <v>0</v>
      </c>
      <c r="AA182" s="9">
        <f t="shared" si="28"/>
        <v>79715.25</v>
      </c>
      <c r="AB182" s="9">
        <f t="shared" si="29"/>
        <v>79715.958580000006</v>
      </c>
    </row>
    <row r="183" spans="1:28" x14ac:dyDescent="0.55000000000000004">
      <c r="A183" t="str">
        <f t="shared" si="20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COUNTIF(deals_closed!$D$2:$D$20001,Calculations!B482)</f>
        <v>21</v>
      </c>
      <c r="H183" s="7">
        <f>SUMIF(deals_closed!$D:$D,Calculations!B482,deals_closed!$C:$C)</f>
        <v>662952</v>
      </c>
      <c r="I183" s="5">
        <f>VLOOKUP(E183,'2018_commission_structure'!$A$1:$I$4,9,FALSE)</f>
        <v>500000</v>
      </c>
      <c r="J183" s="9">
        <f t="shared" si="21"/>
        <v>625000</v>
      </c>
      <c r="K183" s="10">
        <f t="shared" si="22"/>
        <v>750000</v>
      </c>
      <c r="L183" s="9">
        <f t="shared" si="23"/>
        <v>1000000</v>
      </c>
      <c r="M183" s="8">
        <f t="shared" si="24"/>
        <v>1.325904</v>
      </c>
      <c r="N183" t="str">
        <f t="shared" si="25"/>
        <v>125-150%</v>
      </c>
      <c r="O183" s="9">
        <f>MIN($H183,$I183)*INDEX('2018_commission_structure'!$A$1:$I$4,MATCH($E183,'2018_commission_structure'!$A$1:$A$4,0),MATCH(O$1,'2018_commission_structure'!$A$1:$I$1,0))</f>
        <v>50000</v>
      </c>
      <c r="P183" s="9">
        <f>IF(H183&gt;I183, MIN(H183-I183, J183-I183)*INDEX('2018_commission_structure'!$A$1:$I$4,MATCH($E183,'2018_commission_structure'!$A$1:$A$4,0),MATCH(P$1,'2018_commission_structure'!$A$1:$I$1,0)),0)</f>
        <v>18750</v>
      </c>
      <c r="Q183" s="9">
        <f>IF($H183&gt;J183, MIN($H183-J183, K183-J183)*INDEX('2018_commission_structure'!$A$1:$I$4,MATCH($E183,'2018_commission_structure'!$A$1:$A$4,0),MATCH(Q$1,'2018_commission_structure'!$A$1:$I$1,0)),0)</f>
        <v>6831.36</v>
      </c>
      <c r="R183" s="9">
        <f>IF($H183&gt;K183, MIN($H183-K183, L183-K183)*INDEX('2018_commission_structure'!$A$1:$I$4,MATCH($E183,'2018_commission_structure'!$A$1:$A$4,0),MATCH(R$1,'2018_commission_structure'!$A$1:$I$1,0)),0)</f>
        <v>0</v>
      </c>
      <c r="S183" s="9">
        <f>IF(H183&gt;L183,(H183-L183)*INDEX('2018_commission_structure'!$A$1:$I$4,MATCH($E183,'2018_commission_structure'!$A$1:$A$4,0),MATCH(S$1,'2018_commission_structure'!$A$1:$I$1,0)),0)</f>
        <v>0</v>
      </c>
      <c r="T183" s="9">
        <f t="shared" si="26"/>
        <v>75581.36</v>
      </c>
      <c r="U183" s="9">
        <f t="shared" si="27"/>
        <v>126038.36</v>
      </c>
      <c r="V183" s="9">
        <f>MIN($I183,$H183)*INDEX('Key Metrics'!$E$16:$N$19,MATCH($E183,'Key Metrics'!$E$16:$E$19,0),MATCH(V$1,'Key Metrics'!$E$16:$M$16,0))</f>
        <v>60000</v>
      </c>
      <c r="W183" s="9">
        <f>IF($H183&gt;I183, MIN($H183-I183, J183-I183)*INDEX('Key Metrics'!$E$16:$N$19,MATCH($E183,'Key Metrics'!$E$16:$E$19,0),MATCH(W$1,'Key Metrics'!$E$16:$M$16,0)),0)</f>
        <v>21250</v>
      </c>
      <c r="X183" s="9">
        <f>IF($H183&gt;J183, MIN($H183-J183, K183-J183)*INDEX('Key Metrics'!$E$16:$N$19,MATCH($E183,'Key Metrics'!$E$16:$E$19,0),MATCH(X$1,'Key Metrics'!$E$16:$M$16,0)),0)</f>
        <v>7590.4000000000005</v>
      </c>
      <c r="Y183" s="9">
        <f>IF($H183&gt;K183, MIN($H183-K183, L183-K183)*INDEX('Key Metrics'!$E$16:$N$19,MATCH($E183,'Key Metrics'!$E$16:$E$19,0),MATCH(Y$1,'Key Metrics'!$E$16:$M$16,0)),0)</f>
        <v>0</v>
      </c>
      <c r="Z183" s="9">
        <f>IF($H183&gt;L183,($H183-L183)*INDEX('Key Metrics'!$E$16:$N$19,MATCH($E183,'Key Metrics'!$E$16:$E$19,0),MATCH(Z$1,'Key Metrics'!$E$16:$M$16,0)),0)</f>
        <v>0</v>
      </c>
      <c r="AA183" s="9">
        <f t="shared" si="28"/>
        <v>88840.4</v>
      </c>
      <c r="AB183" s="9">
        <f t="shared" si="29"/>
        <v>88841.725903999992</v>
      </c>
    </row>
    <row r="184" spans="1:28" x14ac:dyDescent="0.55000000000000004">
      <c r="A184" t="str">
        <f t="shared" si="20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COUNTIF(deals_closed!$D$2:$D$20001,Calculations!B749)</f>
        <v>21</v>
      </c>
      <c r="H184" s="7">
        <f>SUMIF(deals_closed!$D:$D,Calculations!B749,deals_closed!$C:$C)</f>
        <v>853386</v>
      </c>
      <c r="I184" s="5">
        <f>VLOOKUP(E184,'2018_commission_structure'!$A$1:$I$4,9,FALSE)</f>
        <v>750000</v>
      </c>
      <c r="J184" s="9">
        <f t="shared" si="21"/>
        <v>937500</v>
      </c>
      <c r="K184" s="10">
        <f t="shared" si="22"/>
        <v>1125000</v>
      </c>
      <c r="L184" s="9">
        <f t="shared" si="23"/>
        <v>1500000</v>
      </c>
      <c r="M184" s="8">
        <f t="shared" si="24"/>
        <v>1.137848</v>
      </c>
      <c r="N184" t="str">
        <f t="shared" si="25"/>
        <v>100-125%</v>
      </c>
      <c r="O184" s="9">
        <f>MIN($H184,$I184)*INDEX('2018_commission_structure'!$A$1:$I$4,MATCH($E184,'2018_commission_structure'!$A$1:$A$4,0),MATCH(O$1,'2018_commission_structure'!$A$1:$I$1,0))</f>
        <v>112500</v>
      </c>
      <c r="P184" s="9">
        <f>IF(H184&gt;I184, MIN(H184-I184, J184-I184)*INDEX('2018_commission_structure'!$A$1:$I$4,MATCH($E184,'2018_commission_structure'!$A$1:$A$4,0),MATCH(P$1,'2018_commission_structure'!$A$1:$I$1,0)),0)</f>
        <v>19643.34</v>
      </c>
      <c r="Q184" s="9">
        <f>IF($H184&gt;J184, MIN($H184-J184, K184-J184)*INDEX('2018_commission_structure'!$A$1:$I$4,MATCH($E184,'2018_commission_structure'!$A$1:$A$4,0),MATCH(Q$1,'2018_commission_structure'!$A$1:$I$1,0)),0)</f>
        <v>0</v>
      </c>
      <c r="R184" s="9">
        <f>IF($H184&gt;K184, MIN($H184-K184, L184-K184)*INDEX('2018_commission_structure'!$A$1:$I$4,MATCH($E184,'2018_commission_structure'!$A$1:$A$4,0),MATCH(R$1,'2018_commission_structure'!$A$1:$I$1,0)),0)</f>
        <v>0</v>
      </c>
      <c r="S184" s="9">
        <f>IF(H184&gt;L184,(H184-L184)*INDEX('2018_commission_structure'!$A$1:$I$4,MATCH($E184,'2018_commission_structure'!$A$1:$A$4,0),MATCH(S$1,'2018_commission_structure'!$A$1:$I$1,0)),0)</f>
        <v>0</v>
      </c>
      <c r="T184" s="9">
        <f t="shared" si="26"/>
        <v>132143.34</v>
      </c>
      <c r="U184" s="9">
        <f t="shared" si="27"/>
        <v>226306.34</v>
      </c>
      <c r="V184" s="9">
        <f>MIN($I184,$H184)*INDEX('Key Metrics'!$E$16:$N$19,MATCH($E184,'Key Metrics'!$E$16:$E$19,0),MATCH(V$1,'Key Metrics'!$E$16:$M$16,0))</f>
        <v>112500</v>
      </c>
      <c r="W184" s="9">
        <f>IF($H184&gt;I184, MIN($H184-I184, J184-I184)*INDEX('Key Metrics'!$E$16:$N$19,MATCH($E184,'Key Metrics'!$E$16:$E$19,0),MATCH(W$1,'Key Metrics'!$E$16:$M$16,0)),0)</f>
        <v>22744.920000000002</v>
      </c>
      <c r="X184" s="9">
        <f>IF($H184&gt;J184, MIN($H184-J184, K184-J184)*INDEX('Key Metrics'!$E$16:$N$19,MATCH($E184,'Key Metrics'!$E$16:$E$19,0),MATCH(X$1,'Key Metrics'!$E$16:$M$16,0)),0)</f>
        <v>0</v>
      </c>
      <c r="Y184" s="9">
        <f>IF($H184&gt;K184, MIN($H184-K184, L184-K184)*INDEX('Key Metrics'!$E$16:$N$19,MATCH($E184,'Key Metrics'!$E$16:$E$19,0),MATCH(Y$1,'Key Metrics'!$E$16:$M$16,0)),0)</f>
        <v>0</v>
      </c>
      <c r="Z184" s="9">
        <f>IF($H184&gt;L184,($H184-L184)*INDEX('Key Metrics'!$E$16:$N$19,MATCH($E184,'Key Metrics'!$E$16:$E$19,0),MATCH(Z$1,'Key Metrics'!$E$16:$M$16,0)),0)</f>
        <v>0</v>
      </c>
      <c r="AA184" s="9">
        <f t="shared" si="28"/>
        <v>135244.92000000001</v>
      </c>
      <c r="AB184" s="9">
        <f t="shared" si="29"/>
        <v>135246.05784800003</v>
      </c>
    </row>
    <row r="185" spans="1:28" x14ac:dyDescent="0.55000000000000004">
      <c r="A185" t="str">
        <f t="shared" si="20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COUNTIF(deals_closed!$D$2:$D$20001,Calculations!B210)</f>
        <v>27</v>
      </c>
      <c r="H185" s="7">
        <f>SUMIF(deals_closed!$D:$D,Calculations!B210,deals_closed!$C:$C)</f>
        <v>924749</v>
      </c>
      <c r="I185" s="5">
        <f>VLOOKUP(E185,'2018_commission_structure'!$A$1:$I$4,9,FALSE)</f>
        <v>600000</v>
      </c>
      <c r="J185" s="9">
        <f t="shared" si="21"/>
        <v>750000</v>
      </c>
      <c r="K185" s="10">
        <f t="shared" si="22"/>
        <v>900000</v>
      </c>
      <c r="L185" s="9">
        <f t="shared" si="23"/>
        <v>1200000</v>
      </c>
      <c r="M185" s="8">
        <f t="shared" si="24"/>
        <v>1.5412483333333333</v>
      </c>
      <c r="N185" t="str">
        <f t="shared" si="25"/>
        <v>150-200%</v>
      </c>
      <c r="O185" s="9">
        <f>MIN($H185,$I185)*INDEX('2018_commission_structure'!$A$1:$I$4,MATCH($E185,'2018_commission_structure'!$A$1:$A$4,0),MATCH(O$1,'2018_commission_structure'!$A$1:$I$1,0))</f>
        <v>78000</v>
      </c>
      <c r="P185" s="9">
        <f>IF(H185&gt;I185, MIN(H185-I185, J185-I185)*INDEX('2018_commission_structure'!$A$1:$I$4,MATCH($E185,'2018_commission_structure'!$A$1:$A$4,0),MATCH(P$1,'2018_commission_structure'!$A$1:$I$1,0)),0)</f>
        <v>25500.000000000004</v>
      </c>
      <c r="Q185" s="9">
        <f>IF($H185&gt;J185, MIN($H185-J185, K185-J185)*INDEX('2018_commission_structure'!$A$1:$I$4,MATCH($E185,'2018_commission_structure'!$A$1:$A$4,0),MATCH(Q$1,'2018_commission_structure'!$A$1:$I$1,0)),0)</f>
        <v>31500</v>
      </c>
      <c r="R185" s="9">
        <f>IF($H185&gt;K185, MIN($H185-K185, L185-K185)*INDEX('2018_commission_structure'!$A$1:$I$4,MATCH($E185,'2018_commission_structure'!$A$1:$A$4,0),MATCH(R$1,'2018_commission_structure'!$A$1:$I$1,0)),0)</f>
        <v>6434.74</v>
      </c>
      <c r="S185" s="9">
        <f>IF(H185&gt;L185,(H185-L185)*INDEX('2018_commission_structure'!$A$1:$I$4,MATCH($E185,'2018_commission_structure'!$A$1:$A$4,0),MATCH(S$1,'2018_commission_structure'!$A$1:$I$1,0)),0)</f>
        <v>0</v>
      </c>
      <c r="T185" s="9">
        <f t="shared" si="26"/>
        <v>141434.74</v>
      </c>
      <c r="U185" s="9">
        <f t="shared" si="27"/>
        <v>211198.74</v>
      </c>
      <c r="V185" s="9">
        <f>MIN($I185,$H185)*INDEX('Key Metrics'!$E$16:$N$19,MATCH($E185,'Key Metrics'!$E$16:$E$19,0),MATCH(V$1,'Key Metrics'!$E$16:$M$16,0))</f>
        <v>90000</v>
      </c>
      <c r="W185" s="9">
        <f>IF($H185&gt;I185, MIN($H185-I185, J185-I185)*INDEX('Key Metrics'!$E$16:$N$19,MATCH($E185,'Key Metrics'!$E$16:$E$19,0),MATCH(W$1,'Key Metrics'!$E$16:$M$16,0)),0)</f>
        <v>27000</v>
      </c>
      <c r="X185" s="9">
        <f>IF($H185&gt;J185, MIN($H185-J185, K185-J185)*INDEX('Key Metrics'!$E$16:$N$19,MATCH($E185,'Key Metrics'!$E$16:$E$19,0),MATCH(X$1,'Key Metrics'!$E$16:$M$16,0)),0)</f>
        <v>37500</v>
      </c>
      <c r="Y185" s="9">
        <f>IF($H185&gt;K185, MIN($H185-K185, L185-K185)*INDEX('Key Metrics'!$E$16:$N$19,MATCH($E185,'Key Metrics'!$E$16:$E$19,0),MATCH(Y$1,'Key Metrics'!$E$16:$M$16,0)),0)</f>
        <v>7424.7</v>
      </c>
      <c r="Z185" s="9">
        <f>IF($H185&gt;L185,($H185-L185)*INDEX('Key Metrics'!$E$16:$N$19,MATCH($E185,'Key Metrics'!$E$16:$E$19,0),MATCH(Z$1,'Key Metrics'!$E$16:$M$16,0)),0)</f>
        <v>0</v>
      </c>
      <c r="AA185" s="9">
        <f t="shared" si="28"/>
        <v>161924.70000000001</v>
      </c>
      <c r="AB185" s="9">
        <f t="shared" si="29"/>
        <v>161926.24124833333</v>
      </c>
    </row>
    <row r="186" spans="1:28" x14ac:dyDescent="0.55000000000000004">
      <c r="A186" t="str">
        <f t="shared" si="20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COUNTIF(deals_closed!$D$2:$D$20001,Calculations!B345)</f>
        <v>23</v>
      </c>
      <c r="H186" s="7">
        <f>SUMIF(deals_closed!$D:$D,Calculations!B345,deals_closed!$C:$C)</f>
        <v>906546</v>
      </c>
      <c r="I186" s="5">
        <f>VLOOKUP(E186,'2018_commission_structure'!$A$1:$I$4,9,FALSE)</f>
        <v>600000</v>
      </c>
      <c r="J186" s="9">
        <f t="shared" si="21"/>
        <v>750000</v>
      </c>
      <c r="K186" s="10">
        <f t="shared" si="22"/>
        <v>900000</v>
      </c>
      <c r="L186" s="9">
        <f t="shared" si="23"/>
        <v>1200000</v>
      </c>
      <c r="M186" s="8">
        <f t="shared" si="24"/>
        <v>1.51091</v>
      </c>
      <c r="N186" t="str">
        <f t="shared" si="25"/>
        <v>150-200%</v>
      </c>
      <c r="O186" s="9">
        <f>MIN($H186,$I186)*INDEX('2018_commission_structure'!$A$1:$I$4,MATCH($E186,'2018_commission_structure'!$A$1:$A$4,0),MATCH(O$1,'2018_commission_structure'!$A$1:$I$1,0))</f>
        <v>78000</v>
      </c>
      <c r="P186" s="9">
        <f>IF(H186&gt;I186, MIN(H186-I186, J186-I186)*INDEX('2018_commission_structure'!$A$1:$I$4,MATCH($E186,'2018_commission_structure'!$A$1:$A$4,0),MATCH(P$1,'2018_commission_structure'!$A$1:$I$1,0)),0)</f>
        <v>25500.000000000004</v>
      </c>
      <c r="Q186" s="9">
        <f>IF($H186&gt;J186, MIN($H186-J186, K186-J186)*INDEX('2018_commission_structure'!$A$1:$I$4,MATCH($E186,'2018_commission_structure'!$A$1:$A$4,0),MATCH(Q$1,'2018_commission_structure'!$A$1:$I$1,0)),0)</f>
        <v>31500</v>
      </c>
      <c r="R186" s="9">
        <f>IF($H186&gt;K186, MIN($H186-K186, L186-K186)*INDEX('2018_commission_structure'!$A$1:$I$4,MATCH($E186,'2018_commission_structure'!$A$1:$A$4,0),MATCH(R$1,'2018_commission_structure'!$A$1:$I$1,0)),0)</f>
        <v>1701.96</v>
      </c>
      <c r="S186" s="9">
        <f>IF(H186&gt;L186,(H186-L186)*INDEX('2018_commission_structure'!$A$1:$I$4,MATCH($E186,'2018_commission_structure'!$A$1:$A$4,0),MATCH(S$1,'2018_commission_structure'!$A$1:$I$1,0)),0)</f>
        <v>0</v>
      </c>
      <c r="T186" s="9">
        <f t="shared" si="26"/>
        <v>136701.96</v>
      </c>
      <c r="U186" s="9">
        <f t="shared" si="27"/>
        <v>186704.96</v>
      </c>
      <c r="V186" s="9">
        <f>MIN($I186,$H186)*INDEX('Key Metrics'!$E$16:$N$19,MATCH($E186,'Key Metrics'!$E$16:$E$19,0),MATCH(V$1,'Key Metrics'!$E$16:$M$16,0))</f>
        <v>90000</v>
      </c>
      <c r="W186" s="9">
        <f>IF($H186&gt;I186, MIN($H186-I186, J186-I186)*INDEX('Key Metrics'!$E$16:$N$19,MATCH($E186,'Key Metrics'!$E$16:$E$19,0),MATCH(W$1,'Key Metrics'!$E$16:$M$16,0)),0)</f>
        <v>27000</v>
      </c>
      <c r="X186" s="9">
        <f>IF($H186&gt;J186, MIN($H186-J186, K186-J186)*INDEX('Key Metrics'!$E$16:$N$19,MATCH($E186,'Key Metrics'!$E$16:$E$19,0),MATCH(X$1,'Key Metrics'!$E$16:$M$16,0)),0)</f>
        <v>37500</v>
      </c>
      <c r="Y186" s="9">
        <f>IF($H186&gt;K186, MIN($H186-K186, L186-K186)*INDEX('Key Metrics'!$E$16:$N$19,MATCH($E186,'Key Metrics'!$E$16:$E$19,0),MATCH(Y$1,'Key Metrics'!$E$16:$M$16,0)),0)</f>
        <v>1963.8</v>
      </c>
      <c r="Z186" s="9">
        <f>IF($H186&gt;L186,($H186-L186)*INDEX('Key Metrics'!$E$16:$N$19,MATCH($E186,'Key Metrics'!$E$16:$E$19,0),MATCH(Z$1,'Key Metrics'!$E$16:$M$16,0)),0)</f>
        <v>0</v>
      </c>
      <c r="AA186" s="9">
        <f t="shared" si="28"/>
        <v>156463.79999999999</v>
      </c>
      <c r="AB186" s="9">
        <f t="shared" si="29"/>
        <v>156465.31091</v>
      </c>
    </row>
    <row r="187" spans="1:28" x14ac:dyDescent="0.55000000000000004">
      <c r="A187" t="str">
        <f t="shared" si="20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COUNTIF(deals_closed!$D$2:$D$20001,Calculations!B906)</f>
        <v>19</v>
      </c>
      <c r="H187" s="7">
        <f>SUMIF(deals_closed!$D:$D,Calculations!B906,deals_closed!$C:$C)</f>
        <v>756055</v>
      </c>
      <c r="I187" s="5">
        <f>VLOOKUP(E187,'2018_commission_structure'!$A$1:$I$4,9,FALSE)</f>
        <v>750000</v>
      </c>
      <c r="J187" s="9">
        <f t="shared" si="21"/>
        <v>937500</v>
      </c>
      <c r="K187" s="10">
        <f t="shared" si="22"/>
        <v>1125000</v>
      </c>
      <c r="L187" s="9">
        <f t="shared" si="23"/>
        <v>1500000</v>
      </c>
      <c r="M187" s="8">
        <f t="shared" si="24"/>
        <v>1.0080733333333334</v>
      </c>
      <c r="N187" t="str">
        <f t="shared" si="25"/>
        <v>100-125%</v>
      </c>
      <c r="O187" s="9">
        <f>MIN($H187,$I187)*INDEX('2018_commission_structure'!$A$1:$I$4,MATCH($E187,'2018_commission_structure'!$A$1:$A$4,0),MATCH(O$1,'2018_commission_structure'!$A$1:$I$1,0))</f>
        <v>112500</v>
      </c>
      <c r="P187" s="9">
        <f>IF(H187&gt;I187, MIN(H187-I187, J187-I187)*INDEX('2018_commission_structure'!$A$1:$I$4,MATCH($E187,'2018_commission_structure'!$A$1:$A$4,0),MATCH(P$1,'2018_commission_structure'!$A$1:$I$1,0)),0)</f>
        <v>1150.45</v>
      </c>
      <c r="Q187" s="9">
        <f>IF($H187&gt;J187, MIN($H187-J187, K187-J187)*INDEX('2018_commission_structure'!$A$1:$I$4,MATCH($E187,'2018_commission_structure'!$A$1:$A$4,0),MATCH(Q$1,'2018_commission_structure'!$A$1:$I$1,0)),0)</f>
        <v>0</v>
      </c>
      <c r="R187" s="9">
        <f>IF($H187&gt;K187, MIN($H187-K187, L187-K187)*INDEX('2018_commission_structure'!$A$1:$I$4,MATCH($E187,'2018_commission_structure'!$A$1:$A$4,0),MATCH(R$1,'2018_commission_structure'!$A$1:$I$1,0)),0)</f>
        <v>0</v>
      </c>
      <c r="S187" s="9">
        <f>IF(H187&gt;L187,(H187-L187)*INDEX('2018_commission_structure'!$A$1:$I$4,MATCH($E187,'2018_commission_structure'!$A$1:$A$4,0),MATCH(S$1,'2018_commission_structure'!$A$1:$I$1,0)),0)</f>
        <v>0</v>
      </c>
      <c r="T187" s="9">
        <f t="shared" si="26"/>
        <v>113650.45</v>
      </c>
      <c r="U187" s="9">
        <f t="shared" si="27"/>
        <v>227993.45</v>
      </c>
      <c r="V187" s="9">
        <f>MIN($I187,$H187)*INDEX('Key Metrics'!$E$16:$N$19,MATCH($E187,'Key Metrics'!$E$16:$E$19,0),MATCH(V$1,'Key Metrics'!$E$16:$M$16,0))</f>
        <v>112500</v>
      </c>
      <c r="W187" s="9">
        <f>IF($H187&gt;I187, MIN($H187-I187, J187-I187)*INDEX('Key Metrics'!$E$16:$N$19,MATCH($E187,'Key Metrics'!$E$16:$E$19,0),MATCH(W$1,'Key Metrics'!$E$16:$M$16,0)),0)</f>
        <v>1332.1</v>
      </c>
      <c r="X187" s="9">
        <f>IF($H187&gt;J187, MIN($H187-J187, K187-J187)*INDEX('Key Metrics'!$E$16:$N$19,MATCH($E187,'Key Metrics'!$E$16:$E$19,0),MATCH(X$1,'Key Metrics'!$E$16:$M$16,0)),0)</f>
        <v>0</v>
      </c>
      <c r="Y187" s="9">
        <f>IF($H187&gt;K187, MIN($H187-K187, L187-K187)*INDEX('Key Metrics'!$E$16:$N$19,MATCH($E187,'Key Metrics'!$E$16:$E$19,0),MATCH(Y$1,'Key Metrics'!$E$16:$M$16,0)),0)</f>
        <v>0</v>
      </c>
      <c r="Z187" s="9">
        <f>IF($H187&gt;L187,($H187-L187)*INDEX('Key Metrics'!$E$16:$N$19,MATCH($E187,'Key Metrics'!$E$16:$E$19,0),MATCH(Z$1,'Key Metrics'!$E$16:$M$16,0)),0)</f>
        <v>0</v>
      </c>
      <c r="AA187" s="9">
        <f t="shared" si="28"/>
        <v>113832.1</v>
      </c>
      <c r="AB187" s="9">
        <f t="shared" si="29"/>
        <v>113833.10807333334</v>
      </c>
    </row>
    <row r="188" spans="1:28" x14ac:dyDescent="0.55000000000000004">
      <c r="A188" t="str">
        <f t="shared" si="20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COUNTIF(deals_closed!$D$2:$D$20001,Calculations!B701)</f>
        <v>22</v>
      </c>
      <c r="H188" s="7">
        <f>SUMIF(deals_closed!$D:$D,Calculations!B701,deals_closed!$C:$C)</f>
        <v>782719</v>
      </c>
      <c r="I188" s="5">
        <f>VLOOKUP(E188,'2018_commission_structure'!$A$1:$I$4,9,FALSE)</f>
        <v>600000</v>
      </c>
      <c r="J188" s="9">
        <f t="shared" si="21"/>
        <v>750000</v>
      </c>
      <c r="K188" s="10">
        <f t="shared" si="22"/>
        <v>900000</v>
      </c>
      <c r="L188" s="9">
        <f t="shared" si="23"/>
        <v>1200000</v>
      </c>
      <c r="M188" s="8">
        <f t="shared" si="24"/>
        <v>1.3045316666666666</v>
      </c>
      <c r="N188" t="str">
        <f t="shared" si="25"/>
        <v>125-150%</v>
      </c>
      <c r="O188" s="9">
        <f>MIN($H188,$I188)*INDEX('2018_commission_structure'!$A$1:$I$4,MATCH($E188,'2018_commission_structure'!$A$1:$A$4,0),MATCH(O$1,'2018_commission_structure'!$A$1:$I$1,0))</f>
        <v>78000</v>
      </c>
      <c r="P188" s="9">
        <f>IF(H188&gt;I188, MIN(H188-I188, J188-I188)*INDEX('2018_commission_structure'!$A$1:$I$4,MATCH($E188,'2018_commission_structure'!$A$1:$A$4,0),MATCH(P$1,'2018_commission_structure'!$A$1:$I$1,0)),0)</f>
        <v>25500.000000000004</v>
      </c>
      <c r="Q188" s="9">
        <f>IF($H188&gt;J188, MIN($H188-J188, K188-J188)*INDEX('2018_commission_structure'!$A$1:$I$4,MATCH($E188,'2018_commission_structure'!$A$1:$A$4,0),MATCH(Q$1,'2018_commission_structure'!$A$1:$I$1,0)),0)</f>
        <v>6870.99</v>
      </c>
      <c r="R188" s="9">
        <f>IF($H188&gt;K188, MIN($H188-K188, L188-K188)*INDEX('2018_commission_structure'!$A$1:$I$4,MATCH($E188,'2018_commission_structure'!$A$1:$A$4,0),MATCH(R$1,'2018_commission_structure'!$A$1:$I$1,0)),0)</f>
        <v>0</v>
      </c>
      <c r="S188" s="9">
        <f>IF(H188&gt;L188,(H188-L188)*INDEX('2018_commission_structure'!$A$1:$I$4,MATCH($E188,'2018_commission_structure'!$A$1:$A$4,0),MATCH(S$1,'2018_commission_structure'!$A$1:$I$1,0)),0)</f>
        <v>0</v>
      </c>
      <c r="T188" s="9">
        <f t="shared" si="26"/>
        <v>110370.99</v>
      </c>
      <c r="U188" s="9">
        <f t="shared" si="27"/>
        <v>183889.99</v>
      </c>
      <c r="V188" s="9">
        <f>MIN($I188,$H188)*INDEX('Key Metrics'!$E$16:$N$19,MATCH($E188,'Key Metrics'!$E$16:$E$19,0),MATCH(V$1,'Key Metrics'!$E$16:$M$16,0))</f>
        <v>90000</v>
      </c>
      <c r="W188" s="9">
        <f>IF($H188&gt;I188, MIN($H188-I188, J188-I188)*INDEX('Key Metrics'!$E$16:$N$19,MATCH($E188,'Key Metrics'!$E$16:$E$19,0),MATCH(W$1,'Key Metrics'!$E$16:$M$16,0)),0)</f>
        <v>27000</v>
      </c>
      <c r="X188" s="9">
        <f>IF($H188&gt;J188, MIN($H188-J188, K188-J188)*INDEX('Key Metrics'!$E$16:$N$19,MATCH($E188,'Key Metrics'!$E$16:$E$19,0),MATCH(X$1,'Key Metrics'!$E$16:$M$16,0)),0)</f>
        <v>8179.75</v>
      </c>
      <c r="Y188" s="9">
        <f>IF($H188&gt;K188, MIN($H188-K188, L188-K188)*INDEX('Key Metrics'!$E$16:$N$19,MATCH($E188,'Key Metrics'!$E$16:$E$19,0),MATCH(Y$1,'Key Metrics'!$E$16:$M$16,0)),0)</f>
        <v>0</v>
      </c>
      <c r="Z188" s="9">
        <f>IF($H188&gt;L188,($H188-L188)*INDEX('Key Metrics'!$E$16:$N$19,MATCH($E188,'Key Metrics'!$E$16:$E$19,0),MATCH(Z$1,'Key Metrics'!$E$16:$M$16,0)),0)</f>
        <v>0</v>
      </c>
      <c r="AA188" s="9">
        <f t="shared" si="28"/>
        <v>125179.75</v>
      </c>
      <c r="AB188" s="9">
        <f t="shared" si="29"/>
        <v>125181.05453166667</v>
      </c>
    </row>
    <row r="189" spans="1:28" x14ac:dyDescent="0.55000000000000004">
      <c r="A189" t="str">
        <f t="shared" si="20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COUNTIF(deals_closed!$D$2:$D$20001,Calculations!B468)</f>
        <v>22</v>
      </c>
      <c r="H189" s="7">
        <f>SUMIF(deals_closed!$D:$D,Calculations!B468,deals_closed!$C:$C)</f>
        <v>711984</v>
      </c>
      <c r="I189" s="5">
        <f>VLOOKUP(E189,'2018_commission_structure'!$A$1:$I$4,9,FALSE)</f>
        <v>600000</v>
      </c>
      <c r="J189" s="9">
        <f t="shared" si="21"/>
        <v>750000</v>
      </c>
      <c r="K189" s="10">
        <f t="shared" si="22"/>
        <v>900000</v>
      </c>
      <c r="L189" s="9">
        <f t="shared" si="23"/>
        <v>1200000</v>
      </c>
      <c r="M189" s="8">
        <f t="shared" si="24"/>
        <v>1.1866399999999999</v>
      </c>
      <c r="N189" t="str">
        <f t="shared" si="25"/>
        <v>100-125%</v>
      </c>
      <c r="O189" s="9">
        <f>MIN($H189,$I189)*INDEX('2018_commission_structure'!$A$1:$I$4,MATCH($E189,'2018_commission_structure'!$A$1:$A$4,0),MATCH(O$1,'2018_commission_structure'!$A$1:$I$1,0))</f>
        <v>78000</v>
      </c>
      <c r="P189" s="9">
        <f>IF(H189&gt;I189, MIN(H189-I189, J189-I189)*INDEX('2018_commission_structure'!$A$1:$I$4,MATCH($E189,'2018_commission_structure'!$A$1:$A$4,0),MATCH(P$1,'2018_commission_structure'!$A$1:$I$1,0)),0)</f>
        <v>19037.280000000002</v>
      </c>
      <c r="Q189" s="9">
        <f>IF($H189&gt;J189, MIN($H189-J189, K189-J189)*INDEX('2018_commission_structure'!$A$1:$I$4,MATCH($E189,'2018_commission_structure'!$A$1:$A$4,0),MATCH(Q$1,'2018_commission_structure'!$A$1:$I$1,0)),0)</f>
        <v>0</v>
      </c>
      <c r="R189" s="9">
        <f>IF($H189&gt;K189, MIN($H189-K189, L189-K189)*INDEX('2018_commission_structure'!$A$1:$I$4,MATCH($E189,'2018_commission_structure'!$A$1:$A$4,0),MATCH(R$1,'2018_commission_structure'!$A$1:$I$1,0)),0)</f>
        <v>0</v>
      </c>
      <c r="S189" s="9">
        <f>IF(H189&gt;L189,(H189-L189)*INDEX('2018_commission_structure'!$A$1:$I$4,MATCH($E189,'2018_commission_structure'!$A$1:$A$4,0),MATCH(S$1,'2018_commission_structure'!$A$1:$I$1,0)),0)</f>
        <v>0</v>
      </c>
      <c r="T189" s="9">
        <f t="shared" si="26"/>
        <v>97037.28</v>
      </c>
      <c r="U189" s="9">
        <f t="shared" si="27"/>
        <v>152840.28</v>
      </c>
      <c r="V189" s="9">
        <f>MIN($I189,$H189)*INDEX('Key Metrics'!$E$16:$N$19,MATCH($E189,'Key Metrics'!$E$16:$E$19,0),MATCH(V$1,'Key Metrics'!$E$16:$M$16,0))</f>
        <v>90000</v>
      </c>
      <c r="W189" s="9">
        <f>IF($H189&gt;I189, MIN($H189-I189, J189-I189)*INDEX('Key Metrics'!$E$16:$N$19,MATCH($E189,'Key Metrics'!$E$16:$E$19,0),MATCH(W$1,'Key Metrics'!$E$16:$M$16,0)),0)</f>
        <v>20157.12</v>
      </c>
      <c r="X189" s="9">
        <f>IF($H189&gt;J189, MIN($H189-J189, K189-J189)*INDEX('Key Metrics'!$E$16:$N$19,MATCH($E189,'Key Metrics'!$E$16:$E$19,0),MATCH(X$1,'Key Metrics'!$E$16:$M$16,0)),0)</f>
        <v>0</v>
      </c>
      <c r="Y189" s="9">
        <f>IF($H189&gt;K189, MIN($H189-K189, L189-K189)*INDEX('Key Metrics'!$E$16:$N$19,MATCH($E189,'Key Metrics'!$E$16:$E$19,0),MATCH(Y$1,'Key Metrics'!$E$16:$M$16,0)),0)</f>
        <v>0</v>
      </c>
      <c r="Z189" s="9">
        <f>IF($H189&gt;L189,($H189-L189)*INDEX('Key Metrics'!$E$16:$N$19,MATCH($E189,'Key Metrics'!$E$16:$E$19,0),MATCH(Z$1,'Key Metrics'!$E$16:$M$16,0)),0)</f>
        <v>0</v>
      </c>
      <c r="AA189" s="9">
        <f t="shared" si="28"/>
        <v>110157.12</v>
      </c>
      <c r="AB189" s="9">
        <f t="shared" si="29"/>
        <v>110158.30664</v>
      </c>
    </row>
    <row r="190" spans="1:28" x14ac:dyDescent="0.55000000000000004">
      <c r="A190" t="str">
        <f t="shared" si="20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COUNTIF(deals_closed!$D$2:$D$20001,Calculations!B416)</f>
        <v>20</v>
      </c>
      <c r="H190" s="7">
        <f>SUMIF(deals_closed!$D:$D,Calculations!B416,deals_closed!$C:$C)</f>
        <v>634736</v>
      </c>
      <c r="I190" s="5">
        <f>VLOOKUP(E190,'2018_commission_structure'!$A$1:$I$4,9,FALSE)</f>
        <v>750000</v>
      </c>
      <c r="J190" s="9">
        <f t="shared" si="21"/>
        <v>937500</v>
      </c>
      <c r="K190" s="10">
        <f t="shared" si="22"/>
        <v>1125000</v>
      </c>
      <c r="L190" s="9">
        <f t="shared" si="23"/>
        <v>1500000</v>
      </c>
      <c r="M190" s="8">
        <f t="shared" si="24"/>
        <v>0.84631466666666666</v>
      </c>
      <c r="N190" t="str">
        <f t="shared" si="25"/>
        <v>0-100%</v>
      </c>
      <c r="O190" s="9">
        <f>MIN($H190,$I190)*INDEX('2018_commission_structure'!$A$1:$I$4,MATCH($E190,'2018_commission_structure'!$A$1:$A$4,0),MATCH(O$1,'2018_commission_structure'!$A$1:$I$1,0))</f>
        <v>95210.4</v>
      </c>
      <c r="P190" s="9">
        <f>IF(H190&gt;I190, MIN(H190-I190, J190-I190)*INDEX('2018_commission_structure'!$A$1:$I$4,MATCH($E190,'2018_commission_structure'!$A$1:$A$4,0),MATCH(P$1,'2018_commission_structure'!$A$1:$I$1,0)),0)</f>
        <v>0</v>
      </c>
      <c r="Q190" s="9">
        <f>IF($H190&gt;J190, MIN($H190-J190, K190-J190)*INDEX('2018_commission_structure'!$A$1:$I$4,MATCH($E190,'2018_commission_structure'!$A$1:$A$4,0),MATCH(Q$1,'2018_commission_structure'!$A$1:$I$1,0)),0)</f>
        <v>0</v>
      </c>
      <c r="R190" s="9">
        <f>IF($H190&gt;K190, MIN($H190-K190, L190-K190)*INDEX('2018_commission_structure'!$A$1:$I$4,MATCH($E190,'2018_commission_structure'!$A$1:$A$4,0),MATCH(R$1,'2018_commission_structure'!$A$1:$I$1,0)),0)</f>
        <v>0</v>
      </c>
      <c r="S190" s="9">
        <f>IF(H190&gt;L190,(H190-L190)*INDEX('2018_commission_structure'!$A$1:$I$4,MATCH($E190,'2018_commission_structure'!$A$1:$A$4,0),MATCH(S$1,'2018_commission_structure'!$A$1:$I$1,0)),0)</f>
        <v>0</v>
      </c>
      <c r="T190" s="9">
        <f t="shared" si="26"/>
        <v>95210.4</v>
      </c>
      <c r="U190" s="9">
        <f t="shared" si="27"/>
        <v>170633.4</v>
      </c>
      <c r="V190" s="9">
        <f>MIN($I190,$H190)*INDEX('Key Metrics'!$E$16:$N$19,MATCH($E190,'Key Metrics'!$E$16:$E$19,0),MATCH(V$1,'Key Metrics'!$E$16:$M$16,0))</f>
        <v>95210.4</v>
      </c>
      <c r="W190" s="9">
        <f>IF($H190&gt;I190, MIN($H190-I190, J190-I190)*INDEX('Key Metrics'!$E$16:$N$19,MATCH($E190,'Key Metrics'!$E$16:$E$19,0),MATCH(W$1,'Key Metrics'!$E$16:$M$16,0)),0)</f>
        <v>0</v>
      </c>
      <c r="X190" s="9">
        <f>IF($H190&gt;J190, MIN($H190-J190, K190-J190)*INDEX('Key Metrics'!$E$16:$N$19,MATCH($E190,'Key Metrics'!$E$16:$E$19,0),MATCH(X$1,'Key Metrics'!$E$16:$M$16,0)),0)</f>
        <v>0</v>
      </c>
      <c r="Y190" s="9">
        <f>IF($H190&gt;K190, MIN($H190-K190, L190-K190)*INDEX('Key Metrics'!$E$16:$N$19,MATCH($E190,'Key Metrics'!$E$16:$E$19,0),MATCH(Y$1,'Key Metrics'!$E$16:$M$16,0)),0)</f>
        <v>0</v>
      </c>
      <c r="Z190" s="9">
        <f>IF($H190&gt;L190,($H190-L190)*INDEX('Key Metrics'!$E$16:$N$19,MATCH($E190,'Key Metrics'!$E$16:$E$19,0),MATCH(Z$1,'Key Metrics'!$E$16:$M$16,0)),0)</f>
        <v>0</v>
      </c>
      <c r="AA190" s="9">
        <f t="shared" si="28"/>
        <v>95210.4</v>
      </c>
      <c r="AB190" s="9">
        <f t="shared" si="29"/>
        <v>95211.246314666656</v>
      </c>
    </row>
    <row r="191" spans="1:28" x14ac:dyDescent="0.55000000000000004">
      <c r="A191" t="str">
        <f t="shared" si="20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COUNTIF(deals_closed!$D$2:$D$20001,Calculations!B699)</f>
        <v>22</v>
      </c>
      <c r="H191" s="7">
        <f>SUMIF(deals_closed!$D:$D,Calculations!B699,deals_closed!$C:$C)</f>
        <v>711633</v>
      </c>
      <c r="I191" s="5">
        <f>VLOOKUP(E191,'2018_commission_structure'!$A$1:$I$4,9,FALSE)</f>
        <v>600000</v>
      </c>
      <c r="J191" s="9">
        <f t="shared" si="21"/>
        <v>750000</v>
      </c>
      <c r="K191" s="10">
        <f t="shared" si="22"/>
        <v>900000</v>
      </c>
      <c r="L191" s="9">
        <f t="shared" si="23"/>
        <v>1200000</v>
      </c>
      <c r="M191" s="8">
        <f t="shared" si="24"/>
        <v>1.1860550000000001</v>
      </c>
      <c r="N191" t="str">
        <f t="shared" si="25"/>
        <v>100-125%</v>
      </c>
      <c r="O191" s="9">
        <f>MIN($H191,$I191)*INDEX('2018_commission_structure'!$A$1:$I$4,MATCH($E191,'2018_commission_structure'!$A$1:$A$4,0),MATCH(O$1,'2018_commission_structure'!$A$1:$I$1,0))</f>
        <v>78000</v>
      </c>
      <c r="P191" s="9">
        <f>IF(H191&gt;I191, MIN(H191-I191, J191-I191)*INDEX('2018_commission_structure'!$A$1:$I$4,MATCH($E191,'2018_commission_structure'!$A$1:$A$4,0),MATCH(P$1,'2018_commission_structure'!$A$1:$I$1,0)),0)</f>
        <v>18977.61</v>
      </c>
      <c r="Q191" s="9">
        <f>IF($H191&gt;J191, MIN($H191-J191, K191-J191)*INDEX('2018_commission_structure'!$A$1:$I$4,MATCH($E191,'2018_commission_structure'!$A$1:$A$4,0),MATCH(Q$1,'2018_commission_structure'!$A$1:$I$1,0)),0)</f>
        <v>0</v>
      </c>
      <c r="R191" s="9">
        <f>IF($H191&gt;K191, MIN($H191-K191, L191-K191)*INDEX('2018_commission_structure'!$A$1:$I$4,MATCH($E191,'2018_commission_structure'!$A$1:$A$4,0),MATCH(R$1,'2018_commission_structure'!$A$1:$I$1,0)),0)</f>
        <v>0</v>
      </c>
      <c r="S191" s="9">
        <f>IF(H191&gt;L191,(H191-L191)*INDEX('2018_commission_structure'!$A$1:$I$4,MATCH($E191,'2018_commission_structure'!$A$1:$A$4,0),MATCH(S$1,'2018_commission_structure'!$A$1:$I$1,0)),0)</f>
        <v>0</v>
      </c>
      <c r="T191" s="9">
        <f t="shared" si="26"/>
        <v>96977.61</v>
      </c>
      <c r="U191" s="9">
        <f t="shared" si="27"/>
        <v>175779.61</v>
      </c>
      <c r="V191" s="9">
        <f>MIN($I191,$H191)*INDEX('Key Metrics'!$E$16:$N$19,MATCH($E191,'Key Metrics'!$E$16:$E$19,0),MATCH(V$1,'Key Metrics'!$E$16:$M$16,0))</f>
        <v>90000</v>
      </c>
      <c r="W191" s="9">
        <f>IF($H191&gt;I191, MIN($H191-I191, J191-I191)*INDEX('Key Metrics'!$E$16:$N$19,MATCH($E191,'Key Metrics'!$E$16:$E$19,0),MATCH(W$1,'Key Metrics'!$E$16:$M$16,0)),0)</f>
        <v>20093.939999999999</v>
      </c>
      <c r="X191" s="9">
        <f>IF($H191&gt;J191, MIN($H191-J191, K191-J191)*INDEX('Key Metrics'!$E$16:$N$19,MATCH($E191,'Key Metrics'!$E$16:$E$19,0),MATCH(X$1,'Key Metrics'!$E$16:$M$16,0)),0)</f>
        <v>0</v>
      </c>
      <c r="Y191" s="9">
        <f>IF($H191&gt;K191, MIN($H191-K191, L191-K191)*INDEX('Key Metrics'!$E$16:$N$19,MATCH($E191,'Key Metrics'!$E$16:$E$19,0),MATCH(Y$1,'Key Metrics'!$E$16:$M$16,0)),0)</f>
        <v>0</v>
      </c>
      <c r="Z191" s="9">
        <f>IF($H191&gt;L191,($H191-L191)*INDEX('Key Metrics'!$E$16:$N$19,MATCH($E191,'Key Metrics'!$E$16:$E$19,0),MATCH(Z$1,'Key Metrics'!$E$16:$M$16,0)),0)</f>
        <v>0</v>
      </c>
      <c r="AA191" s="9">
        <f t="shared" si="28"/>
        <v>110093.94</v>
      </c>
      <c r="AB191" s="9">
        <f t="shared" si="29"/>
        <v>110095.126055</v>
      </c>
    </row>
    <row r="192" spans="1:28" x14ac:dyDescent="0.55000000000000004">
      <c r="A192" t="str">
        <f t="shared" si="20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COUNTIF(deals_closed!$D$2:$D$20001,Calculations!B412)</f>
        <v>13</v>
      </c>
      <c r="H192" s="7">
        <f>SUMIF(deals_closed!$D:$D,Calculations!B412,deals_closed!$C:$C)</f>
        <v>543853</v>
      </c>
      <c r="I192" s="5">
        <f>VLOOKUP(E192,'2018_commission_structure'!$A$1:$I$4,9,FALSE)</f>
        <v>600000</v>
      </c>
      <c r="J192" s="9">
        <f t="shared" si="21"/>
        <v>750000</v>
      </c>
      <c r="K192" s="10">
        <f t="shared" si="22"/>
        <v>900000</v>
      </c>
      <c r="L192" s="9">
        <f t="shared" si="23"/>
        <v>1200000</v>
      </c>
      <c r="M192" s="8">
        <f t="shared" si="24"/>
        <v>0.90642166666666668</v>
      </c>
      <c r="N192" t="str">
        <f t="shared" si="25"/>
        <v>0-100%</v>
      </c>
      <c r="O192" s="9">
        <f>MIN($H192,$I192)*INDEX('2018_commission_structure'!$A$1:$I$4,MATCH($E192,'2018_commission_structure'!$A$1:$A$4,0),MATCH(O$1,'2018_commission_structure'!$A$1:$I$1,0))</f>
        <v>70700.89</v>
      </c>
      <c r="P192" s="9">
        <f>IF(H192&gt;I192, MIN(H192-I192, J192-I192)*INDEX('2018_commission_structure'!$A$1:$I$4,MATCH($E192,'2018_commission_structure'!$A$1:$A$4,0),MATCH(P$1,'2018_commission_structure'!$A$1:$I$1,0)),0)</f>
        <v>0</v>
      </c>
      <c r="Q192" s="9">
        <f>IF($H192&gt;J192, MIN($H192-J192, K192-J192)*INDEX('2018_commission_structure'!$A$1:$I$4,MATCH($E192,'2018_commission_structure'!$A$1:$A$4,0),MATCH(Q$1,'2018_commission_structure'!$A$1:$I$1,0)),0)</f>
        <v>0</v>
      </c>
      <c r="R192" s="9">
        <f>IF($H192&gt;K192, MIN($H192-K192, L192-K192)*INDEX('2018_commission_structure'!$A$1:$I$4,MATCH($E192,'2018_commission_structure'!$A$1:$A$4,0),MATCH(R$1,'2018_commission_structure'!$A$1:$I$1,0)),0)</f>
        <v>0</v>
      </c>
      <c r="S192" s="9">
        <f>IF(H192&gt;L192,(H192-L192)*INDEX('2018_commission_structure'!$A$1:$I$4,MATCH($E192,'2018_commission_structure'!$A$1:$A$4,0),MATCH(S$1,'2018_commission_structure'!$A$1:$I$1,0)),0)</f>
        <v>0</v>
      </c>
      <c r="T192" s="9">
        <f t="shared" si="26"/>
        <v>70700.89</v>
      </c>
      <c r="U192" s="9">
        <f t="shared" si="27"/>
        <v>124645.89</v>
      </c>
      <c r="V192" s="9">
        <f>MIN($I192,$H192)*INDEX('Key Metrics'!$E$16:$N$19,MATCH($E192,'Key Metrics'!$E$16:$E$19,0),MATCH(V$1,'Key Metrics'!$E$16:$M$16,0))</f>
        <v>81577.95</v>
      </c>
      <c r="W192" s="9">
        <f>IF($H192&gt;I192, MIN($H192-I192, J192-I192)*INDEX('Key Metrics'!$E$16:$N$19,MATCH($E192,'Key Metrics'!$E$16:$E$19,0),MATCH(W$1,'Key Metrics'!$E$16:$M$16,0)),0)</f>
        <v>0</v>
      </c>
      <c r="X192" s="9">
        <f>IF($H192&gt;J192, MIN($H192-J192, K192-J192)*INDEX('Key Metrics'!$E$16:$N$19,MATCH($E192,'Key Metrics'!$E$16:$E$19,0),MATCH(X$1,'Key Metrics'!$E$16:$M$16,0)),0)</f>
        <v>0</v>
      </c>
      <c r="Y192" s="9">
        <f>IF($H192&gt;K192, MIN($H192-K192, L192-K192)*INDEX('Key Metrics'!$E$16:$N$19,MATCH($E192,'Key Metrics'!$E$16:$E$19,0),MATCH(Y$1,'Key Metrics'!$E$16:$M$16,0)),0)</f>
        <v>0</v>
      </c>
      <c r="Z192" s="9">
        <f>IF($H192&gt;L192,($H192-L192)*INDEX('Key Metrics'!$E$16:$N$19,MATCH($E192,'Key Metrics'!$E$16:$E$19,0),MATCH(Z$1,'Key Metrics'!$E$16:$M$16,0)),0)</f>
        <v>0</v>
      </c>
      <c r="AA192" s="9">
        <f t="shared" si="28"/>
        <v>81577.95</v>
      </c>
      <c r="AB192" s="9">
        <f t="shared" si="29"/>
        <v>81578.856421666671</v>
      </c>
    </row>
    <row r="193" spans="1:28" x14ac:dyDescent="0.55000000000000004">
      <c r="A193" t="str">
        <f t="shared" si="20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COUNTIF(deals_closed!$D$2:$D$20001,Calculations!B122)</f>
        <v>23</v>
      </c>
      <c r="H193" s="7">
        <f>SUMIF(deals_closed!$D:$D,Calculations!B122,deals_closed!$C:$C)</f>
        <v>826675</v>
      </c>
      <c r="I193" s="5">
        <f>VLOOKUP(E193,'2018_commission_structure'!$A$1:$I$4,9,FALSE)</f>
        <v>750000</v>
      </c>
      <c r="J193" s="9">
        <f t="shared" si="21"/>
        <v>937500</v>
      </c>
      <c r="K193" s="10">
        <f t="shared" si="22"/>
        <v>1125000</v>
      </c>
      <c r="L193" s="9">
        <f t="shared" si="23"/>
        <v>1500000</v>
      </c>
      <c r="M193" s="8">
        <f t="shared" si="24"/>
        <v>1.1022333333333334</v>
      </c>
      <c r="N193" t="str">
        <f t="shared" si="25"/>
        <v>100-125%</v>
      </c>
      <c r="O193" s="9">
        <f>MIN($H193,$I193)*INDEX('2018_commission_structure'!$A$1:$I$4,MATCH($E193,'2018_commission_structure'!$A$1:$A$4,0),MATCH(O$1,'2018_commission_structure'!$A$1:$I$1,0))</f>
        <v>112500</v>
      </c>
      <c r="P193" s="9">
        <f>IF(H193&gt;I193, MIN(H193-I193, J193-I193)*INDEX('2018_commission_structure'!$A$1:$I$4,MATCH($E193,'2018_commission_structure'!$A$1:$A$4,0),MATCH(P$1,'2018_commission_structure'!$A$1:$I$1,0)),0)</f>
        <v>14568.25</v>
      </c>
      <c r="Q193" s="9">
        <f>IF($H193&gt;J193, MIN($H193-J193, K193-J193)*INDEX('2018_commission_structure'!$A$1:$I$4,MATCH($E193,'2018_commission_structure'!$A$1:$A$4,0),MATCH(Q$1,'2018_commission_structure'!$A$1:$I$1,0)),0)</f>
        <v>0</v>
      </c>
      <c r="R193" s="9">
        <f>IF($H193&gt;K193, MIN($H193-K193, L193-K193)*INDEX('2018_commission_structure'!$A$1:$I$4,MATCH($E193,'2018_commission_structure'!$A$1:$A$4,0),MATCH(R$1,'2018_commission_structure'!$A$1:$I$1,0)),0)</f>
        <v>0</v>
      </c>
      <c r="S193" s="9">
        <f>IF(H193&gt;L193,(H193-L193)*INDEX('2018_commission_structure'!$A$1:$I$4,MATCH($E193,'2018_commission_structure'!$A$1:$A$4,0),MATCH(S$1,'2018_commission_structure'!$A$1:$I$1,0)),0)</f>
        <v>0</v>
      </c>
      <c r="T193" s="9">
        <f t="shared" si="26"/>
        <v>127068.25</v>
      </c>
      <c r="U193" s="9">
        <f t="shared" si="27"/>
        <v>223449.25</v>
      </c>
      <c r="V193" s="9">
        <f>MIN($I193,$H193)*INDEX('Key Metrics'!$E$16:$N$19,MATCH($E193,'Key Metrics'!$E$16:$E$19,0),MATCH(V$1,'Key Metrics'!$E$16:$M$16,0))</f>
        <v>112500</v>
      </c>
      <c r="W193" s="9">
        <f>IF($H193&gt;I193, MIN($H193-I193, J193-I193)*INDEX('Key Metrics'!$E$16:$N$19,MATCH($E193,'Key Metrics'!$E$16:$E$19,0),MATCH(W$1,'Key Metrics'!$E$16:$M$16,0)),0)</f>
        <v>16868.5</v>
      </c>
      <c r="X193" s="9">
        <f>IF($H193&gt;J193, MIN($H193-J193, K193-J193)*INDEX('Key Metrics'!$E$16:$N$19,MATCH($E193,'Key Metrics'!$E$16:$E$19,0),MATCH(X$1,'Key Metrics'!$E$16:$M$16,0)),0)</f>
        <v>0</v>
      </c>
      <c r="Y193" s="9">
        <f>IF($H193&gt;K193, MIN($H193-K193, L193-K193)*INDEX('Key Metrics'!$E$16:$N$19,MATCH($E193,'Key Metrics'!$E$16:$E$19,0),MATCH(Y$1,'Key Metrics'!$E$16:$M$16,0)),0)</f>
        <v>0</v>
      </c>
      <c r="Z193" s="9">
        <f>IF($H193&gt;L193,($H193-L193)*INDEX('Key Metrics'!$E$16:$N$19,MATCH($E193,'Key Metrics'!$E$16:$E$19,0),MATCH(Z$1,'Key Metrics'!$E$16:$M$16,0)),0)</f>
        <v>0</v>
      </c>
      <c r="AA193" s="9">
        <f t="shared" si="28"/>
        <v>129368.5</v>
      </c>
      <c r="AB193" s="9">
        <f t="shared" si="29"/>
        <v>129369.60223333334</v>
      </c>
    </row>
    <row r="194" spans="1:28" x14ac:dyDescent="0.55000000000000004">
      <c r="A194" t="str">
        <f t="shared" ref="A194:A257" si="30">CONCATENATE(C194," ",D194)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COUNTIF(deals_closed!$D$2:$D$20001,Calculations!B842)</f>
        <v>21</v>
      </c>
      <c r="H194" s="7">
        <f>SUMIF(deals_closed!$D:$D,Calculations!B842,deals_closed!$C:$C)</f>
        <v>709663</v>
      </c>
      <c r="I194" s="5">
        <f>VLOOKUP(E194,'2018_commission_structure'!$A$1:$I$4,9,FALSE)</f>
        <v>750000</v>
      </c>
      <c r="J194" s="9">
        <f t="shared" ref="J194:J257" si="31">I194*1.25</f>
        <v>937500</v>
      </c>
      <c r="K194" s="10">
        <f t="shared" ref="K194:K257" si="32">I194*1.5</f>
        <v>1125000</v>
      </c>
      <c r="L194" s="9">
        <f t="shared" ref="L194:L257" si="33">I194*2</f>
        <v>1500000</v>
      </c>
      <c r="M194" s="8">
        <f t="shared" ref="M194:M257" si="34">H194/I194</f>
        <v>0.94621733333333335</v>
      </c>
      <c r="N194" t="str">
        <f t="shared" ref="N194:N257" si="35">IF(M194&lt;=100%,"0-100%",IF(M194&lt;=125%,"100-125%",IF(M194&lt;=150%,"125-150%",IF(M194&lt;=200%,"150-200%","&gt;200%"))))</f>
        <v>0-100%</v>
      </c>
      <c r="O194" s="9">
        <f>MIN($H194,$I194)*INDEX('2018_commission_structure'!$A$1:$I$4,MATCH($E194,'2018_commission_structure'!$A$1:$A$4,0),MATCH(O$1,'2018_commission_structure'!$A$1:$I$1,0))</f>
        <v>106449.45</v>
      </c>
      <c r="P194" s="9">
        <f>IF(H194&gt;I194, MIN(H194-I194, J194-I194)*INDEX('2018_commission_structure'!$A$1:$I$4,MATCH($E194,'2018_commission_structure'!$A$1:$A$4,0),MATCH(P$1,'2018_commission_structure'!$A$1:$I$1,0)),0)</f>
        <v>0</v>
      </c>
      <c r="Q194" s="9">
        <f>IF($H194&gt;J194, MIN($H194-J194, K194-J194)*INDEX('2018_commission_structure'!$A$1:$I$4,MATCH($E194,'2018_commission_structure'!$A$1:$A$4,0),MATCH(Q$1,'2018_commission_structure'!$A$1:$I$1,0)),0)</f>
        <v>0</v>
      </c>
      <c r="R194" s="9">
        <f>IF($H194&gt;K194, MIN($H194-K194, L194-K194)*INDEX('2018_commission_structure'!$A$1:$I$4,MATCH($E194,'2018_commission_structure'!$A$1:$A$4,0),MATCH(R$1,'2018_commission_structure'!$A$1:$I$1,0)),0)</f>
        <v>0</v>
      </c>
      <c r="S194" s="9">
        <f>IF(H194&gt;L194,(H194-L194)*INDEX('2018_commission_structure'!$A$1:$I$4,MATCH($E194,'2018_commission_structure'!$A$1:$A$4,0),MATCH(S$1,'2018_commission_structure'!$A$1:$I$1,0)),0)</f>
        <v>0</v>
      </c>
      <c r="T194" s="9">
        <f t="shared" ref="T194:T257" si="36">SUM(O194:S194)</f>
        <v>106449.45</v>
      </c>
      <c r="U194" s="9">
        <f t="shared" ref="U194:U257" si="37">F194+T194</f>
        <v>185243.45</v>
      </c>
      <c r="V194" s="9">
        <f>MIN($I194,$H194)*INDEX('Key Metrics'!$E$16:$N$19,MATCH($E194,'Key Metrics'!$E$16:$E$19,0),MATCH(V$1,'Key Metrics'!$E$16:$M$16,0))</f>
        <v>106449.45</v>
      </c>
      <c r="W194" s="9">
        <f>IF($H194&gt;I194, MIN($H194-I194, J194-I194)*INDEX('Key Metrics'!$E$16:$N$19,MATCH($E194,'Key Metrics'!$E$16:$E$19,0),MATCH(W$1,'Key Metrics'!$E$16:$M$16,0)),0)</f>
        <v>0</v>
      </c>
      <c r="X194" s="9">
        <f>IF($H194&gt;J194, MIN($H194-J194, K194-J194)*INDEX('Key Metrics'!$E$16:$N$19,MATCH($E194,'Key Metrics'!$E$16:$E$19,0),MATCH(X$1,'Key Metrics'!$E$16:$M$16,0)),0)</f>
        <v>0</v>
      </c>
      <c r="Y194" s="9">
        <f>IF($H194&gt;K194, MIN($H194-K194, L194-K194)*INDEX('Key Metrics'!$E$16:$N$19,MATCH($E194,'Key Metrics'!$E$16:$E$19,0),MATCH(Y$1,'Key Metrics'!$E$16:$M$16,0)),0)</f>
        <v>0</v>
      </c>
      <c r="Z194" s="9">
        <f>IF($H194&gt;L194,($H194-L194)*INDEX('Key Metrics'!$E$16:$N$19,MATCH($E194,'Key Metrics'!$E$16:$E$19,0),MATCH(Z$1,'Key Metrics'!$E$16:$M$16,0)),0)</f>
        <v>0</v>
      </c>
      <c r="AA194" s="9">
        <f t="shared" ref="AA194:AA257" si="38">SUM(V194:Z194)</f>
        <v>106449.45</v>
      </c>
      <c r="AB194" s="9">
        <f t="shared" ref="AB194:AB257" si="39">M194+AA194</f>
        <v>106450.39621733333</v>
      </c>
    </row>
    <row r="195" spans="1:28" x14ac:dyDescent="0.55000000000000004">
      <c r="A195" t="str">
        <f t="shared" si="30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COUNTIF(deals_closed!$D$2:$D$20001,Calculations!B747)</f>
        <v>23</v>
      </c>
      <c r="H195" s="7">
        <f>SUMIF(deals_closed!$D:$D,Calculations!B747,deals_closed!$C:$C)</f>
        <v>743886</v>
      </c>
      <c r="I195" s="5">
        <f>VLOOKUP(E195,'2018_commission_structure'!$A$1:$I$4,9,FALSE)</f>
        <v>600000</v>
      </c>
      <c r="J195" s="9">
        <f t="shared" si="31"/>
        <v>750000</v>
      </c>
      <c r="K195" s="10">
        <f t="shared" si="32"/>
        <v>900000</v>
      </c>
      <c r="L195" s="9">
        <f t="shared" si="33"/>
        <v>1200000</v>
      </c>
      <c r="M195" s="8">
        <f t="shared" si="34"/>
        <v>1.2398100000000001</v>
      </c>
      <c r="N195" t="str">
        <f t="shared" si="35"/>
        <v>100-125%</v>
      </c>
      <c r="O195" s="9">
        <f>MIN($H195,$I195)*INDEX('2018_commission_structure'!$A$1:$I$4,MATCH($E195,'2018_commission_structure'!$A$1:$A$4,0),MATCH(O$1,'2018_commission_structure'!$A$1:$I$1,0))</f>
        <v>78000</v>
      </c>
      <c r="P195" s="9">
        <f>IF(H195&gt;I195, MIN(H195-I195, J195-I195)*INDEX('2018_commission_structure'!$A$1:$I$4,MATCH($E195,'2018_commission_structure'!$A$1:$A$4,0),MATCH(P$1,'2018_commission_structure'!$A$1:$I$1,0)),0)</f>
        <v>24460.620000000003</v>
      </c>
      <c r="Q195" s="9">
        <f>IF($H195&gt;J195, MIN($H195-J195, K195-J195)*INDEX('2018_commission_structure'!$A$1:$I$4,MATCH($E195,'2018_commission_structure'!$A$1:$A$4,0),MATCH(Q$1,'2018_commission_structure'!$A$1:$I$1,0)),0)</f>
        <v>0</v>
      </c>
      <c r="R195" s="9">
        <f>IF($H195&gt;K195, MIN($H195-K195, L195-K195)*INDEX('2018_commission_structure'!$A$1:$I$4,MATCH($E195,'2018_commission_structure'!$A$1:$A$4,0),MATCH(R$1,'2018_commission_structure'!$A$1:$I$1,0)),0)</f>
        <v>0</v>
      </c>
      <c r="S195" s="9">
        <f>IF(H195&gt;L195,(H195-L195)*INDEX('2018_commission_structure'!$A$1:$I$4,MATCH($E195,'2018_commission_structure'!$A$1:$A$4,0),MATCH(S$1,'2018_commission_structure'!$A$1:$I$1,0)),0)</f>
        <v>0</v>
      </c>
      <c r="T195" s="9">
        <f t="shared" si="36"/>
        <v>102460.62</v>
      </c>
      <c r="U195" s="9">
        <f t="shared" si="37"/>
        <v>177385.62</v>
      </c>
      <c r="V195" s="9">
        <f>MIN($I195,$H195)*INDEX('Key Metrics'!$E$16:$N$19,MATCH($E195,'Key Metrics'!$E$16:$E$19,0),MATCH(V$1,'Key Metrics'!$E$16:$M$16,0))</f>
        <v>90000</v>
      </c>
      <c r="W195" s="9">
        <f>IF($H195&gt;I195, MIN($H195-I195, J195-I195)*INDEX('Key Metrics'!$E$16:$N$19,MATCH($E195,'Key Metrics'!$E$16:$E$19,0),MATCH(W$1,'Key Metrics'!$E$16:$M$16,0)),0)</f>
        <v>25899.48</v>
      </c>
      <c r="X195" s="9">
        <f>IF($H195&gt;J195, MIN($H195-J195, K195-J195)*INDEX('Key Metrics'!$E$16:$N$19,MATCH($E195,'Key Metrics'!$E$16:$E$19,0),MATCH(X$1,'Key Metrics'!$E$16:$M$16,0)),0)</f>
        <v>0</v>
      </c>
      <c r="Y195" s="9">
        <f>IF($H195&gt;K195, MIN($H195-K195, L195-K195)*INDEX('Key Metrics'!$E$16:$N$19,MATCH($E195,'Key Metrics'!$E$16:$E$19,0),MATCH(Y$1,'Key Metrics'!$E$16:$M$16,0)),0)</f>
        <v>0</v>
      </c>
      <c r="Z195" s="9">
        <f>IF($H195&gt;L195,($H195-L195)*INDEX('Key Metrics'!$E$16:$N$19,MATCH($E195,'Key Metrics'!$E$16:$E$19,0),MATCH(Z$1,'Key Metrics'!$E$16:$M$16,0)),0)</f>
        <v>0</v>
      </c>
      <c r="AA195" s="9">
        <f t="shared" si="38"/>
        <v>115899.48</v>
      </c>
      <c r="AB195" s="9">
        <f t="shared" si="39"/>
        <v>115900.71981</v>
      </c>
    </row>
    <row r="196" spans="1:28" x14ac:dyDescent="0.55000000000000004">
      <c r="A196" t="str">
        <f t="shared" si="30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COUNTIF(deals_closed!$D$2:$D$20001,Calculations!B529)</f>
        <v>21</v>
      </c>
      <c r="H196" s="7">
        <f>SUMIF(deals_closed!$D:$D,Calculations!B529,deals_closed!$C:$C)</f>
        <v>724454</v>
      </c>
      <c r="I196" s="5">
        <f>VLOOKUP(E196,'2018_commission_structure'!$A$1:$I$4,9,FALSE)</f>
        <v>750000</v>
      </c>
      <c r="J196" s="9">
        <f t="shared" si="31"/>
        <v>937500</v>
      </c>
      <c r="K196" s="10">
        <f t="shared" si="32"/>
        <v>1125000</v>
      </c>
      <c r="L196" s="9">
        <f t="shared" si="33"/>
        <v>1500000</v>
      </c>
      <c r="M196" s="8">
        <f t="shared" si="34"/>
        <v>0.96593866666666661</v>
      </c>
      <c r="N196" t="str">
        <f t="shared" si="35"/>
        <v>0-100%</v>
      </c>
      <c r="O196" s="9">
        <f>MIN($H196,$I196)*INDEX('2018_commission_structure'!$A$1:$I$4,MATCH($E196,'2018_commission_structure'!$A$1:$A$4,0),MATCH(O$1,'2018_commission_structure'!$A$1:$I$1,0))</f>
        <v>108668.09999999999</v>
      </c>
      <c r="P196" s="9">
        <f>IF(H196&gt;I196, MIN(H196-I196, J196-I196)*INDEX('2018_commission_structure'!$A$1:$I$4,MATCH($E196,'2018_commission_structure'!$A$1:$A$4,0),MATCH(P$1,'2018_commission_structure'!$A$1:$I$1,0)),0)</f>
        <v>0</v>
      </c>
      <c r="Q196" s="9">
        <f>IF($H196&gt;J196, MIN($H196-J196, K196-J196)*INDEX('2018_commission_structure'!$A$1:$I$4,MATCH($E196,'2018_commission_structure'!$A$1:$A$4,0),MATCH(Q$1,'2018_commission_structure'!$A$1:$I$1,0)),0)</f>
        <v>0</v>
      </c>
      <c r="R196" s="9">
        <f>IF($H196&gt;K196, MIN($H196-K196, L196-K196)*INDEX('2018_commission_structure'!$A$1:$I$4,MATCH($E196,'2018_commission_structure'!$A$1:$A$4,0),MATCH(R$1,'2018_commission_structure'!$A$1:$I$1,0)),0)</f>
        <v>0</v>
      </c>
      <c r="S196" s="9">
        <f>IF(H196&gt;L196,(H196-L196)*INDEX('2018_commission_structure'!$A$1:$I$4,MATCH($E196,'2018_commission_structure'!$A$1:$A$4,0),MATCH(S$1,'2018_commission_structure'!$A$1:$I$1,0)),0)</f>
        <v>0</v>
      </c>
      <c r="T196" s="9">
        <f t="shared" si="36"/>
        <v>108668.09999999999</v>
      </c>
      <c r="U196" s="9">
        <f t="shared" si="37"/>
        <v>217969.09999999998</v>
      </c>
      <c r="V196" s="9">
        <f>MIN($I196,$H196)*INDEX('Key Metrics'!$E$16:$N$19,MATCH($E196,'Key Metrics'!$E$16:$E$19,0),MATCH(V$1,'Key Metrics'!$E$16:$M$16,0))</f>
        <v>108668.09999999999</v>
      </c>
      <c r="W196" s="9">
        <f>IF($H196&gt;I196, MIN($H196-I196, J196-I196)*INDEX('Key Metrics'!$E$16:$N$19,MATCH($E196,'Key Metrics'!$E$16:$E$19,0),MATCH(W$1,'Key Metrics'!$E$16:$M$16,0)),0)</f>
        <v>0</v>
      </c>
      <c r="X196" s="9">
        <f>IF($H196&gt;J196, MIN($H196-J196, K196-J196)*INDEX('Key Metrics'!$E$16:$N$19,MATCH($E196,'Key Metrics'!$E$16:$E$19,0),MATCH(X$1,'Key Metrics'!$E$16:$M$16,0)),0)</f>
        <v>0</v>
      </c>
      <c r="Y196" s="9">
        <f>IF($H196&gt;K196, MIN($H196-K196, L196-K196)*INDEX('Key Metrics'!$E$16:$N$19,MATCH($E196,'Key Metrics'!$E$16:$E$19,0),MATCH(Y$1,'Key Metrics'!$E$16:$M$16,0)),0)</f>
        <v>0</v>
      </c>
      <c r="Z196" s="9">
        <f>IF($H196&gt;L196,($H196-L196)*INDEX('Key Metrics'!$E$16:$N$19,MATCH($E196,'Key Metrics'!$E$16:$E$19,0),MATCH(Z$1,'Key Metrics'!$E$16:$M$16,0)),0)</f>
        <v>0</v>
      </c>
      <c r="AA196" s="9">
        <f t="shared" si="38"/>
        <v>108668.09999999999</v>
      </c>
      <c r="AB196" s="9">
        <f t="shared" si="39"/>
        <v>108669.06593866665</v>
      </c>
    </row>
    <row r="197" spans="1:28" x14ac:dyDescent="0.55000000000000004">
      <c r="A197" t="str">
        <f t="shared" si="30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COUNTIF(deals_closed!$D$2:$D$20001,Calculations!B17)</f>
        <v>21</v>
      </c>
      <c r="H197" s="7">
        <f>SUMIF(deals_closed!$D:$D,Calculations!B17,deals_closed!$C:$C)</f>
        <v>639491</v>
      </c>
      <c r="I197" s="5">
        <f>VLOOKUP(E197,'2018_commission_structure'!$A$1:$I$4,9,FALSE)</f>
        <v>500000</v>
      </c>
      <c r="J197" s="9">
        <f t="shared" si="31"/>
        <v>625000</v>
      </c>
      <c r="K197" s="10">
        <f t="shared" si="32"/>
        <v>750000</v>
      </c>
      <c r="L197" s="9">
        <f t="shared" si="33"/>
        <v>1000000</v>
      </c>
      <c r="M197" s="8">
        <f t="shared" si="34"/>
        <v>1.2789820000000001</v>
      </c>
      <c r="N197" t="str">
        <f t="shared" si="35"/>
        <v>125-150%</v>
      </c>
      <c r="O197" s="9">
        <f>MIN($H197,$I197)*INDEX('2018_commission_structure'!$A$1:$I$4,MATCH($E197,'2018_commission_structure'!$A$1:$A$4,0),MATCH(O$1,'2018_commission_structure'!$A$1:$I$1,0))</f>
        <v>50000</v>
      </c>
      <c r="P197" s="9">
        <f>IF(H197&gt;I197, MIN(H197-I197, J197-I197)*INDEX('2018_commission_structure'!$A$1:$I$4,MATCH($E197,'2018_commission_structure'!$A$1:$A$4,0),MATCH(P$1,'2018_commission_structure'!$A$1:$I$1,0)),0)</f>
        <v>18750</v>
      </c>
      <c r="Q197" s="9">
        <f>IF($H197&gt;J197, MIN($H197-J197, K197-J197)*INDEX('2018_commission_structure'!$A$1:$I$4,MATCH($E197,'2018_commission_structure'!$A$1:$A$4,0),MATCH(Q$1,'2018_commission_structure'!$A$1:$I$1,0)),0)</f>
        <v>2608.38</v>
      </c>
      <c r="R197" s="9">
        <f>IF($H197&gt;K197, MIN($H197-K197, L197-K197)*INDEX('2018_commission_structure'!$A$1:$I$4,MATCH($E197,'2018_commission_structure'!$A$1:$A$4,0),MATCH(R$1,'2018_commission_structure'!$A$1:$I$1,0)),0)</f>
        <v>0</v>
      </c>
      <c r="S197" s="9">
        <f>IF(H197&gt;L197,(H197-L197)*INDEX('2018_commission_structure'!$A$1:$I$4,MATCH($E197,'2018_commission_structure'!$A$1:$A$4,0),MATCH(S$1,'2018_commission_structure'!$A$1:$I$1,0)),0)</f>
        <v>0</v>
      </c>
      <c r="T197" s="9">
        <f t="shared" si="36"/>
        <v>71358.38</v>
      </c>
      <c r="U197" s="9">
        <f t="shared" si="37"/>
        <v>118505.38</v>
      </c>
      <c r="V197" s="9">
        <f>MIN($I197,$H197)*INDEX('Key Metrics'!$E$16:$N$19,MATCH($E197,'Key Metrics'!$E$16:$E$19,0),MATCH(V$1,'Key Metrics'!$E$16:$M$16,0))</f>
        <v>60000</v>
      </c>
      <c r="W197" s="9">
        <f>IF($H197&gt;I197, MIN($H197-I197, J197-I197)*INDEX('Key Metrics'!$E$16:$N$19,MATCH($E197,'Key Metrics'!$E$16:$E$19,0),MATCH(W$1,'Key Metrics'!$E$16:$M$16,0)),0)</f>
        <v>21250</v>
      </c>
      <c r="X197" s="9">
        <f>IF($H197&gt;J197, MIN($H197-J197, K197-J197)*INDEX('Key Metrics'!$E$16:$N$19,MATCH($E197,'Key Metrics'!$E$16:$E$19,0),MATCH(X$1,'Key Metrics'!$E$16:$M$16,0)),0)</f>
        <v>2898.2000000000003</v>
      </c>
      <c r="Y197" s="9">
        <f>IF($H197&gt;K197, MIN($H197-K197, L197-K197)*INDEX('Key Metrics'!$E$16:$N$19,MATCH($E197,'Key Metrics'!$E$16:$E$19,0),MATCH(Y$1,'Key Metrics'!$E$16:$M$16,0)),0)</f>
        <v>0</v>
      </c>
      <c r="Z197" s="9">
        <f>IF($H197&gt;L197,($H197-L197)*INDEX('Key Metrics'!$E$16:$N$19,MATCH($E197,'Key Metrics'!$E$16:$E$19,0),MATCH(Z$1,'Key Metrics'!$E$16:$M$16,0)),0)</f>
        <v>0</v>
      </c>
      <c r="AA197" s="9">
        <f t="shared" si="38"/>
        <v>84148.2</v>
      </c>
      <c r="AB197" s="9">
        <f t="shared" si="39"/>
        <v>84149.478982000001</v>
      </c>
    </row>
    <row r="198" spans="1:28" x14ac:dyDescent="0.55000000000000004">
      <c r="A198" t="str">
        <f t="shared" si="30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COUNTIF(deals_closed!$D$2:$D$20001,Calculations!B313)</f>
        <v>33</v>
      </c>
      <c r="H198" s="7">
        <f>SUMIF(deals_closed!$D:$D,Calculations!B313,deals_closed!$C:$C)</f>
        <v>1259829</v>
      </c>
      <c r="I198" s="5">
        <f>VLOOKUP(E198,'2018_commission_structure'!$A$1:$I$4,9,FALSE)</f>
        <v>500000</v>
      </c>
      <c r="J198" s="9">
        <f t="shared" si="31"/>
        <v>625000</v>
      </c>
      <c r="K198" s="10">
        <f t="shared" si="32"/>
        <v>750000</v>
      </c>
      <c r="L198" s="9">
        <f t="shared" si="33"/>
        <v>1000000</v>
      </c>
      <c r="M198" s="8">
        <f t="shared" si="34"/>
        <v>2.5196580000000002</v>
      </c>
      <c r="N198" t="str">
        <f t="shared" si="35"/>
        <v>&gt;200%</v>
      </c>
      <c r="O198" s="9">
        <f>MIN($H198,$I198)*INDEX('2018_commission_structure'!$A$1:$I$4,MATCH($E198,'2018_commission_structure'!$A$1:$A$4,0),MATCH(O$1,'2018_commission_structure'!$A$1:$I$1,0))</f>
        <v>50000</v>
      </c>
      <c r="P198" s="9">
        <f>IF(H198&gt;I198, MIN(H198-I198, J198-I198)*INDEX('2018_commission_structure'!$A$1:$I$4,MATCH($E198,'2018_commission_structure'!$A$1:$A$4,0),MATCH(P$1,'2018_commission_structure'!$A$1:$I$1,0)),0)</f>
        <v>18750</v>
      </c>
      <c r="Q198" s="9">
        <f>IF($H198&gt;J198, MIN($H198-J198, K198-J198)*INDEX('2018_commission_structure'!$A$1:$I$4,MATCH($E198,'2018_commission_structure'!$A$1:$A$4,0),MATCH(Q$1,'2018_commission_structure'!$A$1:$I$1,0)),0)</f>
        <v>22500</v>
      </c>
      <c r="R198" s="9">
        <f>IF($H198&gt;K198, MIN($H198-K198, L198-K198)*INDEX('2018_commission_structure'!$A$1:$I$4,MATCH($E198,'2018_commission_structure'!$A$1:$A$4,0),MATCH(R$1,'2018_commission_structure'!$A$1:$I$1,0)),0)</f>
        <v>55000</v>
      </c>
      <c r="S198" s="9">
        <f>IF(H198&gt;L198,(H198-L198)*INDEX('2018_commission_structure'!$A$1:$I$4,MATCH($E198,'2018_commission_structure'!$A$1:$A$4,0),MATCH(S$1,'2018_commission_structure'!$A$1:$I$1,0)),0)</f>
        <v>25982.9</v>
      </c>
      <c r="T198" s="9">
        <f t="shared" si="36"/>
        <v>172232.9</v>
      </c>
      <c r="U198" s="9">
        <f t="shared" si="37"/>
        <v>219816.9</v>
      </c>
      <c r="V198" s="9">
        <f>MIN($I198,$H198)*INDEX('Key Metrics'!$E$16:$N$19,MATCH($E198,'Key Metrics'!$E$16:$E$19,0),MATCH(V$1,'Key Metrics'!$E$16:$M$16,0))</f>
        <v>60000</v>
      </c>
      <c r="W198" s="9">
        <f>IF($H198&gt;I198, MIN($H198-I198, J198-I198)*INDEX('Key Metrics'!$E$16:$N$19,MATCH($E198,'Key Metrics'!$E$16:$E$19,0),MATCH(W$1,'Key Metrics'!$E$16:$M$16,0)),0)</f>
        <v>21250</v>
      </c>
      <c r="X198" s="9">
        <f>IF($H198&gt;J198, MIN($H198-J198, K198-J198)*INDEX('Key Metrics'!$E$16:$N$19,MATCH($E198,'Key Metrics'!$E$16:$E$19,0),MATCH(X$1,'Key Metrics'!$E$16:$M$16,0)),0)</f>
        <v>25000</v>
      </c>
      <c r="Y198" s="9">
        <f>IF($H198&gt;K198, MIN($H198-K198, L198-K198)*INDEX('Key Metrics'!$E$16:$N$19,MATCH($E198,'Key Metrics'!$E$16:$E$19,0),MATCH(Y$1,'Key Metrics'!$E$16:$M$16,0)),0)</f>
        <v>55000</v>
      </c>
      <c r="Z198" s="9">
        <f>IF($H198&gt;L198,($H198-L198)*INDEX('Key Metrics'!$E$16:$N$19,MATCH($E198,'Key Metrics'!$E$16:$E$19,0),MATCH(Z$1,'Key Metrics'!$E$16:$M$16,0)),0)</f>
        <v>25982.9</v>
      </c>
      <c r="AA198" s="9">
        <f t="shared" si="38"/>
        <v>187232.9</v>
      </c>
      <c r="AB198" s="9">
        <f t="shared" si="39"/>
        <v>187235.419658</v>
      </c>
    </row>
    <row r="199" spans="1:28" x14ac:dyDescent="0.55000000000000004">
      <c r="A199" t="str">
        <f t="shared" si="30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COUNTIF(deals_closed!$D$2:$D$20001,Calculations!B661)</f>
        <v>32</v>
      </c>
      <c r="H199" s="7">
        <f>SUMIF(deals_closed!$D:$D,Calculations!B661,deals_closed!$C:$C)</f>
        <v>1116037</v>
      </c>
      <c r="I199" s="5">
        <f>VLOOKUP(E199,'2018_commission_structure'!$A$1:$I$4,9,FALSE)</f>
        <v>750000</v>
      </c>
      <c r="J199" s="9">
        <f t="shared" si="31"/>
        <v>937500</v>
      </c>
      <c r="K199" s="10">
        <f t="shared" si="32"/>
        <v>1125000</v>
      </c>
      <c r="L199" s="9">
        <f t="shared" si="33"/>
        <v>1500000</v>
      </c>
      <c r="M199" s="8">
        <f t="shared" si="34"/>
        <v>1.4880493333333333</v>
      </c>
      <c r="N199" t="str">
        <f t="shared" si="35"/>
        <v>125-150%</v>
      </c>
      <c r="O199" s="9">
        <f>MIN($H199,$I199)*INDEX('2018_commission_structure'!$A$1:$I$4,MATCH($E199,'2018_commission_structure'!$A$1:$A$4,0),MATCH(O$1,'2018_commission_structure'!$A$1:$I$1,0))</f>
        <v>112500</v>
      </c>
      <c r="P199" s="9">
        <f>IF(H199&gt;I199, MIN(H199-I199, J199-I199)*INDEX('2018_commission_structure'!$A$1:$I$4,MATCH($E199,'2018_commission_structure'!$A$1:$A$4,0),MATCH(P$1,'2018_commission_structure'!$A$1:$I$1,0)),0)</f>
        <v>35625</v>
      </c>
      <c r="Q199" s="9">
        <f>IF($H199&gt;J199, MIN($H199-J199, K199-J199)*INDEX('2018_commission_structure'!$A$1:$I$4,MATCH($E199,'2018_commission_structure'!$A$1:$A$4,0),MATCH(Q$1,'2018_commission_structure'!$A$1:$I$1,0)),0)</f>
        <v>41063.51</v>
      </c>
      <c r="R199" s="9">
        <f>IF($H199&gt;K199, MIN($H199-K199, L199-K199)*INDEX('2018_commission_structure'!$A$1:$I$4,MATCH($E199,'2018_commission_structure'!$A$1:$A$4,0),MATCH(R$1,'2018_commission_structure'!$A$1:$I$1,0)),0)</f>
        <v>0</v>
      </c>
      <c r="S199" s="9">
        <f>IF(H199&gt;L199,(H199-L199)*INDEX('2018_commission_structure'!$A$1:$I$4,MATCH($E199,'2018_commission_structure'!$A$1:$A$4,0),MATCH(S$1,'2018_commission_structure'!$A$1:$I$1,0)),0)</f>
        <v>0</v>
      </c>
      <c r="T199" s="9">
        <f t="shared" si="36"/>
        <v>189188.51</v>
      </c>
      <c r="U199" s="9">
        <f t="shared" si="37"/>
        <v>277200.51</v>
      </c>
      <c r="V199" s="9">
        <f>MIN($I199,$H199)*INDEX('Key Metrics'!$E$16:$N$19,MATCH($E199,'Key Metrics'!$E$16:$E$19,0),MATCH(V$1,'Key Metrics'!$E$16:$M$16,0))</f>
        <v>112500</v>
      </c>
      <c r="W199" s="9">
        <f>IF($H199&gt;I199, MIN($H199-I199, J199-I199)*INDEX('Key Metrics'!$E$16:$N$19,MATCH($E199,'Key Metrics'!$E$16:$E$19,0),MATCH(W$1,'Key Metrics'!$E$16:$M$16,0)),0)</f>
        <v>41250</v>
      </c>
      <c r="X199" s="9">
        <f>IF($H199&gt;J199, MIN($H199-J199, K199-J199)*INDEX('Key Metrics'!$E$16:$N$19,MATCH($E199,'Key Metrics'!$E$16:$E$19,0),MATCH(X$1,'Key Metrics'!$E$16:$M$16,0)),0)</f>
        <v>44634.25</v>
      </c>
      <c r="Y199" s="9">
        <f>IF($H199&gt;K199, MIN($H199-K199, L199-K199)*INDEX('Key Metrics'!$E$16:$N$19,MATCH($E199,'Key Metrics'!$E$16:$E$19,0),MATCH(Y$1,'Key Metrics'!$E$16:$M$16,0)),0)</f>
        <v>0</v>
      </c>
      <c r="Z199" s="9">
        <f>IF($H199&gt;L199,($H199-L199)*INDEX('Key Metrics'!$E$16:$N$19,MATCH($E199,'Key Metrics'!$E$16:$E$19,0),MATCH(Z$1,'Key Metrics'!$E$16:$M$16,0)),0)</f>
        <v>0</v>
      </c>
      <c r="AA199" s="9">
        <f t="shared" si="38"/>
        <v>198384.25</v>
      </c>
      <c r="AB199" s="9">
        <f t="shared" si="39"/>
        <v>198385.73804933333</v>
      </c>
    </row>
    <row r="200" spans="1:28" x14ac:dyDescent="0.55000000000000004">
      <c r="A200" t="str">
        <f t="shared" si="30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COUNTIF(deals_closed!$D$2:$D$20001,Calculations!B487)</f>
        <v>21</v>
      </c>
      <c r="H200" s="7">
        <f>SUMIF(deals_closed!$D:$D,Calculations!B487,deals_closed!$C:$C)</f>
        <v>777666</v>
      </c>
      <c r="I200" s="5">
        <f>VLOOKUP(E200,'2018_commission_structure'!$A$1:$I$4,9,FALSE)</f>
        <v>500000</v>
      </c>
      <c r="J200" s="9">
        <f t="shared" si="31"/>
        <v>625000</v>
      </c>
      <c r="K200" s="10">
        <f t="shared" si="32"/>
        <v>750000</v>
      </c>
      <c r="L200" s="9">
        <f t="shared" si="33"/>
        <v>1000000</v>
      </c>
      <c r="M200" s="8">
        <f t="shared" si="34"/>
        <v>1.5553319999999999</v>
      </c>
      <c r="N200" t="str">
        <f t="shared" si="35"/>
        <v>150-200%</v>
      </c>
      <c r="O200" s="9">
        <f>MIN($H200,$I200)*INDEX('2018_commission_structure'!$A$1:$I$4,MATCH($E200,'2018_commission_structure'!$A$1:$A$4,0),MATCH(O$1,'2018_commission_structure'!$A$1:$I$1,0))</f>
        <v>50000</v>
      </c>
      <c r="P200" s="9">
        <f>IF(H200&gt;I200, MIN(H200-I200, J200-I200)*INDEX('2018_commission_structure'!$A$1:$I$4,MATCH($E200,'2018_commission_structure'!$A$1:$A$4,0),MATCH(P$1,'2018_commission_structure'!$A$1:$I$1,0)),0)</f>
        <v>18750</v>
      </c>
      <c r="Q200" s="9">
        <f>IF($H200&gt;J200, MIN($H200-J200, K200-J200)*INDEX('2018_commission_structure'!$A$1:$I$4,MATCH($E200,'2018_commission_structure'!$A$1:$A$4,0),MATCH(Q$1,'2018_commission_structure'!$A$1:$I$1,0)),0)</f>
        <v>22500</v>
      </c>
      <c r="R200" s="9">
        <f>IF($H200&gt;K200, MIN($H200-K200, L200-K200)*INDEX('2018_commission_structure'!$A$1:$I$4,MATCH($E200,'2018_commission_structure'!$A$1:$A$4,0),MATCH(R$1,'2018_commission_structure'!$A$1:$I$1,0)),0)</f>
        <v>6086.52</v>
      </c>
      <c r="S200" s="9">
        <f>IF(H200&gt;L200,(H200-L200)*INDEX('2018_commission_structure'!$A$1:$I$4,MATCH($E200,'2018_commission_structure'!$A$1:$A$4,0),MATCH(S$1,'2018_commission_structure'!$A$1:$I$1,0)),0)</f>
        <v>0</v>
      </c>
      <c r="T200" s="9">
        <f t="shared" si="36"/>
        <v>97336.52</v>
      </c>
      <c r="U200" s="9">
        <f t="shared" si="37"/>
        <v>127449.52</v>
      </c>
      <c r="V200" s="9">
        <f>MIN($I200,$H200)*INDEX('Key Metrics'!$E$16:$N$19,MATCH($E200,'Key Metrics'!$E$16:$E$19,0),MATCH(V$1,'Key Metrics'!$E$16:$M$16,0))</f>
        <v>60000</v>
      </c>
      <c r="W200" s="9">
        <f>IF($H200&gt;I200, MIN($H200-I200, J200-I200)*INDEX('Key Metrics'!$E$16:$N$19,MATCH($E200,'Key Metrics'!$E$16:$E$19,0),MATCH(W$1,'Key Metrics'!$E$16:$M$16,0)),0)</f>
        <v>21250</v>
      </c>
      <c r="X200" s="9">
        <f>IF($H200&gt;J200, MIN($H200-J200, K200-J200)*INDEX('Key Metrics'!$E$16:$N$19,MATCH($E200,'Key Metrics'!$E$16:$E$19,0),MATCH(X$1,'Key Metrics'!$E$16:$M$16,0)),0)</f>
        <v>25000</v>
      </c>
      <c r="Y200" s="9">
        <f>IF($H200&gt;K200, MIN($H200-K200, L200-K200)*INDEX('Key Metrics'!$E$16:$N$19,MATCH($E200,'Key Metrics'!$E$16:$E$19,0),MATCH(Y$1,'Key Metrics'!$E$16:$M$16,0)),0)</f>
        <v>6086.52</v>
      </c>
      <c r="Z200" s="9">
        <f>IF($H200&gt;L200,($H200-L200)*INDEX('Key Metrics'!$E$16:$N$19,MATCH($E200,'Key Metrics'!$E$16:$E$19,0),MATCH(Z$1,'Key Metrics'!$E$16:$M$16,0)),0)</f>
        <v>0</v>
      </c>
      <c r="AA200" s="9">
        <f t="shared" si="38"/>
        <v>112336.52</v>
      </c>
      <c r="AB200" s="9">
        <f t="shared" si="39"/>
        <v>112338.07533200001</v>
      </c>
    </row>
    <row r="201" spans="1:28" x14ac:dyDescent="0.55000000000000004">
      <c r="A201" t="str">
        <f t="shared" si="30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COUNTIF(deals_closed!$D$2:$D$20001,Calculations!B340)</f>
        <v>29</v>
      </c>
      <c r="H201" s="7">
        <f>SUMIF(deals_closed!$D:$D,Calculations!B340,deals_closed!$C:$C)</f>
        <v>1153023</v>
      </c>
      <c r="I201" s="5">
        <f>VLOOKUP(E201,'2018_commission_structure'!$A$1:$I$4,9,FALSE)</f>
        <v>500000</v>
      </c>
      <c r="J201" s="9">
        <f t="shared" si="31"/>
        <v>625000</v>
      </c>
      <c r="K201" s="10">
        <f t="shared" si="32"/>
        <v>750000</v>
      </c>
      <c r="L201" s="9">
        <f t="shared" si="33"/>
        <v>1000000</v>
      </c>
      <c r="M201" s="8">
        <f t="shared" si="34"/>
        <v>2.3060459999999998</v>
      </c>
      <c r="N201" t="str">
        <f t="shared" si="35"/>
        <v>&gt;200%</v>
      </c>
      <c r="O201" s="9">
        <f>MIN($H201,$I201)*INDEX('2018_commission_structure'!$A$1:$I$4,MATCH($E201,'2018_commission_structure'!$A$1:$A$4,0),MATCH(O$1,'2018_commission_structure'!$A$1:$I$1,0))</f>
        <v>50000</v>
      </c>
      <c r="P201" s="9">
        <f>IF(H201&gt;I201, MIN(H201-I201, J201-I201)*INDEX('2018_commission_structure'!$A$1:$I$4,MATCH($E201,'2018_commission_structure'!$A$1:$A$4,0),MATCH(P$1,'2018_commission_structure'!$A$1:$I$1,0)),0)</f>
        <v>18750</v>
      </c>
      <c r="Q201" s="9">
        <f>IF($H201&gt;J201, MIN($H201-J201, K201-J201)*INDEX('2018_commission_structure'!$A$1:$I$4,MATCH($E201,'2018_commission_structure'!$A$1:$A$4,0),MATCH(Q$1,'2018_commission_structure'!$A$1:$I$1,0)),0)</f>
        <v>22500</v>
      </c>
      <c r="R201" s="9">
        <f>IF($H201&gt;K201, MIN($H201-K201, L201-K201)*INDEX('2018_commission_structure'!$A$1:$I$4,MATCH($E201,'2018_commission_structure'!$A$1:$A$4,0),MATCH(R$1,'2018_commission_structure'!$A$1:$I$1,0)),0)</f>
        <v>55000</v>
      </c>
      <c r="S201" s="9">
        <f>IF(H201&gt;L201,(H201-L201)*INDEX('2018_commission_structure'!$A$1:$I$4,MATCH($E201,'2018_commission_structure'!$A$1:$A$4,0),MATCH(S$1,'2018_commission_structure'!$A$1:$I$1,0)),0)</f>
        <v>15302.300000000001</v>
      </c>
      <c r="T201" s="9">
        <f t="shared" si="36"/>
        <v>161552.29999999999</v>
      </c>
      <c r="U201" s="9">
        <f t="shared" si="37"/>
        <v>213053.3</v>
      </c>
      <c r="V201" s="9">
        <f>MIN($I201,$H201)*INDEX('Key Metrics'!$E$16:$N$19,MATCH($E201,'Key Metrics'!$E$16:$E$19,0),MATCH(V$1,'Key Metrics'!$E$16:$M$16,0))</f>
        <v>60000</v>
      </c>
      <c r="W201" s="9">
        <f>IF($H201&gt;I201, MIN($H201-I201, J201-I201)*INDEX('Key Metrics'!$E$16:$N$19,MATCH($E201,'Key Metrics'!$E$16:$E$19,0),MATCH(W$1,'Key Metrics'!$E$16:$M$16,0)),0)</f>
        <v>21250</v>
      </c>
      <c r="X201" s="9">
        <f>IF($H201&gt;J201, MIN($H201-J201, K201-J201)*INDEX('Key Metrics'!$E$16:$N$19,MATCH($E201,'Key Metrics'!$E$16:$E$19,0),MATCH(X$1,'Key Metrics'!$E$16:$M$16,0)),0)</f>
        <v>25000</v>
      </c>
      <c r="Y201" s="9">
        <f>IF($H201&gt;K201, MIN($H201-K201, L201-K201)*INDEX('Key Metrics'!$E$16:$N$19,MATCH($E201,'Key Metrics'!$E$16:$E$19,0),MATCH(Y$1,'Key Metrics'!$E$16:$M$16,0)),0)</f>
        <v>55000</v>
      </c>
      <c r="Z201" s="9">
        <f>IF($H201&gt;L201,($H201-L201)*INDEX('Key Metrics'!$E$16:$N$19,MATCH($E201,'Key Metrics'!$E$16:$E$19,0),MATCH(Z$1,'Key Metrics'!$E$16:$M$16,0)),0)</f>
        <v>15302.300000000001</v>
      </c>
      <c r="AA201" s="9">
        <f t="shared" si="38"/>
        <v>176552.3</v>
      </c>
      <c r="AB201" s="9">
        <f t="shared" si="39"/>
        <v>176554.606046</v>
      </c>
    </row>
    <row r="202" spans="1:28" x14ac:dyDescent="0.55000000000000004">
      <c r="A202" t="str">
        <f t="shared" si="30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COUNTIF(deals_closed!$D$2:$D$20001,Calculations!B460)</f>
        <v>17</v>
      </c>
      <c r="H202" s="7">
        <f>SUMIF(deals_closed!$D:$D,Calculations!B460,deals_closed!$C:$C)</f>
        <v>623497</v>
      </c>
      <c r="I202" s="5">
        <f>VLOOKUP(E202,'2018_commission_structure'!$A$1:$I$4,9,FALSE)</f>
        <v>750000</v>
      </c>
      <c r="J202" s="9">
        <f t="shared" si="31"/>
        <v>937500</v>
      </c>
      <c r="K202" s="10">
        <f t="shared" si="32"/>
        <v>1125000</v>
      </c>
      <c r="L202" s="9">
        <f t="shared" si="33"/>
        <v>1500000</v>
      </c>
      <c r="M202" s="8">
        <f t="shared" si="34"/>
        <v>0.83132933333333336</v>
      </c>
      <c r="N202" t="str">
        <f t="shared" si="35"/>
        <v>0-100%</v>
      </c>
      <c r="O202" s="9">
        <f>MIN($H202,$I202)*INDEX('2018_commission_structure'!$A$1:$I$4,MATCH($E202,'2018_commission_structure'!$A$1:$A$4,0),MATCH(O$1,'2018_commission_structure'!$A$1:$I$1,0))</f>
        <v>93524.55</v>
      </c>
      <c r="P202" s="9">
        <f>IF(H202&gt;I202, MIN(H202-I202, J202-I202)*INDEX('2018_commission_structure'!$A$1:$I$4,MATCH($E202,'2018_commission_structure'!$A$1:$A$4,0),MATCH(P$1,'2018_commission_structure'!$A$1:$I$1,0)),0)</f>
        <v>0</v>
      </c>
      <c r="Q202" s="9">
        <f>IF($H202&gt;J202, MIN($H202-J202, K202-J202)*INDEX('2018_commission_structure'!$A$1:$I$4,MATCH($E202,'2018_commission_structure'!$A$1:$A$4,0),MATCH(Q$1,'2018_commission_structure'!$A$1:$I$1,0)),0)</f>
        <v>0</v>
      </c>
      <c r="R202" s="9">
        <f>IF($H202&gt;K202, MIN($H202-K202, L202-K202)*INDEX('2018_commission_structure'!$A$1:$I$4,MATCH($E202,'2018_commission_structure'!$A$1:$A$4,0),MATCH(R$1,'2018_commission_structure'!$A$1:$I$1,0)),0)</f>
        <v>0</v>
      </c>
      <c r="S202" s="9">
        <f>IF(H202&gt;L202,(H202-L202)*INDEX('2018_commission_structure'!$A$1:$I$4,MATCH($E202,'2018_commission_structure'!$A$1:$A$4,0),MATCH(S$1,'2018_commission_structure'!$A$1:$I$1,0)),0)</f>
        <v>0</v>
      </c>
      <c r="T202" s="9">
        <f t="shared" si="36"/>
        <v>93524.55</v>
      </c>
      <c r="U202" s="9">
        <f t="shared" si="37"/>
        <v>168848.55</v>
      </c>
      <c r="V202" s="9">
        <f>MIN($I202,$H202)*INDEX('Key Metrics'!$E$16:$N$19,MATCH($E202,'Key Metrics'!$E$16:$E$19,0),MATCH(V$1,'Key Metrics'!$E$16:$M$16,0))</f>
        <v>93524.55</v>
      </c>
      <c r="W202" s="9">
        <f>IF($H202&gt;I202, MIN($H202-I202, J202-I202)*INDEX('Key Metrics'!$E$16:$N$19,MATCH($E202,'Key Metrics'!$E$16:$E$19,0),MATCH(W$1,'Key Metrics'!$E$16:$M$16,0)),0)</f>
        <v>0</v>
      </c>
      <c r="X202" s="9">
        <f>IF($H202&gt;J202, MIN($H202-J202, K202-J202)*INDEX('Key Metrics'!$E$16:$N$19,MATCH($E202,'Key Metrics'!$E$16:$E$19,0),MATCH(X$1,'Key Metrics'!$E$16:$M$16,0)),0)</f>
        <v>0</v>
      </c>
      <c r="Y202" s="9">
        <f>IF($H202&gt;K202, MIN($H202-K202, L202-K202)*INDEX('Key Metrics'!$E$16:$N$19,MATCH($E202,'Key Metrics'!$E$16:$E$19,0),MATCH(Y$1,'Key Metrics'!$E$16:$M$16,0)),0)</f>
        <v>0</v>
      </c>
      <c r="Z202" s="9">
        <f>IF($H202&gt;L202,($H202-L202)*INDEX('Key Metrics'!$E$16:$N$19,MATCH($E202,'Key Metrics'!$E$16:$E$19,0),MATCH(Z$1,'Key Metrics'!$E$16:$M$16,0)),0)</f>
        <v>0</v>
      </c>
      <c r="AA202" s="9">
        <f t="shared" si="38"/>
        <v>93524.55</v>
      </c>
      <c r="AB202" s="9">
        <f t="shared" si="39"/>
        <v>93525.381329333337</v>
      </c>
    </row>
    <row r="203" spans="1:28" x14ac:dyDescent="0.55000000000000004">
      <c r="A203" t="str">
        <f t="shared" si="30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COUNTIF(deals_closed!$D$2:$D$20001,Calculations!B284)</f>
        <v>24</v>
      </c>
      <c r="H203" s="7">
        <f>SUMIF(deals_closed!$D:$D,Calculations!B284,deals_closed!$C:$C)</f>
        <v>774827</v>
      </c>
      <c r="I203" s="5">
        <f>VLOOKUP(E203,'2018_commission_structure'!$A$1:$I$4,9,FALSE)</f>
        <v>500000</v>
      </c>
      <c r="J203" s="9">
        <f t="shared" si="31"/>
        <v>625000</v>
      </c>
      <c r="K203" s="10">
        <f t="shared" si="32"/>
        <v>750000</v>
      </c>
      <c r="L203" s="9">
        <f t="shared" si="33"/>
        <v>1000000</v>
      </c>
      <c r="M203" s="8">
        <f t="shared" si="34"/>
        <v>1.5496540000000001</v>
      </c>
      <c r="N203" t="str">
        <f t="shared" si="35"/>
        <v>150-200%</v>
      </c>
      <c r="O203" s="9">
        <f>MIN($H203,$I203)*INDEX('2018_commission_structure'!$A$1:$I$4,MATCH($E203,'2018_commission_structure'!$A$1:$A$4,0),MATCH(O$1,'2018_commission_structure'!$A$1:$I$1,0))</f>
        <v>50000</v>
      </c>
      <c r="P203" s="9">
        <f>IF(H203&gt;I203, MIN(H203-I203, J203-I203)*INDEX('2018_commission_structure'!$A$1:$I$4,MATCH($E203,'2018_commission_structure'!$A$1:$A$4,0),MATCH(P$1,'2018_commission_structure'!$A$1:$I$1,0)),0)</f>
        <v>18750</v>
      </c>
      <c r="Q203" s="9">
        <f>IF($H203&gt;J203, MIN($H203-J203, K203-J203)*INDEX('2018_commission_structure'!$A$1:$I$4,MATCH($E203,'2018_commission_structure'!$A$1:$A$4,0),MATCH(Q$1,'2018_commission_structure'!$A$1:$I$1,0)),0)</f>
        <v>22500</v>
      </c>
      <c r="R203" s="9">
        <f>IF($H203&gt;K203, MIN($H203-K203, L203-K203)*INDEX('2018_commission_structure'!$A$1:$I$4,MATCH($E203,'2018_commission_structure'!$A$1:$A$4,0),MATCH(R$1,'2018_commission_structure'!$A$1:$I$1,0)),0)</f>
        <v>5461.94</v>
      </c>
      <c r="S203" s="9">
        <f>IF(H203&gt;L203,(H203-L203)*INDEX('2018_commission_structure'!$A$1:$I$4,MATCH($E203,'2018_commission_structure'!$A$1:$A$4,0),MATCH(S$1,'2018_commission_structure'!$A$1:$I$1,0)),0)</f>
        <v>0</v>
      </c>
      <c r="T203" s="9">
        <f t="shared" si="36"/>
        <v>96711.94</v>
      </c>
      <c r="U203" s="9">
        <f t="shared" si="37"/>
        <v>150112.94</v>
      </c>
      <c r="V203" s="9">
        <f>MIN($I203,$H203)*INDEX('Key Metrics'!$E$16:$N$19,MATCH($E203,'Key Metrics'!$E$16:$E$19,0),MATCH(V$1,'Key Metrics'!$E$16:$M$16,0))</f>
        <v>60000</v>
      </c>
      <c r="W203" s="9">
        <f>IF($H203&gt;I203, MIN($H203-I203, J203-I203)*INDEX('Key Metrics'!$E$16:$N$19,MATCH($E203,'Key Metrics'!$E$16:$E$19,0),MATCH(W$1,'Key Metrics'!$E$16:$M$16,0)),0)</f>
        <v>21250</v>
      </c>
      <c r="X203" s="9">
        <f>IF($H203&gt;J203, MIN($H203-J203, K203-J203)*INDEX('Key Metrics'!$E$16:$N$19,MATCH($E203,'Key Metrics'!$E$16:$E$19,0),MATCH(X$1,'Key Metrics'!$E$16:$M$16,0)),0)</f>
        <v>25000</v>
      </c>
      <c r="Y203" s="9">
        <f>IF($H203&gt;K203, MIN($H203-K203, L203-K203)*INDEX('Key Metrics'!$E$16:$N$19,MATCH($E203,'Key Metrics'!$E$16:$E$19,0),MATCH(Y$1,'Key Metrics'!$E$16:$M$16,0)),0)</f>
        <v>5461.94</v>
      </c>
      <c r="Z203" s="9">
        <f>IF($H203&gt;L203,($H203-L203)*INDEX('Key Metrics'!$E$16:$N$19,MATCH($E203,'Key Metrics'!$E$16:$E$19,0),MATCH(Z$1,'Key Metrics'!$E$16:$M$16,0)),0)</f>
        <v>0</v>
      </c>
      <c r="AA203" s="9">
        <f t="shared" si="38"/>
        <v>111711.94</v>
      </c>
      <c r="AB203" s="9">
        <f t="shared" si="39"/>
        <v>111713.489654</v>
      </c>
    </row>
    <row r="204" spans="1:28" x14ac:dyDescent="0.55000000000000004">
      <c r="A204" t="str">
        <f t="shared" si="30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COUNTIF(deals_closed!$D$2:$D$20001,Calculations!B101)</f>
        <v>21</v>
      </c>
      <c r="H204" s="7">
        <f>SUMIF(deals_closed!$D:$D,Calculations!B101,deals_closed!$C:$C)</f>
        <v>609653</v>
      </c>
      <c r="I204" s="5">
        <f>VLOOKUP(E204,'2018_commission_structure'!$A$1:$I$4,9,FALSE)</f>
        <v>500000</v>
      </c>
      <c r="J204" s="9">
        <f t="shared" si="31"/>
        <v>625000</v>
      </c>
      <c r="K204" s="10">
        <f t="shared" si="32"/>
        <v>750000</v>
      </c>
      <c r="L204" s="9">
        <f t="shared" si="33"/>
        <v>1000000</v>
      </c>
      <c r="M204" s="8">
        <f t="shared" si="34"/>
        <v>1.219306</v>
      </c>
      <c r="N204" t="str">
        <f t="shared" si="35"/>
        <v>100-125%</v>
      </c>
      <c r="O204" s="9">
        <f>MIN($H204,$I204)*INDEX('2018_commission_structure'!$A$1:$I$4,MATCH($E204,'2018_commission_structure'!$A$1:$A$4,0),MATCH(O$1,'2018_commission_structure'!$A$1:$I$1,0))</f>
        <v>50000</v>
      </c>
      <c r="P204" s="9">
        <f>IF(H204&gt;I204, MIN(H204-I204, J204-I204)*INDEX('2018_commission_structure'!$A$1:$I$4,MATCH($E204,'2018_commission_structure'!$A$1:$A$4,0),MATCH(P$1,'2018_commission_structure'!$A$1:$I$1,0)),0)</f>
        <v>16447.95</v>
      </c>
      <c r="Q204" s="9">
        <f>IF($H204&gt;J204, MIN($H204-J204, K204-J204)*INDEX('2018_commission_structure'!$A$1:$I$4,MATCH($E204,'2018_commission_structure'!$A$1:$A$4,0),MATCH(Q$1,'2018_commission_structure'!$A$1:$I$1,0)),0)</f>
        <v>0</v>
      </c>
      <c r="R204" s="9">
        <f>IF($H204&gt;K204, MIN($H204-K204, L204-K204)*INDEX('2018_commission_structure'!$A$1:$I$4,MATCH($E204,'2018_commission_structure'!$A$1:$A$4,0),MATCH(R$1,'2018_commission_structure'!$A$1:$I$1,0)),0)</f>
        <v>0</v>
      </c>
      <c r="S204" s="9">
        <f>IF(H204&gt;L204,(H204-L204)*INDEX('2018_commission_structure'!$A$1:$I$4,MATCH($E204,'2018_commission_structure'!$A$1:$A$4,0),MATCH(S$1,'2018_commission_structure'!$A$1:$I$1,0)),0)</f>
        <v>0</v>
      </c>
      <c r="T204" s="9">
        <f t="shared" si="36"/>
        <v>66447.95</v>
      </c>
      <c r="U204" s="9">
        <f t="shared" si="37"/>
        <v>112039.95</v>
      </c>
      <c r="V204" s="9">
        <f>MIN($I204,$H204)*INDEX('Key Metrics'!$E$16:$N$19,MATCH($E204,'Key Metrics'!$E$16:$E$19,0),MATCH(V$1,'Key Metrics'!$E$16:$M$16,0))</f>
        <v>60000</v>
      </c>
      <c r="W204" s="9">
        <f>IF($H204&gt;I204, MIN($H204-I204, J204-I204)*INDEX('Key Metrics'!$E$16:$N$19,MATCH($E204,'Key Metrics'!$E$16:$E$19,0),MATCH(W$1,'Key Metrics'!$E$16:$M$16,0)),0)</f>
        <v>18641.010000000002</v>
      </c>
      <c r="X204" s="9">
        <f>IF($H204&gt;J204, MIN($H204-J204, K204-J204)*INDEX('Key Metrics'!$E$16:$N$19,MATCH($E204,'Key Metrics'!$E$16:$E$19,0),MATCH(X$1,'Key Metrics'!$E$16:$M$16,0)),0)</f>
        <v>0</v>
      </c>
      <c r="Y204" s="9">
        <f>IF($H204&gt;K204, MIN($H204-K204, L204-K204)*INDEX('Key Metrics'!$E$16:$N$19,MATCH($E204,'Key Metrics'!$E$16:$E$19,0),MATCH(Y$1,'Key Metrics'!$E$16:$M$16,0)),0)</f>
        <v>0</v>
      </c>
      <c r="Z204" s="9">
        <f>IF($H204&gt;L204,($H204-L204)*INDEX('Key Metrics'!$E$16:$N$19,MATCH($E204,'Key Metrics'!$E$16:$E$19,0),MATCH(Z$1,'Key Metrics'!$E$16:$M$16,0)),0)</f>
        <v>0</v>
      </c>
      <c r="AA204" s="9">
        <f t="shared" si="38"/>
        <v>78641.010000000009</v>
      </c>
      <c r="AB204" s="9">
        <f t="shared" si="39"/>
        <v>78642.229306000008</v>
      </c>
    </row>
    <row r="205" spans="1:28" x14ac:dyDescent="0.55000000000000004">
      <c r="A205" t="str">
        <f t="shared" si="30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COUNTIF(deals_closed!$D$2:$D$20001,Calculations!B801)</f>
        <v>18</v>
      </c>
      <c r="H205" s="7">
        <f>SUMIF(deals_closed!$D:$D,Calculations!B801,deals_closed!$C:$C)</f>
        <v>644768</v>
      </c>
      <c r="I205" s="5">
        <f>VLOOKUP(E205,'2018_commission_structure'!$A$1:$I$4,9,FALSE)</f>
        <v>500000</v>
      </c>
      <c r="J205" s="9">
        <f t="shared" si="31"/>
        <v>625000</v>
      </c>
      <c r="K205" s="10">
        <f t="shared" si="32"/>
        <v>750000</v>
      </c>
      <c r="L205" s="9">
        <f t="shared" si="33"/>
        <v>1000000</v>
      </c>
      <c r="M205" s="8">
        <f t="shared" si="34"/>
        <v>1.289536</v>
      </c>
      <c r="N205" t="str">
        <f t="shared" si="35"/>
        <v>125-150%</v>
      </c>
      <c r="O205" s="9">
        <f>MIN($H205,$I205)*INDEX('2018_commission_structure'!$A$1:$I$4,MATCH($E205,'2018_commission_structure'!$A$1:$A$4,0),MATCH(O$1,'2018_commission_structure'!$A$1:$I$1,0))</f>
        <v>50000</v>
      </c>
      <c r="P205" s="9">
        <f>IF(H205&gt;I205, MIN(H205-I205, J205-I205)*INDEX('2018_commission_structure'!$A$1:$I$4,MATCH($E205,'2018_commission_structure'!$A$1:$A$4,0),MATCH(P$1,'2018_commission_structure'!$A$1:$I$1,0)),0)</f>
        <v>18750</v>
      </c>
      <c r="Q205" s="9">
        <f>IF($H205&gt;J205, MIN($H205-J205, K205-J205)*INDEX('2018_commission_structure'!$A$1:$I$4,MATCH($E205,'2018_commission_structure'!$A$1:$A$4,0),MATCH(Q$1,'2018_commission_structure'!$A$1:$I$1,0)),0)</f>
        <v>3558.24</v>
      </c>
      <c r="R205" s="9">
        <f>IF($H205&gt;K205, MIN($H205-K205, L205-K205)*INDEX('2018_commission_structure'!$A$1:$I$4,MATCH($E205,'2018_commission_structure'!$A$1:$A$4,0),MATCH(R$1,'2018_commission_structure'!$A$1:$I$1,0)),0)</f>
        <v>0</v>
      </c>
      <c r="S205" s="9">
        <f>IF(H205&gt;L205,(H205-L205)*INDEX('2018_commission_structure'!$A$1:$I$4,MATCH($E205,'2018_commission_structure'!$A$1:$A$4,0),MATCH(S$1,'2018_commission_structure'!$A$1:$I$1,0)),0)</f>
        <v>0</v>
      </c>
      <c r="T205" s="9">
        <f t="shared" si="36"/>
        <v>72308.240000000005</v>
      </c>
      <c r="U205" s="9">
        <f t="shared" si="37"/>
        <v>104479.24</v>
      </c>
      <c r="V205" s="9">
        <f>MIN($I205,$H205)*INDEX('Key Metrics'!$E$16:$N$19,MATCH($E205,'Key Metrics'!$E$16:$E$19,0),MATCH(V$1,'Key Metrics'!$E$16:$M$16,0))</f>
        <v>60000</v>
      </c>
      <c r="W205" s="9">
        <f>IF($H205&gt;I205, MIN($H205-I205, J205-I205)*INDEX('Key Metrics'!$E$16:$N$19,MATCH($E205,'Key Metrics'!$E$16:$E$19,0),MATCH(W$1,'Key Metrics'!$E$16:$M$16,0)),0)</f>
        <v>21250</v>
      </c>
      <c r="X205" s="9">
        <f>IF($H205&gt;J205, MIN($H205-J205, K205-J205)*INDEX('Key Metrics'!$E$16:$N$19,MATCH($E205,'Key Metrics'!$E$16:$E$19,0),MATCH(X$1,'Key Metrics'!$E$16:$M$16,0)),0)</f>
        <v>3953.6000000000004</v>
      </c>
      <c r="Y205" s="9">
        <f>IF($H205&gt;K205, MIN($H205-K205, L205-K205)*INDEX('Key Metrics'!$E$16:$N$19,MATCH($E205,'Key Metrics'!$E$16:$E$19,0),MATCH(Y$1,'Key Metrics'!$E$16:$M$16,0)),0)</f>
        <v>0</v>
      </c>
      <c r="Z205" s="9">
        <f>IF($H205&gt;L205,($H205-L205)*INDEX('Key Metrics'!$E$16:$N$19,MATCH($E205,'Key Metrics'!$E$16:$E$19,0),MATCH(Z$1,'Key Metrics'!$E$16:$M$16,0)),0)</f>
        <v>0</v>
      </c>
      <c r="AA205" s="9">
        <f t="shared" si="38"/>
        <v>85203.6</v>
      </c>
      <c r="AB205" s="9">
        <f t="shared" si="39"/>
        <v>85204.889536000002</v>
      </c>
    </row>
    <row r="206" spans="1:28" x14ac:dyDescent="0.55000000000000004">
      <c r="A206" t="str">
        <f t="shared" si="30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COUNTIF(deals_closed!$D$2:$D$20001,Calculations!B736)</f>
        <v>23</v>
      </c>
      <c r="H206" s="7">
        <f>SUMIF(deals_closed!$D:$D,Calculations!B736,deals_closed!$C:$C)</f>
        <v>822894</v>
      </c>
      <c r="I206" s="5">
        <f>VLOOKUP(E206,'2018_commission_structure'!$A$1:$I$4,9,FALSE)</f>
        <v>750000</v>
      </c>
      <c r="J206" s="9">
        <f t="shared" si="31"/>
        <v>937500</v>
      </c>
      <c r="K206" s="10">
        <f t="shared" si="32"/>
        <v>1125000</v>
      </c>
      <c r="L206" s="9">
        <f t="shared" si="33"/>
        <v>1500000</v>
      </c>
      <c r="M206" s="8">
        <f t="shared" si="34"/>
        <v>1.0971919999999999</v>
      </c>
      <c r="N206" t="str">
        <f t="shared" si="35"/>
        <v>100-125%</v>
      </c>
      <c r="O206" s="9">
        <f>MIN($H206,$I206)*INDEX('2018_commission_structure'!$A$1:$I$4,MATCH($E206,'2018_commission_structure'!$A$1:$A$4,0),MATCH(O$1,'2018_commission_structure'!$A$1:$I$1,0))</f>
        <v>112500</v>
      </c>
      <c r="P206" s="9">
        <f>IF(H206&gt;I206, MIN(H206-I206, J206-I206)*INDEX('2018_commission_structure'!$A$1:$I$4,MATCH($E206,'2018_commission_structure'!$A$1:$A$4,0),MATCH(P$1,'2018_commission_structure'!$A$1:$I$1,0)),0)</f>
        <v>13849.86</v>
      </c>
      <c r="Q206" s="9">
        <f>IF($H206&gt;J206, MIN($H206-J206, K206-J206)*INDEX('2018_commission_structure'!$A$1:$I$4,MATCH($E206,'2018_commission_structure'!$A$1:$A$4,0),MATCH(Q$1,'2018_commission_structure'!$A$1:$I$1,0)),0)</f>
        <v>0</v>
      </c>
      <c r="R206" s="9">
        <f>IF($H206&gt;K206, MIN($H206-K206, L206-K206)*INDEX('2018_commission_structure'!$A$1:$I$4,MATCH($E206,'2018_commission_structure'!$A$1:$A$4,0),MATCH(R$1,'2018_commission_structure'!$A$1:$I$1,0)),0)</f>
        <v>0</v>
      </c>
      <c r="S206" s="9">
        <f>IF(H206&gt;L206,(H206-L206)*INDEX('2018_commission_structure'!$A$1:$I$4,MATCH($E206,'2018_commission_structure'!$A$1:$A$4,0),MATCH(S$1,'2018_commission_structure'!$A$1:$I$1,0)),0)</f>
        <v>0</v>
      </c>
      <c r="T206" s="9">
        <f t="shared" si="36"/>
        <v>126349.86</v>
      </c>
      <c r="U206" s="9">
        <f t="shared" si="37"/>
        <v>229550.86</v>
      </c>
      <c r="V206" s="9">
        <f>MIN($I206,$H206)*INDEX('Key Metrics'!$E$16:$N$19,MATCH($E206,'Key Metrics'!$E$16:$E$19,0),MATCH(V$1,'Key Metrics'!$E$16:$M$16,0))</f>
        <v>112500</v>
      </c>
      <c r="W206" s="9">
        <f>IF($H206&gt;I206, MIN($H206-I206, J206-I206)*INDEX('Key Metrics'!$E$16:$N$19,MATCH($E206,'Key Metrics'!$E$16:$E$19,0),MATCH(W$1,'Key Metrics'!$E$16:$M$16,0)),0)</f>
        <v>16036.68</v>
      </c>
      <c r="X206" s="9">
        <f>IF($H206&gt;J206, MIN($H206-J206, K206-J206)*INDEX('Key Metrics'!$E$16:$N$19,MATCH($E206,'Key Metrics'!$E$16:$E$19,0),MATCH(X$1,'Key Metrics'!$E$16:$M$16,0)),0)</f>
        <v>0</v>
      </c>
      <c r="Y206" s="9">
        <f>IF($H206&gt;K206, MIN($H206-K206, L206-K206)*INDEX('Key Metrics'!$E$16:$N$19,MATCH($E206,'Key Metrics'!$E$16:$E$19,0),MATCH(Y$1,'Key Metrics'!$E$16:$M$16,0)),0)</f>
        <v>0</v>
      </c>
      <c r="Z206" s="9">
        <f>IF($H206&gt;L206,($H206-L206)*INDEX('Key Metrics'!$E$16:$N$19,MATCH($E206,'Key Metrics'!$E$16:$E$19,0),MATCH(Z$1,'Key Metrics'!$E$16:$M$16,0)),0)</f>
        <v>0</v>
      </c>
      <c r="AA206" s="9">
        <f t="shared" si="38"/>
        <v>128536.68</v>
      </c>
      <c r="AB206" s="9">
        <f t="shared" si="39"/>
        <v>128537.77719199999</v>
      </c>
    </row>
    <row r="207" spans="1:28" x14ac:dyDescent="0.55000000000000004">
      <c r="A207" t="str">
        <f t="shared" si="30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COUNTIF(deals_closed!$D$2:$D$20001,Calculations!B542)</f>
        <v>24</v>
      </c>
      <c r="H207" s="7">
        <f>SUMIF(deals_closed!$D:$D,Calculations!B542,deals_closed!$C:$C)</f>
        <v>739737</v>
      </c>
      <c r="I207" s="5">
        <f>VLOOKUP(E207,'2018_commission_structure'!$A$1:$I$4,9,FALSE)</f>
        <v>600000</v>
      </c>
      <c r="J207" s="9">
        <f t="shared" si="31"/>
        <v>750000</v>
      </c>
      <c r="K207" s="10">
        <f t="shared" si="32"/>
        <v>900000</v>
      </c>
      <c r="L207" s="9">
        <f t="shared" si="33"/>
        <v>1200000</v>
      </c>
      <c r="M207" s="8">
        <f t="shared" si="34"/>
        <v>1.2328950000000001</v>
      </c>
      <c r="N207" t="str">
        <f t="shared" si="35"/>
        <v>100-125%</v>
      </c>
      <c r="O207" s="9">
        <f>MIN($H207,$I207)*INDEX('2018_commission_structure'!$A$1:$I$4,MATCH($E207,'2018_commission_structure'!$A$1:$A$4,0),MATCH(O$1,'2018_commission_structure'!$A$1:$I$1,0))</f>
        <v>78000</v>
      </c>
      <c r="P207" s="9">
        <f>IF(H207&gt;I207, MIN(H207-I207, J207-I207)*INDEX('2018_commission_structure'!$A$1:$I$4,MATCH($E207,'2018_commission_structure'!$A$1:$A$4,0),MATCH(P$1,'2018_commission_structure'!$A$1:$I$1,0)),0)</f>
        <v>23755.29</v>
      </c>
      <c r="Q207" s="9">
        <f>IF($H207&gt;J207, MIN($H207-J207, K207-J207)*INDEX('2018_commission_structure'!$A$1:$I$4,MATCH($E207,'2018_commission_structure'!$A$1:$A$4,0),MATCH(Q$1,'2018_commission_structure'!$A$1:$I$1,0)),0)</f>
        <v>0</v>
      </c>
      <c r="R207" s="9">
        <f>IF($H207&gt;K207, MIN($H207-K207, L207-K207)*INDEX('2018_commission_structure'!$A$1:$I$4,MATCH($E207,'2018_commission_structure'!$A$1:$A$4,0),MATCH(R$1,'2018_commission_structure'!$A$1:$I$1,0)),0)</f>
        <v>0</v>
      </c>
      <c r="S207" s="9">
        <f>IF(H207&gt;L207,(H207-L207)*INDEX('2018_commission_structure'!$A$1:$I$4,MATCH($E207,'2018_commission_structure'!$A$1:$A$4,0),MATCH(S$1,'2018_commission_structure'!$A$1:$I$1,0)),0)</f>
        <v>0</v>
      </c>
      <c r="T207" s="9">
        <f t="shared" si="36"/>
        <v>101755.29000000001</v>
      </c>
      <c r="U207" s="9">
        <f t="shared" si="37"/>
        <v>171027.29</v>
      </c>
      <c r="V207" s="9">
        <f>MIN($I207,$H207)*INDEX('Key Metrics'!$E$16:$N$19,MATCH($E207,'Key Metrics'!$E$16:$E$19,0),MATCH(V$1,'Key Metrics'!$E$16:$M$16,0))</f>
        <v>90000</v>
      </c>
      <c r="W207" s="9">
        <f>IF($H207&gt;I207, MIN($H207-I207, J207-I207)*INDEX('Key Metrics'!$E$16:$N$19,MATCH($E207,'Key Metrics'!$E$16:$E$19,0),MATCH(W$1,'Key Metrics'!$E$16:$M$16,0)),0)</f>
        <v>25152.66</v>
      </c>
      <c r="X207" s="9">
        <f>IF($H207&gt;J207, MIN($H207-J207, K207-J207)*INDEX('Key Metrics'!$E$16:$N$19,MATCH($E207,'Key Metrics'!$E$16:$E$19,0),MATCH(X$1,'Key Metrics'!$E$16:$M$16,0)),0)</f>
        <v>0</v>
      </c>
      <c r="Y207" s="9">
        <f>IF($H207&gt;K207, MIN($H207-K207, L207-K207)*INDEX('Key Metrics'!$E$16:$N$19,MATCH($E207,'Key Metrics'!$E$16:$E$19,0),MATCH(Y$1,'Key Metrics'!$E$16:$M$16,0)),0)</f>
        <v>0</v>
      </c>
      <c r="Z207" s="9">
        <f>IF($H207&gt;L207,($H207-L207)*INDEX('Key Metrics'!$E$16:$N$19,MATCH($E207,'Key Metrics'!$E$16:$E$19,0),MATCH(Z$1,'Key Metrics'!$E$16:$M$16,0)),0)</f>
        <v>0</v>
      </c>
      <c r="AA207" s="9">
        <f t="shared" si="38"/>
        <v>115152.66</v>
      </c>
      <c r="AB207" s="9">
        <f t="shared" si="39"/>
        <v>115153.892895</v>
      </c>
    </row>
    <row r="208" spans="1:28" x14ac:dyDescent="0.55000000000000004">
      <c r="A208" t="str">
        <f t="shared" si="30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COUNTIF(deals_closed!$D$2:$D$20001,Calculations!B274)</f>
        <v>15</v>
      </c>
      <c r="H208" s="7">
        <f>SUMIF(deals_closed!$D:$D,Calculations!B274,deals_closed!$C:$C)</f>
        <v>525024</v>
      </c>
      <c r="I208" s="5">
        <f>VLOOKUP(E208,'2018_commission_structure'!$A$1:$I$4,9,FALSE)</f>
        <v>600000</v>
      </c>
      <c r="J208" s="9">
        <f t="shared" si="31"/>
        <v>750000</v>
      </c>
      <c r="K208" s="10">
        <f t="shared" si="32"/>
        <v>900000</v>
      </c>
      <c r="L208" s="9">
        <f t="shared" si="33"/>
        <v>1200000</v>
      </c>
      <c r="M208" s="8">
        <f t="shared" si="34"/>
        <v>0.87504000000000004</v>
      </c>
      <c r="N208" t="str">
        <f t="shared" si="35"/>
        <v>0-100%</v>
      </c>
      <c r="O208" s="9">
        <f>MIN($H208,$I208)*INDEX('2018_commission_structure'!$A$1:$I$4,MATCH($E208,'2018_commission_structure'!$A$1:$A$4,0),MATCH(O$1,'2018_commission_structure'!$A$1:$I$1,0))</f>
        <v>68253.119999999995</v>
      </c>
      <c r="P208" s="9">
        <f>IF(H208&gt;I208, MIN(H208-I208, J208-I208)*INDEX('2018_commission_structure'!$A$1:$I$4,MATCH($E208,'2018_commission_structure'!$A$1:$A$4,0),MATCH(P$1,'2018_commission_structure'!$A$1:$I$1,0)),0)</f>
        <v>0</v>
      </c>
      <c r="Q208" s="9">
        <f>IF($H208&gt;J208, MIN($H208-J208, K208-J208)*INDEX('2018_commission_structure'!$A$1:$I$4,MATCH($E208,'2018_commission_structure'!$A$1:$A$4,0),MATCH(Q$1,'2018_commission_structure'!$A$1:$I$1,0)),0)</f>
        <v>0</v>
      </c>
      <c r="R208" s="9">
        <f>IF($H208&gt;K208, MIN($H208-K208, L208-K208)*INDEX('2018_commission_structure'!$A$1:$I$4,MATCH($E208,'2018_commission_structure'!$A$1:$A$4,0),MATCH(R$1,'2018_commission_structure'!$A$1:$I$1,0)),0)</f>
        <v>0</v>
      </c>
      <c r="S208" s="9">
        <f>IF(H208&gt;L208,(H208-L208)*INDEX('2018_commission_structure'!$A$1:$I$4,MATCH($E208,'2018_commission_structure'!$A$1:$A$4,0),MATCH(S$1,'2018_commission_structure'!$A$1:$I$1,0)),0)</f>
        <v>0</v>
      </c>
      <c r="T208" s="9">
        <f t="shared" si="36"/>
        <v>68253.119999999995</v>
      </c>
      <c r="U208" s="9">
        <f t="shared" si="37"/>
        <v>129313.12</v>
      </c>
      <c r="V208" s="9">
        <f>MIN($I208,$H208)*INDEX('Key Metrics'!$E$16:$N$19,MATCH($E208,'Key Metrics'!$E$16:$E$19,0),MATCH(V$1,'Key Metrics'!$E$16:$M$16,0))</f>
        <v>78753.599999999991</v>
      </c>
      <c r="W208" s="9">
        <f>IF($H208&gt;I208, MIN($H208-I208, J208-I208)*INDEX('Key Metrics'!$E$16:$N$19,MATCH($E208,'Key Metrics'!$E$16:$E$19,0),MATCH(W$1,'Key Metrics'!$E$16:$M$16,0)),0)</f>
        <v>0</v>
      </c>
      <c r="X208" s="9">
        <f>IF($H208&gt;J208, MIN($H208-J208, K208-J208)*INDEX('Key Metrics'!$E$16:$N$19,MATCH($E208,'Key Metrics'!$E$16:$E$19,0),MATCH(X$1,'Key Metrics'!$E$16:$M$16,0)),0)</f>
        <v>0</v>
      </c>
      <c r="Y208" s="9">
        <f>IF($H208&gt;K208, MIN($H208-K208, L208-K208)*INDEX('Key Metrics'!$E$16:$N$19,MATCH($E208,'Key Metrics'!$E$16:$E$19,0),MATCH(Y$1,'Key Metrics'!$E$16:$M$16,0)),0)</f>
        <v>0</v>
      </c>
      <c r="Z208" s="9">
        <f>IF($H208&gt;L208,($H208-L208)*INDEX('Key Metrics'!$E$16:$N$19,MATCH($E208,'Key Metrics'!$E$16:$E$19,0),MATCH(Z$1,'Key Metrics'!$E$16:$M$16,0)),0)</f>
        <v>0</v>
      </c>
      <c r="AA208" s="9">
        <f t="shared" si="38"/>
        <v>78753.599999999991</v>
      </c>
      <c r="AB208" s="9">
        <f t="shared" si="39"/>
        <v>78754.47503999999</v>
      </c>
    </row>
    <row r="209" spans="1:28" x14ac:dyDescent="0.55000000000000004">
      <c r="A209" t="str">
        <f t="shared" si="30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COUNTIF(deals_closed!$D$2:$D$20001,Calculations!B979)</f>
        <v>20</v>
      </c>
      <c r="H209" s="7">
        <f>SUMIF(deals_closed!$D:$D,Calculations!B979,deals_closed!$C:$C)</f>
        <v>689888</v>
      </c>
      <c r="I209" s="5">
        <f>VLOOKUP(E209,'2018_commission_structure'!$A$1:$I$4,9,FALSE)</f>
        <v>750000</v>
      </c>
      <c r="J209" s="9">
        <f t="shared" si="31"/>
        <v>937500</v>
      </c>
      <c r="K209" s="10">
        <f t="shared" si="32"/>
        <v>1125000</v>
      </c>
      <c r="L209" s="9">
        <f t="shared" si="33"/>
        <v>1500000</v>
      </c>
      <c r="M209" s="8">
        <f t="shared" si="34"/>
        <v>0.91985066666666671</v>
      </c>
      <c r="N209" t="str">
        <f t="shared" si="35"/>
        <v>0-100%</v>
      </c>
      <c r="O209" s="9">
        <f>MIN($H209,$I209)*INDEX('2018_commission_structure'!$A$1:$I$4,MATCH($E209,'2018_commission_structure'!$A$1:$A$4,0),MATCH(O$1,'2018_commission_structure'!$A$1:$I$1,0))</f>
        <v>103483.2</v>
      </c>
      <c r="P209" s="9">
        <f>IF(H209&gt;I209, MIN(H209-I209, J209-I209)*INDEX('2018_commission_structure'!$A$1:$I$4,MATCH($E209,'2018_commission_structure'!$A$1:$A$4,0),MATCH(P$1,'2018_commission_structure'!$A$1:$I$1,0)),0)</f>
        <v>0</v>
      </c>
      <c r="Q209" s="9">
        <f>IF($H209&gt;J209, MIN($H209-J209, K209-J209)*INDEX('2018_commission_structure'!$A$1:$I$4,MATCH($E209,'2018_commission_structure'!$A$1:$A$4,0),MATCH(Q$1,'2018_commission_structure'!$A$1:$I$1,0)),0)</f>
        <v>0</v>
      </c>
      <c r="R209" s="9">
        <f>IF($H209&gt;K209, MIN($H209-K209, L209-K209)*INDEX('2018_commission_structure'!$A$1:$I$4,MATCH($E209,'2018_commission_structure'!$A$1:$A$4,0),MATCH(R$1,'2018_commission_structure'!$A$1:$I$1,0)),0)</f>
        <v>0</v>
      </c>
      <c r="S209" s="9">
        <f>IF(H209&gt;L209,(H209-L209)*INDEX('2018_commission_structure'!$A$1:$I$4,MATCH($E209,'2018_commission_structure'!$A$1:$A$4,0),MATCH(S$1,'2018_commission_structure'!$A$1:$I$1,0)),0)</f>
        <v>0</v>
      </c>
      <c r="T209" s="9">
        <f t="shared" si="36"/>
        <v>103483.2</v>
      </c>
      <c r="U209" s="9">
        <f t="shared" si="37"/>
        <v>223226.2</v>
      </c>
      <c r="V209" s="9">
        <f>MIN($I209,$H209)*INDEX('Key Metrics'!$E$16:$N$19,MATCH($E209,'Key Metrics'!$E$16:$E$19,0),MATCH(V$1,'Key Metrics'!$E$16:$M$16,0))</f>
        <v>103483.2</v>
      </c>
      <c r="W209" s="9">
        <f>IF($H209&gt;I209, MIN($H209-I209, J209-I209)*INDEX('Key Metrics'!$E$16:$N$19,MATCH($E209,'Key Metrics'!$E$16:$E$19,0),MATCH(W$1,'Key Metrics'!$E$16:$M$16,0)),0)</f>
        <v>0</v>
      </c>
      <c r="X209" s="9">
        <f>IF($H209&gt;J209, MIN($H209-J209, K209-J209)*INDEX('Key Metrics'!$E$16:$N$19,MATCH($E209,'Key Metrics'!$E$16:$E$19,0),MATCH(X$1,'Key Metrics'!$E$16:$M$16,0)),0)</f>
        <v>0</v>
      </c>
      <c r="Y209" s="9">
        <f>IF($H209&gt;K209, MIN($H209-K209, L209-K209)*INDEX('Key Metrics'!$E$16:$N$19,MATCH($E209,'Key Metrics'!$E$16:$E$19,0),MATCH(Y$1,'Key Metrics'!$E$16:$M$16,0)),0)</f>
        <v>0</v>
      </c>
      <c r="Z209" s="9">
        <f>IF($H209&gt;L209,($H209-L209)*INDEX('Key Metrics'!$E$16:$N$19,MATCH($E209,'Key Metrics'!$E$16:$E$19,0),MATCH(Z$1,'Key Metrics'!$E$16:$M$16,0)),0)</f>
        <v>0</v>
      </c>
      <c r="AA209" s="9">
        <f t="shared" si="38"/>
        <v>103483.2</v>
      </c>
      <c r="AB209" s="9">
        <f t="shared" si="39"/>
        <v>103484.11985066667</v>
      </c>
    </row>
    <row r="210" spans="1:28" x14ac:dyDescent="0.55000000000000004">
      <c r="A210" t="str">
        <f t="shared" si="30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COUNTIF(deals_closed!$D$2:$D$20001,Calculations!B816)</f>
        <v>21</v>
      </c>
      <c r="H210" s="7">
        <f>SUMIF(deals_closed!$D:$D,Calculations!B816,deals_closed!$C:$C)</f>
        <v>675470</v>
      </c>
      <c r="I210" s="5">
        <f>VLOOKUP(E210,'2018_commission_structure'!$A$1:$I$4,9,FALSE)</f>
        <v>600000</v>
      </c>
      <c r="J210" s="9">
        <f t="shared" si="31"/>
        <v>750000</v>
      </c>
      <c r="K210" s="10">
        <f t="shared" si="32"/>
        <v>900000</v>
      </c>
      <c r="L210" s="9">
        <f t="shared" si="33"/>
        <v>1200000</v>
      </c>
      <c r="M210" s="8">
        <f t="shared" si="34"/>
        <v>1.1257833333333334</v>
      </c>
      <c r="N210" t="str">
        <f t="shared" si="35"/>
        <v>100-125%</v>
      </c>
      <c r="O210" s="9">
        <f>MIN($H210,$I210)*INDEX('2018_commission_structure'!$A$1:$I$4,MATCH($E210,'2018_commission_structure'!$A$1:$A$4,0),MATCH(O$1,'2018_commission_structure'!$A$1:$I$1,0))</f>
        <v>78000</v>
      </c>
      <c r="P210" s="9">
        <f>IF(H210&gt;I210, MIN(H210-I210, J210-I210)*INDEX('2018_commission_structure'!$A$1:$I$4,MATCH($E210,'2018_commission_structure'!$A$1:$A$4,0),MATCH(P$1,'2018_commission_structure'!$A$1:$I$1,0)),0)</f>
        <v>12829.900000000001</v>
      </c>
      <c r="Q210" s="9">
        <f>IF($H210&gt;J210, MIN($H210-J210, K210-J210)*INDEX('2018_commission_structure'!$A$1:$I$4,MATCH($E210,'2018_commission_structure'!$A$1:$A$4,0),MATCH(Q$1,'2018_commission_structure'!$A$1:$I$1,0)),0)</f>
        <v>0</v>
      </c>
      <c r="R210" s="9">
        <f>IF($H210&gt;K210, MIN($H210-K210, L210-K210)*INDEX('2018_commission_structure'!$A$1:$I$4,MATCH($E210,'2018_commission_structure'!$A$1:$A$4,0),MATCH(R$1,'2018_commission_structure'!$A$1:$I$1,0)),0)</f>
        <v>0</v>
      </c>
      <c r="S210" s="9">
        <f>IF(H210&gt;L210,(H210-L210)*INDEX('2018_commission_structure'!$A$1:$I$4,MATCH($E210,'2018_commission_structure'!$A$1:$A$4,0),MATCH(S$1,'2018_commission_structure'!$A$1:$I$1,0)),0)</f>
        <v>0</v>
      </c>
      <c r="T210" s="9">
        <f t="shared" si="36"/>
        <v>90829.9</v>
      </c>
      <c r="U210" s="9">
        <f t="shared" si="37"/>
        <v>142866.9</v>
      </c>
      <c r="V210" s="9">
        <f>MIN($I210,$H210)*INDEX('Key Metrics'!$E$16:$N$19,MATCH($E210,'Key Metrics'!$E$16:$E$19,0),MATCH(V$1,'Key Metrics'!$E$16:$M$16,0))</f>
        <v>90000</v>
      </c>
      <c r="W210" s="9">
        <f>IF($H210&gt;I210, MIN($H210-I210, J210-I210)*INDEX('Key Metrics'!$E$16:$N$19,MATCH($E210,'Key Metrics'!$E$16:$E$19,0),MATCH(W$1,'Key Metrics'!$E$16:$M$16,0)),0)</f>
        <v>13584.6</v>
      </c>
      <c r="X210" s="9">
        <f>IF($H210&gt;J210, MIN($H210-J210, K210-J210)*INDEX('Key Metrics'!$E$16:$N$19,MATCH($E210,'Key Metrics'!$E$16:$E$19,0),MATCH(X$1,'Key Metrics'!$E$16:$M$16,0)),0)</f>
        <v>0</v>
      </c>
      <c r="Y210" s="9">
        <f>IF($H210&gt;K210, MIN($H210-K210, L210-K210)*INDEX('Key Metrics'!$E$16:$N$19,MATCH($E210,'Key Metrics'!$E$16:$E$19,0),MATCH(Y$1,'Key Metrics'!$E$16:$M$16,0)),0)</f>
        <v>0</v>
      </c>
      <c r="Z210" s="9">
        <f>IF($H210&gt;L210,($H210-L210)*INDEX('Key Metrics'!$E$16:$N$19,MATCH($E210,'Key Metrics'!$E$16:$E$19,0),MATCH(Z$1,'Key Metrics'!$E$16:$M$16,0)),0)</f>
        <v>0</v>
      </c>
      <c r="AA210" s="9">
        <f t="shared" si="38"/>
        <v>103584.6</v>
      </c>
      <c r="AB210" s="9">
        <f t="shared" si="39"/>
        <v>103585.72578333334</v>
      </c>
    </row>
    <row r="211" spans="1:28" x14ac:dyDescent="0.55000000000000004">
      <c r="A211" t="str">
        <f t="shared" si="30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COUNTIF(deals_closed!$D$2:$D$20001,Calculations!B215)</f>
        <v>14</v>
      </c>
      <c r="H211" s="7">
        <f>SUMIF(deals_closed!$D:$D,Calculations!B215,deals_closed!$C:$C)</f>
        <v>497009</v>
      </c>
      <c r="I211" s="5">
        <f>VLOOKUP(E211,'2018_commission_structure'!$A$1:$I$4,9,FALSE)</f>
        <v>500000</v>
      </c>
      <c r="J211" s="9">
        <f t="shared" si="31"/>
        <v>625000</v>
      </c>
      <c r="K211" s="10">
        <f t="shared" si="32"/>
        <v>750000</v>
      </c>
      <c r="L211" s="9">
        <f t="shared" si="33"/>
        <v>1000000</v>
      </c>
      <c r="M211" s="8">
        <f t="shared" si="34"/>
        <v>0.99401799999999996</v>
      </c>
      <c r="N211" t="str">
        <f t="shared" si="35"/>
        <v>0-100%</v>
      </c>
      <c r="O211" s="9">
        <f>MIN($H211,$I211)*INDEX('2018_commission_structure'!$A$1:$I$4,MATCH($E211,'2018_commission_structure'!$A$1:$A$4,0),MATCH(O$1,'2018_commission_structure'!$A$1:$I$1,0))</f>
        <v>49700.9</v>
      </c>
      <c r="P211" s="9">
        <f>IF(H211&gt;I211, MIN(H211-I211, J211-I211)*INDEX('2018_commission_structure'!$A$1:$I$4,MATCH($E211,'2018_commission_structure'!$A$1:$A$4,0),MATCH(P$1,'2018_commission_structure'!$A$1:$I$1,0)),0)</f>
        <v>0</v>
      </c>
      <c r="Q211" s="9">
        <f>IF($H211&gt;J211, MIN($H211-J211, K211-J211)*INDEX('2018_commission_structure'!$A$1:$I$4,MATCH($E211,'2018_commission_structure'!$A$1:$A$4,0),MATCH(Q$1,'2018_commission_structure'!$A$1:$I$1,0)),0)</f>
        <v>0</v>
      </c>
      <c r="R211" s="9">
        <f>IF($H211&gt;K211, MIN($H211-K211, L211-K211)*INDEX('2018_commission_structure'!$A$1:$I$4,MATCH($E211,'2018_commission_structure'!$A$1:$A$4,0),MATCH(R$1,'2018_commission_structure'!$A$1:$I$1,0)),0)</f>
        <v>0</v>
      </c>
      <c r="S211" s="9">
        <f>IF(H211&gt;L211,(H211-L211)*INDEX('2018_commission_structure'!$A$1:$I$4,MATCH($E211,'2018_commission_structure'!$A$1:$A$4,0),MATCH(S$1,'2018_commission_structure'!$A$1:$I$1,0)),0)</f>
        <v>0</v>
      </c>
      <c r="T211" s="9">
        <f t="shared" si="36"/>
        <v>49700.9</v>
      </c>
      <c r="U211" s="9">
        <f t="shared" si="37"/>
        <v>109362.9</v>
      </c>
      <c r="V211" s="9">
        <f>MIN($I211,$H211)*INDEX('Key Metrics'!$E$16:$N$19,MATCH($E211,'Key Metrics'!$E$16:$E$19,0),MATCH(V$1,'Key Metrics'!$E$16:$M$16,0))</f>
        <v>59641.079999999994</v>
      </c>
      <c r="W211" s="9">
        <f>IF($H211&gt;I211, MIN($H211-I211, J211-I211)*INDEX('Key Metrics'!$E$16:$N$19,MATCH($E211,'Key Metrics'!$E$16:$E$19,0),MATCH(W$1,'Key Metrics'!$E$16:$M$16,0)),0)</f>
        <v>0</v>
      </c>
      <c r="X211" s="9">
        <f>IF($H211&gt;J211, MIN($H211-J211, K211-J211)*INDEX('Key Metrics'!$E$16:$N$19,MATCH($E211,'Key Metrics'!$E$16:$E$19,0),MATCH(X$1,'Key Metrics'!$E$16:$M$16,0)),0)</f>
        <v>0</v>
      </c>
      <c r="Y211" s="9">
        <f>IF($H211&gt;K211, MIN($H211-K211, L211-K211)*INDEX('Key Metrics'!$E$16:$N$19,MATCH($E211,'Key Metrics'!$E$16:$E$19,0),MATCH(Y$1,'Key Metrics'!$E$16:$M$16,0)),0)</f>
        <v>0</v>
      </c>
      <c r="Z211" s="9">
        <f>IF($H211&gt;L211,($H211-L211)*INDEX('Key Metrics'!$E$16:$N$19,MATCH($E211,'Key Metrics'!$E$16:$E$19,0),MATCH(Z$1,'Key Metrics'!$E$16:$M$16,0)),0)</f>
        <v>0</v>
      </c>
      <c r="AA211" s="9">
        <f t="shared" si="38"/>
        <v>59641.079999999994</v>
      </c>
      <c r="AB211" s="9">
        <f t="shared" si="39"/>
        <v>59642.074017999992</v>
      </c>
    </row>
    <row r="212" spans="1:28" x14ac:dyDescent="0.55000000000000004">
      <c r="A212" t="str">
        <f t="shared" si="30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COUNTIF(deals_closed!$D$2:$D$20001,Calculations!B38)</f>
        <v>20</v>
      </c>
      <c r="H212" s="7">
        <f>SUMIF(deals_closed!$D:$D,Calculations!B38,deals_closed!$C:$C)</f>
        <v>700449</v>
      </c>
      <c r="I212" s="5">
        <f>VLOOKUP(E212,'2018_commission_structure'!$A$1:$I$4,9,FALSE)</f>
        <v>600000</v>
      </c>
      <c r="J212" s="9">
        <f t="shared" si="31"/>
        <v>750000</v>
      </c>
      <c r="K212" s="10">
        <f t="shared" si="32"/>
        <v>900000</v>
      </c>
      <c r="L212" s="9">
        <f t="shared" si="33"/>
        <v>1200000</v>
      </c>
      <c r="M212" s="8">
        <f t="shared" si="34"/>
        <v>1.1674150000000001</v>
      </c>
      <c r="N212" t="str">
        <f t="shared" si="35"/>
        <v>100-125%</v>
      </c>
      <c r="O212" s="9">
        <f>MIN($H212,$I212)*INDEX('2018_commission_structure'!$A$1:$I$4,MATCH($E212,'2018_commission_structure'!$A$1:$A$4,0),MATCH(O$1,'2018_commission_structure'!$A$1:$I$1,0))</f>
        <v>78000</v>
      </c>
      <c r="P212" s="9">
        <f>IF(H212&gt;I212, MIN(H212-I212, J212-I212)*INDEX('2018_commission_structure'!$A$1:$I$4,MATCH($E212,'2018_commission_structure'!$A$1:$A$4,0),MATCH(P$1,'2018_commission_structure'!$A$1:$I$1,0)),0)</f>
        <v>17076.330000000002</v>
      </c>
      <c r="Q212" s="9">
        <f>IF($H212&gt;J212, MIN($H212-J212, K212-J212)*INDEX('2018_commission_structure'!$A$1:$I$4,MATCH($E212,'2018_commission_structure'!$A$1:$A$4,0),MATCH(Q$1,'2018_commission_structure'!$A$1:$I$1,0)),0)</f>
        <v>0</v>
      </c>
      <c r="R212" s="9">
        <f>IF($H212&gt;K212, MIN($H212-K212, L212-K212)*INDEX('2018_commission_structure'!$A$1:$I$4,MATCH($E212,'2018_commission_structure'!$A$1:$A$4,0),MATCH(R$1,'2018_commission_structure'!$A$1:$I$1,0)),0)</f>
        <v>0</v>
      </c>
      <c r="S212" s="9">
        <f>IF(H212&gt;L212,(H212-L212)*INDEX('2018_commission_structure'!$A$1:$I$4,MATCH($E212,'2018_commission_structure'!$A$1:$A$4,0),MATCH(S$1,'2018_commission_structure'!$A$1:$I$1,0)),0)</f>
        <v>0</v>
      </c>
      <c r="T212" s="9">
        <f t="shared" si="36"/>
        <v>95076.33</v>
      </c>
      <c r="U212" s="9">
        <f t="shared" si="37"/>
        <v>146880.33000000002</v>
      </c>
      <c r="V212" s="9">
        <f>MIN($I212,$H212)*INDEX('Key Metrics'!$E$16:$N$19,MATCH($E212,'Key Metrics'!$E$16:$E$19,0),MATCH(V$1,'Key Metrics'!$E$16:$M$16,0))</f>
        <v>90000</v>
      </c>
      <c r="W212" s="9">
        <f>IF($H212&gt;I212, MIN($H212-I212, J212-I212)*INDEX('Key Metrics'!$E$16:$N$19,MATCH($E212,'Key Metrics'!$E$16:$E$19,0),MATCH(W$1,'Key Metrics'!$E$16:$M$16,0)),0)</f>
        <v>18080.82</v>
      </c>
      <c r="X212" s="9">
        <f>IF($H212&gt;J212, MIN($H212-J212, K212-J212)*INDEX('Key Metrics'!$E$16:$N$19,MATCH($E212,'Key Metrics'!$E$16:$E$19,0),MATCH(X$1,'Key Metrics'!$E$16:$M$16,0)),0)</f>
        <v>0</v>
      </c>
      <c r="Y212" s="9">
        <f>IF($H212&gt;K212, MIN($H212-K212, L212-K212)*INDEX('Key Metrics'!$E$16:$N$19,MATCH($E212,'Key Metrics'!$E$16:$E$19,0),MATCH(Y$1,'Key Metrics'!$E$16:$M$16,0)),0)</f>
        <v>0</v>
      </c>
      <c r="Z212" s="9">
        <f>IF($H212&gt;L212,($H212-L212)*INDEX('Key Metrics'!$E$16:$N$19,MATCH($E212,'Key Metrics'!$E$16:$E$19,0),MATCH(Z$1,'Key Metrics'!$E$16:$M$16,0)),0)</f>
        <v>0</v>
      </c>
      <c r="AA212" s="9">
        <f t="shared" si="38"/>
        <v>108080.82</v>
      </c>
      <c r="AB212" s="9">
        <f t="shared" si="39"/>
        <v>108081.98741500001</v>
      </c>
    </row>
    <row r="213" spans="1:28" x14ac:dyDescent="0.55000000000000004">
      <c r="A213" t="str">
        <f t="shared" si="30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COUNTIF(deals_closed!$D$2:$D$20001,Calculations!B130)</f>
        <v>20</v>
      </c>
      <c r="H213" s="7">
        <f>SUMIF(deals_closed!$D:$D,Calculations!B130,deals_closed!$C:$C)</f>
        <v>607881</v>
      </c>
      <c r="I213" s="5">
        <f>VLOOKUP(E213,'2018_commission_structure'!$A$1:$I$4,9,FALSE)</f>
        <v>750000</v>
      </c>
      <c r="J213" s="9">
        <f t="shared" si="31"/>
        <v>937500</v>
      </c>
      <c r="K213" s="10">
        <f t="shared" si="32"/>
        <v>1125000</v>
      </c>
      <c r="L213" s="9">
        <f t="shared" si="33"/>
        <v>1500000</v>
      </c>
      <c r="M213" s="8">
        <f t="shared" si="34"/>
        <v>0.81050800000000001</v>
      </c>
      <c r="N213" t="str">
        <f t="shared" si="35"/>
        <v>0-100%</v>
      </c>
      <c r="O213" s="9">
        <f>MIN($H213,$I213)*INDEX('2018_commission_structure'!$A$1:$I$4,MATCH($E213,'2018_commission_structure'!$A$1:$A$4,0),MATCH(O$1,'2018_commission_structure'!$A$1:$I$1,0))</f>
        <v>91182.15</v>
      </c>
      <c r="P213" s="9">
        <f>IF(H213&gt;I213, MIN(H213-I213, J213-I213)*INDEX('2018_commission_structure'!$A$1:$I$4,MATCH($E213,'2018_commission_structure'!$A$1:$A$4,0),MATCH(P$1,'2018_commission_structure'!$A$1:$I$1,0)),0)</f>
        <v>0</v>
      </c>
      <c r="Q213" s="9">
        <f>IF($H213&gt;J213, MIN($H213-J213, K213-J213)*INDEX('2018_commission_structure'!$A$1:$I$4,MATCH($E213,'2018_commission_structure'!$A$1:$A$4,0),MATCH(Q$1,'2018_commission_structure'!$A$1:$I$1,0)),0)</f>
        <v>0</v>
      </c>
      <c r="R213" s="9">
        <f>IF($H213&gt;K213, MIN($H213-K213, L213-K213)*INDEX('2018_commission_structure'!$A$1:$I$4,MATCH($E213,'2018_commission_structure'!$A$1:$A$4,0),MATCH(R$1,'2018_commission_structure'!$A$1:$I$1,0)),0)</f>
        <v>0</v>
      </c>
      <c r="S213" s="9">
        <f>IF(H213&gt;L213,(H213-L213)*INDEX('2018_commission_structure'!$A$1:$I$4,MATCH($E213,'2018_commission_structure'!$A$1:$A$4,0),MATCH(S$1,'2018_commission_structure'!$A$1:$I$1,0)),0)</f>
        <v>0</v>
      </c>
      <c r="T213" s="9">
        <f t="shared" si="36"/>
        <v>91182.15</v>
      </c>
      <c r="U213" s="9">
        <f t="shared" si="37"/>
        <v>195654.15</v>
      </c>
      <c r="V213" s="9">
        <f>MIN($I213,$H213)*INDEX('Key Metrics'!$E$16:$N$19,MATCH($E213,'Key Metrics'!$E$16:$E$19,0),MATCH(V$1,'Key Metrics'!$E$16:$M$16,0))</f>
        <v>91182.15</v>
      </c>
      <c r="W213" s="9">
        <f>IF($H213&gt;I213, MIN($H213-I213, J213-I213)*INDEX('Key Metrics'!$E$16:$N$19,MATCH($E213,'Key Metrics'!$E$16:$E$19,0),MATCH(W$1,'Key Metrics'!$E$16:$M$16,0)),0)</f>
        <v>0</v>
      </c>
      <c r="X213" s="9">
        <f>IF($H213&gt;J213, MIN($H213-J213, K213-J213)*INDEX('Key Metrics'!$E$16:$N$19,MATCH($E213,'Key Metrics'!$E$16:$E$19,0),MATCH(X$1,'Key Metrics'!$E$16:$M$16,0)),0)</f>
        <v>0</v>
      </c>
      <c r="Y213" s="9">
        <f>IF($H213&gt;K213, MIN($H213-K213, L213-K213)*INDEX('Key Metrics'!$E$16:$N$19,MATCH($E213,'Key Metrics'!$E$16:$E$19,0),MATCH(Y$1,'Key Metrics'!$E$16:$M$16,0)),0)</f>
        <v>0</v>
      </c>
      <c r="Z213" s="9">
        <f>IF($H213&gt;L213,($H213-L213)*INDEX('Key Metrics'!$E$16:$N$19,MATCH($E213,'Key Metrics'!$E$16:$E$19,0),MATCH(Z$1,'Key Metrics'!$E$16:$M$16,0)),0)</f>
        <v>0</v>
      </c>
      <c r="AA213" s="9">
        <f t="shared" si="38"/>
        <v>91182.15</v>
      </c>
      <c r="AB213" s="9">
        <f t="shared" si="39"/>
        <v>91182.960507999989</v>
      </c>
    </row>
    <row r="214" spans="1:28" x14ac:dyDescent="0.55000000000000004">
      <c r="A214" t="str">
        <f t="shared" si="30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COUNTIF(deals_closed!$D$2:$D$20001,Calculations!B390)</f>
        <v>23</v>
      </c>
      <c r="H214" s="7">
        <f>SUMIF(deals_closed!$D:$D,Calculations!B390,deals_closed!$C:$C)</f>
        <v>834572</v>
      </c>
      <c r="I214" s="5">
        <f>VLOOKUP(E214,'2018_commission_structure'!$A$1:$I$4,9,FALSE)</f>
        <v>600000</v>
      </c>
      <c r="J214" s="9">
        <f t="shared" si="31"/>
        <v>750000</v>
      </c>
      <c r="K214" s="10">
        <f t="shared" si="32"/>
        <v>900000</v>
      </c>
      <c r="L214" s="9">
        <f t="shared" si="33"/>
        <v>1200000</v>
      </c>
      <c r="M214" s="8">
        <f t="shared" si="34"/>
        <v>1.3909533333333333</v>
      </c>
      <c r="N214" t="str">
        <f t="shared" si="35"/>
        <v>125-150%</v>
      </c>
      <c r="O214" s="9">
        <f>MIN($H214,$I214)*INDEX('2018_commission_structure'!$A$1:$I$4,MATCH($E214,'2018_commission_structure'!$A$1:$A$4,0),MATCH(O$1,'2018_commission_structure'!$A$1:$I$1,0))</f>
        <v>78000</v>
      </c>
      <c r="P214" s="9">
        <f>IF(H214&gt;I214, MIN(H214-I214, J214-I214)*INDEX('2018_commission_structure'!$A$1:$I$4,MATCH($E214,'2018_commission_structure'!$A$1:$A$4,0),MATCH(P$1,'2018_commission_structure'!$A$1:$I$1,0)),0)</f>
        <v>25500.000000000004</v>
      </c>
      <c r="Q214" s="9">
        <f>IF($H214&gt;J214, MIN($H214-J214, K214-J214)*INDEX('2018_commission_structure'!$A$1:$I$4,MATCH($E214,'2018_commission_structure'!$A$1:$A$4,0),MATCH(Q$1,'2018_commission_structure'!$A$1:$I$1,0)),0)</f>
        <v>17760.12</v>
      </c>
      <c r="R214" s="9">
        <f>IF($H214&gt;K214, MIN($H214-K214, L214-K214)*INDEX('2018_commission_structure'!$A$1:$I$4,MATCH($E214,'2018_commission_structure'!$A$1:$A$4,0),MATCH(R$1,'2018_commission_structure'!$A$1:$I$1,0)),0)</f>
        <v>0</v>
      </c>
      <c r="S214" s="9">
        <f>IF(H214&gt;L214,(H214-L214)*INDEX('2018_commission_structure'!$A$1:$I$4,MATCH($E214,'2018_commission_structure'!$A$1:$A$4,0),MATCH(S$1,'2018_commission_structure'!$A$1:$I$1,0)),0)</f>
        <v>0</v>
      </c>
      <c r="T214" s="9">
        <f t="shared" si="36"/>
        <v>121260.12</v>
      </c>
      <c r="U214" s="9">
        <f t="shared" si="37"/>
        <v>198434.12</v>
      </c>
      <c r="V214" s="9">
        <f>MIN($I214,$H214)*INDEX('Key Metrics'!$E$16:$N$19,MATCH($E214,'Key Metrics'!$E$16:$E$19,0),MATCH(V$1,'Key Metrics'!$E$16:$M$16,0))</f>
        <v>90000</v>
      </c>
      <c r="W214" s="9">
        <f>IF($H214&gt;I214, MIN($H214-I214, J214-I214)*INDEX('Key Metrics'!$E$16:$N$19,MATCH($E214,'Key Metrics'!$E$16:$E$19,0),MATCH(W$1,'Key Metrics'!$E$16:$M$16,0)),0)</f>
        <v>27000</v>
      </c>
      <c r="X214" s="9">
        <f>IF($H214&gt;J214, MIN($H214-J214, K214-J214)*INDEX('Key Metrics'!$E$16:$N$19,MATCH($E214,'Key Metrics'!$E$16:$E$19,0),MATCH(X$1,'Key Metrics'!$E$16:$M$16,0)),0)</f>
        <v>21143</v>
      </c>
      <c r="Y214" s="9">
        <f>IF($H214&gt;K214, MIN($H214-K214, L214-K214)*INDEX('Key Metrics'!$E$16:$N$19,MATCH($E214,'Key Metrics'!$E$16:$E$19,0),MATCH(Y$1,'Key Metrics'!$E$16:$M$16,0)),0)</f>
        <v>0</v>
      </c>
      <c r="Z214" s="9">
        <f>IF($H214&gt;L214,($H214-L214)*INDEX('Key Metrics'!$E$16:$N$19,MATCH($E214,'Key Metrics'!$E$16:$E$19,0),MATCH(Z$1,'Key Metrics'!$E$16:$M$16,0)),0)</f>
        <v>0</v>
      </c>
      <c r="AA214" s="9">
        <f t="shared" si="38"/>
        <v>138143</v>
      </c>
      <c r="AB214" s="9">
        <f t="shared" si="39"/>
        <v>138144.39095333332</v>
      </c>
    </row>
    <row r="215" spans="1:28" x14ac:dyDescent="0.55000000000000004">
      <c r="A215" t="str">
        <f t="shared" si="30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COUNTIF(deals_closed!$D$2:$D$20001,Calculations!B331)</f>
        <v>20</v>
      </c>
      <c r="H215" s="7">
        <f>SUMIF(deals_closed!$D:$D,Calculations!B331,deals_closed!$C:$C)</f>
        <v>647076</v>
      </c>
      <c r="I215" s="5">
        <f>VLOOKUP(E215,'2018_commission_structure'!$A$1:$I$4,9,FALSE)</f>
        <v>750000</v>
      </c>
      <c r="J215" s="9">
        <f t="shared" si="31"/>
        <v>937500</v>
      </c>
      <c r="K215" s="10">
        <f t="shared" si="32"/>
        <v>1125000</v>
      </c>
      <c r="L215" s="9">
        <f t="shared" si="33"/>
        <v>1500000</v>
      </c>
      <c r="M215" s="8">
        <f t="shared" si="34"/>
        <v>0.86276799999999998</v>
      </c>
      <c r="N215" t="str">
        <f t="shared" si="35"/>
        <v>0-100%</v>
      </c>
      <c r="O215" s="9">
        <f>MIN($H215,$I215)*INDEX('2018_commission_structure'!$A$1:$I$4,MATCH($E215,'2018_commission_structure'!$A$1:$A$4,0),MATCH(O$1,'2018_commission_structure'!$A$1:$I$1,0))</f>
        <v>97061.4</v>
      </c>
      <c r="P215" s="9">
        <f>IF(H215&gt;I215, MIN(H215-I215, J215-I215)*INDEX('2018_commission_structure'!$A$1:$I$4,MATCH($E215,'2018_commission_structure'!$A$1:$A$4,0),MATCH(P$1,'2018_commission_structure'!$A$1:$I$1,0)),0)</f>
        <v>0</v>
      </c>
      <c r="Q215" s="9">
        <f>IF($H215&gt;J215, MIN($H215-J215, K215-J215)*INDEX('2018_commission_structure'!$A$1:$I$4,MATCH($E215,'2018_commission_structure'!$A$1:$A$4,0),MATCH(Q$1,'2018_commission_structure'!$A$1:$I$1,0)),0)</f>
        <v>0</v>
      </c>
      <c r="R215" s="9">
        <f>IF($H215&gt;K215, MIN($H215-K215, L215-K215)*INDEX('2018_commission_structure'!$A$1:$I$4,MATCH($E215,'2018_commission_structure'!$A$1:$A$4,0),MATCH(R$1,'2018_commission_structure'!$A$1:$I$1,0)),0)</f>
        <v>0</v>
      </c>
      <c r="S215" s="9">
        <f>IF(H215&gt;L215,(H215-L215)*INDEX('2018_commission_structure'!$A$1:$I$4,MATCH($E215,'2018_commission_structure'!$A$1:$A$4,0),MATCH(S$1,'2018_commission_structure'!$A$1:$I$1,0)),0)</f>
        <v>0</v>
      </c>
      <c r="T215" s="9">
        <f t="shared" si="36"/>
        <v>97061.4</v>
      </c>
      <c r="U215" s="9">
        <f t="shared" si="37"/>
        <v>198594.4</v>
      </c>
      <c r="V215" s="9">
        <f>MIN($I215,$H215)*INDEX('Key Metrics'!$E$16:$N$19,MATCH($E215,'Key Metrics'!$E$16:$E$19,0),MATCH(V$1,'Key Metrics'!$E$16:$M$16,0))</f>
        <v>97061.4</v>
      </c>
      <c r="W215" s="9">
        <f>IF($H215&gt;I215, MIN($H215-I215, J215-I215)*INDEX('Key Metrics'!$E$16:$N$19,MATCH($E215,'Key Metrics'!$E$16:$E$19,0),MATCH(W$1,'Key Metrics'!$E$16:$M$16,0)),0)</f>
        <v>0</v>
      </c>
      <c r="X215" s="9">
        <f>IF($H215&gt;J215, MIN($H215-J215, K215-J215)*INDEX('Key Metrics'!$E$16:$N$19,MATCH($E215,'Key Metrics'!$E$16:$E$19,0),MATCH(X$1,'Key Metrics'!$E$16:$M$16,0)),0)</f>
        <v>0</v>
      </c>
      <c r="Y215" s="9">
        <f>IF($H215&gt;K215, MIN($H215-K215, L215-K215)*INDEX('Key Metrics'!$E$16:$N$19,MATCH($E215,'Key Metrics'!$E$16:$E$19,0),MATCH(Y$1,'Key Metrics'!$E$16:$M$16,0)),0)</f>
        <v>0</v>
      </c>
      <c r="Z215" s="9">
        <f>IF($H215&gt;L215,($H215-L215)*INDEX('Key Metrics'!$E$16:$N$19,MATCH($E215,'Key Metrics'!$E$16:$E$19,0),MATCH(Z$1,'Key Metrics'!$E$16:$M$16,0)),0)</f>
        <v>0</v>
      </c>
      <c r="AA215" s="9">
        <f t="shared" si="38"/>
        <v>97061.4</v>
      </c>
      <c r="AB215" s="9">
        <f t="shared" si="39"/>
        <v>97062.262768000001</v>
      </c>
    </row>
    <row r="216" spans="1:28" x14ac:dyDescent="0.55000000000000004">
      <c r="A216" t="str">
        <f t="shared" si="30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COUNTIF(deals_closed!$D$2:$D$20001,Calculations!B756)</f>
        <v>21</v>
      </c>
      <c r="H216" s="7">
        <f>SUMIF(deals_closed!$D:$D,Calculations!B756,deals_closed!$C:$C)</f>
        <v>771024</v>
      </c>
      <c r="I216" s="5">
        <f>VLOOKUP(E216,'2018_commission_structure'!$A$1:$I$4,9,FALSE)</f>
        <v>750000</v>
      </c>
      <c r="J216" s="9">
        <f t="shared" si="31"/>
        <v>937500</v>
      </c>
      <c r="K216" s="10">
        <f t="shared" si="32"/>
        <v>1125000</v>
      </c>
      <c r="L216" s="9">
        <f t="shared" si="33"/>
        <v>1500000</v>
      </c>
      <c r="M216" s="8">
        <f t="shared" si="34"/>
        <v>1.0280320000000001</v>
      </c>
      <c r="N216" t="str">
        <f t="shared" si="35"/>
        <v>100-125%</v>
      </c>
      <c r="O216" s="9">
        <f>MIN($H216,$I216)*INDEX('2018_commission_structure'!$A$1:$I$4,MATCH($E216,'2018_commission_structure'!$A$1:$A$4,0),MATCH(O$1,'2018_commission_structure'!$A$1:$I$1,0))</f>
        <v>112500</v>
      </c>
      <c r="P216" s="9">
        <f>IF(H216&gt;I216, MIN(H216-I216, J216-I216)*INDEX('2018_commission_structure'!$A$1:$I$4,MATCH($E216,'2018_commission_structure'!$A$1:$A$4,0),MATCH(P$1,'2018_commission_structure'!$A$1:$I$1,0)),0)</f>
        <v>3994.56</v>
      </c>
      <c r="Q216" s="9">
        <f>IF($H216&gt;J216, MIN($H216-J216, K216-J216)*INDEX('2018_commission_structure'!$A$1:$I$4,MATCH($E216,'2018_commission_structure'!$A$1:$A$4,0),MATCH(Q$1,'2018_commission_structure'!$A$1:$I$1,0)),0)</f>
        <v>0</v>
      </c>
      <c r="R216" s="9">
        <f>IF($H216&gt;K216, MIN($H216-K216, L216-K216)*INDEX('2018_commission_structure'!$A$1:$I$4,MATCH($E216,'2018_commission_structure'!$A$1:$A$4,0),MATCH(R$1,'2018_commission_structure'!$A$1:$I$1,0)),0)</f>
        <v>0</v>
      </c>
      <c r="S216" s="9">
        <f>IF(H216&gt;L216,(H216-L216)*INDEX('2018_commission_structure'!$A$1:$I$4,MATCH($E216,'2018_commission_structure'!$A$1:$A$4,0),MATCH(S$1,'2018_commission_structure'!$A$1:$I$1,0)),0)</f>
        <v>0</v>
      </c>
      <c r="T216" s="9">
        <f t="shared" si="36"/>
        <v>116494.56</v>
      </c>
      <c r="U216" s="9">
        <f t="shared" si="37"/>
        <v>232844.56</v>
      </c>
      <c r="V216" s="9">
        <f>MIN($I216,$H216)*INDEX('Key Metrics'!$E$16:$N$19,MATCH($E216,'Key Metrics'!$E$16:$E$19,0),MATCH(V$1,'Key Metrics'!$E$16:$M$16,0))</f>
        <v>112500</v>
      </c>
      <c r="W216" s="9">
        <f>IF($H216&gt;I216, MIN($H216-I216, J216-I216)*INDEX('Key Metrics'!$E$16:$N$19,MATCH($E216,'Key Metrics'!$E$16:$E$19,0),MATCH(W$1,'Key Metrics'!$E$16:$M$16,0)),0)</f>
        <v>4625.28</v>
      </c>
      <c r="X216" s="9">
        <f>IF($H216&gt;J216, MIN($H216-J216, K216-J216)*INDEX('Key Metrics'!$E$16:$N$19,MATCH($E216,'Key Metrics'!$E$16:$E$19,0),MATCH(X$1,'Key Metrics'!$E$16:$M$16,0)),0)</f>
        <v>0</v>
      </c>
      <c r="Y216" s="9">
        <f>IF($H216&gt;K216, MIN($H216-K216, L216-K216)*INDEX('Key Metrics'!$E$16:$N$19,MATCH($E216,'Key Metrics'!$E$16:$E$19,0),MATCH(Y$1,'Key Metrics'!$E$16:$M$16,0)),0)</f>
        <v>0</v>
      </c>
      <c r="Z216" s="9">
        <f>IF($H216&gt;L216,($H216-L216)*INDEX('Key Metrics'!$E$16:$N$19,MATCH($E216,'Key Metrics'!$E$16:$E$19,0),MATCH(Z$1,'Key Metrics'!$E$16:$M$16,0)),0)</f>
        <v>0</v>
      </c>
      <c r="AA216" s="9">
        <f t="shared" si="38"/>
        <v>117125.28</v>
      </c>
      <c r="AB216" s="9">
        <f t="shared" si="39"/>
        <v>117126.308032</v>
      </c>
    </row>
    <row r="217" spans="1:28" x14ac:dyDescent="0.55000000000000004">
      <c r="A217" t="str">
        <f t="shared" si="30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COUNTIF(deals_closed!$D$2:$D$20001,Calculations!B127)</f>
        <v>20</v>
      </c>
      <c r="H217" s="7">
        <f>SUMIF(deals_closed!$D:$D,Calculations!B127,deals_closed!$C:$C)</f>
        <v>633620</v>
      </c>
      <c r="I217" s="5">
        <f>VLOOKUP(E217,'2018_commission_structure'!$A$1:$I$4,9,FALSE)</f>
        <v>600000</v>
      </c>
      <c r="J217" s="9">
        <f t="shared" si="31"/>
        <v>750000</v>
      </c>
      <c r="K217" s="10">
        <f t="shared" si="32"/>
        <v>900000</v>
      </c>
      <c r="L217" s="9">
        <f t="shared" si="33"/>
        <v>1200000</v>
      </c>
      <c r="M217" s="8">
        <f t="shared" si="34"/>
        <v>1.0560333333333334</v>
      </c>
      <c r="N217" t="str">
        <f t="shared" si="35"/>
        <v>100-125%</v>
      </c>
      <c r="O217" s="9">
        <f>MIN($H217,$I217)*INDEX('2018_commission_structure'!$A$1:$I$4,MATCH($E217,'2018_commission_structure'!$A$1:$A$4,0),MATCH(O$1,'2018_commission_structure'!$A$1:$I$1,0))</f>
        <v>78000</v>
      </c>
      <c r="P217" s="9">
        <f>IF(H217&gt;I217, MIN(H217-I217, J217-I217)*INDEX('2018_commission_structure'!$A$1:$I$4,MATCH($E217,'2018_commission_structure'!$A$1:$A$4,0),MATCH(P$1,'2018_commission_structure'!$A$1:$I$1,0)),0)</f>
        <v>5715.4000000000005</v>
      </c>
      <c r="Q217" s="9">
        <f>IF($H217&gt;J217, MIN($H217-J217, K217-J217)*INDEX('2018_commission_structure'!$A$1:$I$4,MATCH($E217,'2018_commission_structure'!$A$1:$A$4,0),MATCH(Q$1,'2018_commission_structure'!$A$1:$I$1,0)),0)</f>
        <v>0</v>
      </c>
      <c r="R217" s="9">
        <f>IF($H217&gt;K217, MIN($H217-K217, L217-K217)*INDEX('2018_commission_structure'!$A$1:$I$4,MATCH($E217,'2018_commission_structure'!$A$1:$A$4,0),MATCH(R$1,'2018_commission_structure'!$A$1:$I$1,0)),0)</f>
        <v>0</v>
      </c>
      <c r="S217" s="9">
        <f>IF(H217&gt;L217,(H217-L217)*INDEX('2018_commission_structure'!$A$1:$I$4,MATCH($E217,'2018_commission_structure'!$A$1:$A$4,0),MATCH(S$1,'2018_commission_structure'!$A$1:$I$1,0)),0)</f>
        <v>0</v>
      </c>
      <c r="T217" s="9">
        <f t="shared" si="36"/>
        <v>83715.399999999994</v>
      </c>
      <c r="U217" s="9">
        <f t="shared" si="37"/>
        <v>148221.4</v>
      </c>
      <c r="V217" s="9">
        <f>MIN($I217,$H217)*INDEX('Key Metrics'!$E$16:$N$19,MATCH($E217,'Key Metrics'!$E$16:$E$19,0),MATCH(V$1,'Key Metrics'!$E$16:$M$16,0))</f>
        <v>90000</v>
      </c>
      <c r="W217" s="9">
        <f>IF($H217&gt;I217, MIN($H217-I217, J217-I217)*INDEX('Key Metrics'!$E$16:$N$19,MATCH($E217,'Key Metrics'!$E$16:$E$19,0),MATCH(W$1,'Key Metrics'!$E$16:$M$16,0)),0)</f>
        <v>6051.5999999999995</v>
      </c>
      <c r="X217" s="9">
        <f>IF($H217&gt;J217, MIN($H217-J217, K217-J217)*INDEX('Key Metrics'!$E$16:$N$19,MATCH($E217,'Key Metrics'!$E$16:$E$19,0),MATCH(X$1,'Key Metrics'!$E$16:$M$16,0)),0)</f>
        <v>0</v>
      </c>
      <c r="Y217" s="9">
        <f>IF($H217&gt;K217, MIN($H217-K217, L217-K217)*INDEX('Key Metrics'!$E$16:$N$19,MATCH($E217,'Key Metrics'!$E$16:$E$19,0),MATCH(Y$1,'Key Metrics'!$E$16:$M$16,0)),0)</f>
        <v>0</v>
      </c>
      <c r="Z217" s="9">
        <f>IF($H217&gt;L217,($H217-L217)*INDEX('Key Metrics'!$E$16:$N$19,MATCH($E217,'Key Metrics'!$E$16:$E$19,0),MATCH(Z$1,'Key Metrics'!$E$16:$M$16,0)),0)</f>
        <v>0</v>
      </c>
      <c r="AA217" s="9">
        <f t="shared" si="38"/>
        <v>96051.6</v>
      </c>
      <c r="AB217" s="9">
        <f t="shared" si="39"/>
        <v>96052.656033333333</v>
      </c>
    </row>
    <row r="218" spans="1:28" x14ac:dyDescent="0.55000000000000004">
      <c r="A218" t="str">
        <f t="shared" si="30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COUNTIF(deals_closed!$D$2:$D$20001,Calculations!B989)</f>
        <v>26</v>
      </c>
      <c r="H218" s="7">
        <f>SUMIF(deals_closed!$D:$D,Calculations!B989,deals_closed!$C:$C)</f>
        <v>951272</v>
      </c>
      <c r="I218" s="5">
        <f>VLOOKUP(E218,'2018_commission_structure'!$A$1:$I$4,9,FALSE)</f>
        <v>600000</v>
      </c>
      <c r="J218" s="9">
        <f t="shared" si="31"/>
        <v>750000</v>
      </c>
      <c r="K218" s="10">
        <f t="shared" si="32"/>
        <v>900000</v>
      </c>
      <c r="L218" s="9">
        <f t="shared" si="33"/>
        <v>1200000</v>
      </c>
      <c r="M218" s="8">
        <f t="shared" si="34"/>
        <v>1.5854533333333334</v>
      </c>
      <c r="N218" t="str">
        <f t="shared" si="35"/>
        <v>150-200%</v>
      </c>
      <c r="O218" s="9">
        <f>MIN($H218,$I218)*INDEX('2018_commission_structure'!$A$1:$I$4,MATCH($E218,'2018_commission_structure'!$A$1:$A$4,0),MATCH(O$1,'2018_commission_structure'!$A$1:$I$1,0))</f>
        <v>78000</v>
      </c>
      <c r="P218" s="9">
        <f>IF(H218&gt;I218, MIN(H218-I218, J218-I218)*INDEX('2018_commission_structure'!$A$1:$I$4,MATCH($E218,'2018_commission_structure'!$A$1:$A$4,0),MATCH(P$1,'2018_commission_structure'!$A$1:$I$1,0)),0)</f>
        <v>25500.000000000004</v>
      </c>
      <c r="Q218" s="9">
        <f>IF($H218&gt;J218, MIN($H218-J218, K218-J218)*INDEX('2018_commission_structure'!$A$1:$I$4,MATCH($E218,'2018_commission_structure'!$A$1:$A$4,0),MATCH(Q$1,'2018_commission_structure'!$A$1:$I$1,0)),0)</f>
        <v>31500</v>
      </c>
      <c r="R218" s="9">
        <f>IF($H218&gt;K218, MIN($H218-K218, L218-K218)*INDEX('2018_commission_structure'!$A$1:$I$4,MATCH($E218,'2018_commission_structure'!$A$1:$A$4,0),MATCH(R$1,'2018_commission_structure'!$A$1:$I$1,0)),0)</f>
        <v>13330.720000000001</v>
      </c>
      <c r="S218" s="9">
        <f>IF(H218&gt;L218,(H218-L218)*INDEX('2018_commission_structure'!$A$1:$I$4,MATCH($E218,'2018_commission_structure'!$A$1:$A$4,0),MATCH(S$1,'2018_commission_structure'!$A$1:$I$1,0)),0)</f>
        <v>0</v>
      </c>
      <c r="T218" s="9">
        <f t="shared" si="36"/>
        <v>148330.72</v>
      </c>
      <c r="U218" s="9">
        <f t="shared" si="37"/>
        <v>207108.72</v>
      </c>
      <c r="V218" s="9">
        <f>MIN($I218,$H218)*INDEX('Key Metrics'!$E$16:$N$19,MATCH($E218,'Key Metrics'!$E$16:$E$19,0),MATCH(V$1,'Key Metrics'!$E$16:$M$16,0))</f>
        <v>90000</v>
      </c>
      <c r="W218" s="9">
        <f>IF($H218&gt;I218, MIN($H218-I218, J218-I218)*INDEX('Key Metrics'!$E$16:$N$19,MATCH($E218,'Key Metrics'!$E$16:$E$19,0),MATCH(W$1,'Key Metrics'!$E$16:$M$16,0)),0)</f>
        <v>27000</v>
      </c>
      <c r="X218" s="9">
        <f>IF($H218&gt;J218, MIN($H218-J218, K218-J218)*INDEX('Key Metrics'!$E$16:$N$19,MATCH($E218,'Key Metrics'!$E$16:$E$19,0),MATCH(X$1,'Key Metrics'!$E$16:$M$16,0)),0)</f>
        <v>37500</v>
      </c>
      <c r="Y218" s="9">
        <f>IF($H218&gt;K218, MIN($H218-K218, L218-K218)*INDEX('Key Metrics'!$E$16:$N$19,MATCH($E218,'Key Metrics'!$E$16:$E$19,0),MATCH(Y$1,'Key Metrics'!$E$16:$M$16,0)),0)</f>
        <v>15381.599999999999</v>
      </c>
      <c r="Z218" s="9">
        <f>IF($H218&gt;L218,($H218-L218)*INDEX('Key Metrics'!$E$16:$N$19,MATCH($E218,'Key Metrics'!$E$16:$E$19,0),MATCH(Z$1,'Key Metrics'!$E$16:$M$16,0)),0)</f>
        <v>0</v>
      </c>
      <c r="AA218" s="9">
        <f t="shared" si="38"/>
        <v>169881.60000000001</v>
      </c>
      <c r="AB218" s="9">
        <f t="shared" si="39"/>
        <v>169883.18545333334</v>
      </c>
    </row>
    <row r="219" spans="1:28" x14ac:dyDescent="0.55000000000000004">
      <c r="A219" t="str">
        <f t="shared" si="30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COUNTIF(deals_closed!$D$2:$D$20001,Calculations!B925)</f>
        <v>23</v>
      </c>
      <c r="H219" s="7">
        <f>SUMIF(deals_closed!$D:$D,Calculations!B925,deals_closed!$C:$C)</f>
        <v>778958</v>
      </c>
      <c r="I219" s="5">
        <f>VLOOKUP(E219,'2018_commission_structure'!$A$1:$I$4,9,FALSE)</f>
        <v>600000</v>
      </c>
      <c r="J219" s="9">
        <f t="shared" si="31"/>
        <v>750000</v>
      </c>
      <c r="K219" s="10">
        <f t="shared" si="32"/>
        <v>900000</v>
      </c>
      <c r="L219" s="9">
        <f t="shared" si="33"/>
        <v>1200000</v>
      </c>
      <c r="M219" s="8">
        <f t="shared" si="34"/>
        <v>1.2982633333333333</v>
      </c>
      <c r="N219" t="str">
        <f t="shared" si="35"/>
        <v>125-150%</v>
      </c>
      <c r="O219" s="9">
        <f>MIN($H219,$I219)*INDEX('2018_commission_structure'!$A$1:$I$4,MATCH($E219,'2018_commission_structure'!$A$1:$A$4,0),MATCH(O$1,'2018_commission_structure'!$A$1:$I$1,0))</f>
        <v>78000</v>
      </c>
      <c r="P219" s="9">
        <f>IF(H219&gt;I219, MIN(H219-I219, J219-I219)*INDEX('2018_commission_structure'!$A$1:$I$4,MATCH($E219,'2018_commission_structure'!$A$1:$A$4,0),MATCH(P$1,'2018_commission_structure'!$A$1:$I$1,0)),0)</f>
        <v>25500.000000000004</v>
      </c>
      <c r="Q219" s="9">
        <f>IF($H219&gt;J219, MIN($H219-J219, K219-J219)*INDEX('2018_commission_structure'!$A$1:$I$4,MATCH($E219,'2018_commission_structure'!$A$1:$A$4,0),MATCH(Q$1,'2018_commission_structure'!$A$1:$I$1,0)),0)</f>
        <v>6081.1799999999994</v>
      </c>
      <c r="R219" s="9">
        <f>IF($H219&gt;K219, MIN($H219-K219, L219-K219)*INDEX('2018_commission_structure'!$A$1:$I$4,MATCH($E219,'2018_commission_structure'!$A$1:$A$4,0),MATCH(R$1,'2018_commission_structure'!$A$1:$I$1,0)),0)</f>
        <v>0</v>
      </c>
      <c r="S219" s="9">
        <f>IF(H219&gt;L219,(H219-L219)*INDEX('2018_commission_structure'!$A$1:$I$4,MATCH($E219,'2018_commission_structure'!$A$1:$A$4,0),MATCH(S$1,'2018_commission_structure'!$A$1:$I$1,0)),0)</f>
        <v>0</v>
      </c>
      <c r="T219" s="9">
        <f t="shared" si="36"/>
        <v>109581.18</v>
      </c>
      <c r="U219" s="9">
        <f t="shared" si="37"/>
        <v>172436.18</v>
      </c>
      <c r="V219" s="9">
        <f>MIN($I219,$H219)*INDEX('Key Metrics'!$E$16:$N$19,MATCH($E219,'Key Metrics'!$E$16:$E$19,0),MATCH(V$1,'Key Metrics'!$E$16:$M$16,0))</f>
        <v>90000</v>
      </c>
      <c r="W219" s="9">
        <f>IF($H219&gt;I219, MIN($H219-I219, J219-I219)*INDEX('Key Metrics'!$E$16:$N$19,MATCH($E219,'Key Metrics'!$E$16:$E$19,0),MATCH(W$1,'Key Metrics'!$E$16:$M$16,0)),0)</f>
        <v>27000</v>
      </c>
      <c r="X219" s="9">
        <f>IF($H219&gt;J219, MIN($H219-J219, K219-J219)*INDEX('Key Metrics'!$E$16:$N$19,MATCH($E219,'Key Metrics'!$E$16:$E$19,0),MATCH(X$1,'Key Metrics'!$E$16:$M$16,0)),0)</f>
        <v>7239.5</v>
      </c>
      <c r="Y219" s="9">
        <f>IF($H219&gt;K219, MIN($H219-K219, L219-K219)*INDEX('Key Metrics'!$E$16:$N$19,MATCH($E219,'Key Metrics'!$E$16:$E$19,0),MATCH(Y$1,'Key Metrics'!$E$16:$M$16,0)),0)</f>
        <v>0</v>
      </c>
      <c r="Z219" s="9">
        <f>IF($H219&gt;L219,($H219-L219)*INDEX('Key Metrics'!$E$16:$N$19,MATCH($E219,'Key Metrics'!$E$16:$E$19,0),MATCH(Z$1,'Key Metrics'!$E$16:$M$16,0)),0)</f>
        <v>0</v>
      </c>
      <c r="AA219" s="9">
        <f t="shared" si="38"/>
        <v>124239.5</v>
      </c>
      <c r="AB219" s="9">
        <f t="shared" si="39"/>
        <v>124240.79826333333</v>
      </c>
    </row>
    <row r="220" spans="1:28" x14ac:dyDescent="0.55000000000000004">
      <c r="A220" t="str">
        <f t="shared" si="30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COUNTIF(deals_closed!$D$2:$D$20001,Calculations!B181)</f>
        <v>22</v>
      </c>
      <c r="H220" s="7">
        <f>SUMIF(deals_closed!$D:$D,Calculations!B181,deals_closed!$C:$C)</f>
        <v>721111</v>
      </c>
      <c r="I220" s="5">
        <f>VLOOKUP(E220,'2018_commission_structure'!$A$1:$I$4,9,FALSE)</f>
        <v>600000</v>
      </c>
      <c r="J220" s="9">
        <f t="shared" si="31"/>
        <v>750000</v>
      </c>
      <c r="K220" s="10">
        <f t="shared" si="32"/>
        <v>900000</v>
      </c>
      <c r="L220" s="9">
        <f t="shared" si="33"/>
        <v>1200000</v>
      </c>
      <c r="M220" s="8">
        <f t="shared" si="34"/>
        <v>1.2018516666666668</v>
      </c>
      <c r="N220" t="str">
        <f t="shared" si="35"/>
        <v>100-125%</v>
      </c>
      <c r="O220" s="9">
        <f>MIN($H220,$I220)*INDEX('2018_commission_structure'!$A$1:$I$4,MATCH($E220,'2018_commission_structure'!$A$1:$A$4,0),MATCH(O$1,'2018_commission_structure'!$A$1:$I$1,0))</f>
        <v>78000</v>
      </c>
      <c r="P220" s="9">
        <f>IF(H220&gt;I220, MIN(H220-I220, J220-I220)*INDEX('2018_commission_structure'!$A$1:$I$4,MATCH($E220,'2018_commission_structure'!$A$1:$A$4,0),MATCH(P$1,'2018_commission_structure'!$A$1:$I$1,0)),0)</f>
        <v>20588.870000000003</v>
      </c>
      <c r="Q220" s="9">
        <f>IF($H220&gt;J220, MIN($H220-J220, K220-J220)*INDEX('2018_commission_structure'!$A$1:$I$4,MATCH($E220,'2018_commission_structure'!$A$1:$A$4,0),MATCH(Q$1,'2018_commission_structure'!$A$1:$I$1,0)),0)</f>
        <v>0</v>
      </c>
      <c r="R220" s="9">
        <f>IF($H220&gt;K220, MIN($H220-K220, L220-K220)*INDEX('2018_commission_structure'!$A$1:$I$4,MATCH($E220,'2018_commission_structure'!$A$1:$A$4,0),MATCH(R$1,'2018_commission_structure'!$A$1:$I$1,0)),0)</f>
        <v>0</v>
      </c>
      <c r="S220" s="9">
        <f>IF(H220&gt;L220,(H220-L220)*INDEX('2018_commission_structure'!$A$1:$I$4,MATCH($E220,'2018_commission_structure'!$A$1:$A$4,0),MATCH(S$1,'2018_commission_structure'!$A$1:$I$1,0)),0)</f>
        <v>0</v>
      </c>
      <c r="T220" s="9">
        <f t="shared" si="36"/>
        <v>98588.87</v>
      </c>
      <c r="U220" s="9">
        <f t="shared" si="37"/>
        <v>158267.87</v>
      </c>
      <c r="V220" s="9">
        <f>MIN($I220,$H220)*INDEX('Key Metrics'!$E$16:$N$19,MATCH($E220,'Key Metrics'!$E$16:$E$19,0),MATCH(V$1,'Key Metrics'!$E$16:$M$16,0))</f>
        <v>90000</v>
      </c>
      <c r="W220" s="9">
        <f>IF($H220&gt;I220, MIN($H220-I220, J220-I220)*INDEX('Key Metrics'!$E$16:$N$19,MATCH($E220,'Key Metrics'!$E$16:$E$19,0),MATCH(W$1,'Key Metrics'!$E$16:$M$16,0)),0)</f>
        <v>21799.98</v>
      </c>
      <c r="X220" s="9">
        <f>IF($H220&gt;J220, MIN($H220-J220, K220-J220)*INDEX('Key Metrics'!$E$16:$N$19,MATCH($E220,'Key Metrics'!$E$16:$E$19,0),MATCH(X$1,'Key Metrics'!$E$16:$M$16,0)),0)</f>
        <v>0</v>
      </c>
      <c r="Y220" s="9">
        <f>IF($H220&gt;K220, MIN($H220-K220, L220-K220)*INDEX('Key Metrics'!$E$16:$N$19,MATCH($E220,'Key Metrics'!$E$16:$E$19,0),MATCH(Y$1,'Key Metrics'!$E$16:$M$16,0)),0)</f>
        <v>0</v>
      </c>
      <c r="Z220" s="9">
        <f>IF($H220&gt;L220,($H220-L220)*INDEX('Key Metrics'!$E$16:$N$19,MATCH($E220,'Key Metrics'!$E$16:$E$19,0),MATCH(Z$1,'Key Metrics'!$E$16:$M$16,0)),0)</f>
        <v>0</v>
      </c>
      <c r="AA220" s="9">
        <f t="shared" si="38"/>
        <v>111799.98</v>
      </c>
      <c r="AB220" s="9">
        <f t="shared" si="39"/>
        <v>111801.18185166667</v>
      </c>
    </row>
    <row r="221" spans="1:28" x14ac:dyDescent="0.55000000000000004">
      <c r="A221" t="str">
        <f t="shared" si="30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COUNTIF(deals_closed!$D$2:$D$20001,Calculations!B157)</f>
        <v>19</v>
      </c>
      <c r="H221" s="7">
        <f>SUMIF(deals_closed!$D:$D,Calculations!B157,deals_closed!$C:$C)</f>
        <v>739687</v>
      </c>
      <c r="I221" s="5">
        <f>VLOOKUP(E221,'2018_commission_structure'!$A$1:$I$4,9,FALSE)</f>
        <v>500000</v>
      </c>
      <c r="J221" s="9">
        <f t="shared" si="31"/>
        <v>625000</v>
      </c>
      <c r="K221" s="10">
        <f t="shared" si="32"/>
        <v>750000</v>
      </c>
      <c r="L221" s="9">
        <f t="shared" si="33"/>
        <v>1000000</v>
      </c>
      <c r="M221" s="8">
        <f t="shared" si="34"/>
        <v>1.479374</v>
      </c>
      <c r="N221" t="str">
        <f t="shared" si="35"/>
        <v>125-150%</v>
      </c>
      <c r="O221" s="9">
        <f>MIN($H221,$I221)*INDEX('2018_commission_structure'!$A$1:$I$4,MATCH($E221,'2018_commission_structure'!$A$1:$A$4,0),MATCH(O$1,'2018_commission_structure'!$A$1:$I$1,0))</f>
        <v>50000</v>
      </c>
      <c r="P221" s="9">
        <f>IF(H221&gt;I221, MIN(H221-I221, J221-I221)*INDEX('2018_commission_structure'!$A$1:$I$4,MATCH($E221,'2018_commission_structure'!$A$1:$A$4,0),MATCH(P$1,'2018_commission_structure'!$A$1:$I$1,0)),0)</f>
        <v>18750</v>
      </c>
      <c r="Q221" s="9">
        <f>IF($H221&gt;J221, MIN($H221-J221, K221-J221)*INDEX('2018_commission_structure'!$A$1:$I$4,MATCH($E221,'2018_commission_structure'!$A$1:$A$4,0),MATCH(Q$1,'2018_commission_structure'!$A$1:$I$1,0)),0)</f>
        <v>20643.66</v>
      </c>
      <c r="R221" s="9">
        <f>IF($H221&gt;K221, MIN($H221-K221, L221-K221)*INDEX('2018_commission_structure'!$A$1:$I$4,MATCH($E221,'2018_commission_structure'!$A$1:$A$4,0),MATCH(R$1,'2018_commission_structure'!$A$1:$I$1,0)),0)</f>
        <v>0</v>
      </c>
      <c r="S221" s="9">
        <f>IF(H221&gt;L221,(H221-L221)*INDEX('2018_commission_structure'!$A$1:$I$4,MATCH($E221,'2018_commission_structure'!$A$1:$A$4,0),MATCH(S$1,'2018_commission_structure'!$A$1:$I$1,0)),0)</f>
        <v>0</v>
      </c>
      <c r="T221" s="9">
        <f t="shared" si="36"/>
        <v>89393.66</v>
      </c>
      <c r="U221" s="9">
        <f t="shared" si="37"/>
        <v>120876.66</v>
      </c>
      <c r="V221" s="9">
        <f>MIN($I221,$H221)*INDEX('Key Metrics'!$E$16:$N$19,MATCH($E221,'Key Metrics'!$E$16:$E$19,0),MATCH(V$1,'Key Metrics'!$E$16:$M$16,0))</f>
        <v>60000</v>
      </c>
      <c r="W221" s="9">
        <f>IF($H221&gt;I221, MIN($H221-I221, J221-I221)*INDEX('Key Metrics'!$E$16:$N$19,MATCH($E221,'Key Metrics'!$E$16:$E$19,0),MATCH(W$1,'Key Metrics'!$E$16:$M$16,0)),0)</f>
        <v>21250</v>
      </c>
      <c r="X221" s="9">
        <f>IF($H221&gt;J221, MIN($H221-J221, K221-J221)*INDEX('Key Metrics'!$E$16:$N$19,MATCH($E221,'Key Metrics'!$E$16:$E$19,0),MATCH(X$1,'Key Metrics'!$E$16:$M$16,0)),0)</f>
        <v>22937.4</v>
      </c>
      <c r="Y221" s="9">
        <f>IF($H221&gt;K221, MIN($H221-K221, L221-K221)*INDEX('Key Metrics'!$E$16:$N$19,MATCH($E221,'Key Metrics'!$E$16:$E$19,0),MATCH(Y$1,'Key Metrics'!$E$16:$M$16,0)),0)</f>
        <v>0</v>
      </c>
      <c r="Z221" s="9">
        <f>IF($H221&gt;L221,($H221-L221)*INDEX('Key Metrics'!$E$16:$N$19,MATCH($E221,'Key Metrics'!$E$16:$E$19,0),MATCH(Z$1,'Key Metrics'!$E$16:$M$16,0)),0)</f>
        <v>0</v>
      </c>
      <c r="AA221" s="9">
        <f t="shared" si="38"/>
        <v>104187.4</v>
      </c>
      <c r="AB221" s="9">
        <f t="shared" si="39"/>
        <v>104188.879374</v>
      </c>
    </row>
    <row r="222" spans="1:28" x14ac:dyDescent="0.55000000000000004">
      <c r="A222" t="str">
        <f t="shared" si="30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COUNTIF(deals_closed!$D$2:$D$20001,Calculations!B441)</f>
        <v>21</v>
      </c>
      <c r="H222" s="7">
        <f>SUMIF(deals_closed!$D:$D,Calculations!B441,deals_closed!$C:$C)</f>
        <v>599671</v>
      </c>
      <c r="I222" s="5">
        <f>VLOOKUP(E222,'2018_commission_structure'!$A$1:$I$4,9,FALSE)</f>
        <v>600000</v>
      </c>
      <c r="J222" s="9">
        <f t="shared" si="31"/>
        <v>750000</v>
      </c>
      <c r="K222" s="10">
        <f t="shared" si="32"/>
        <v>900000</v>
      </c>
      <c r="L222" s="9">
        <f t="shared" si="33"/>
        <v>1200000</v>
      </c>
      <c r="M222" s="8">
        <f t="shared" si="34"/>
        <v>0.99945166666666663</v>
      </c>
      <c r="N222" t="str">
        <f t="shared" si="35"/>
        <v>0-100%</v>
      </c>
      <c r="O222" s="9">
        <f>MIN($H222,$I222)*INDEX('2018_commission_structure'!$A$1:$I$4,MATCH($E222,'2018_commission_structure'!$A$1:$A$4,0),MATCH(O$1,'2018_commission_structure'!$A$1:$I$1,0))</f>
        <v>77957.23</v>
      </c>
      <c r="P222" s="9">
        <f>IF(H222&gt;I222, MIN(H222-I222, J222-I222)*INDEX('2018_commission_structure'!$A$1:$I$4,MATCH($E222,'2018_commission_structure'!$A$1:$A$4,0),MATCH(P$1,'2018_commission_structure'!$A$1:$I$1,0)),0)</f>
        <v>0</v>
      </c>
      <c r="Q222" s="9">
        <f>IF($H222&gt;J222, MIN($H222-J222, K222-J222)*INDEX('2018_commission_structure'!$A$1:$I$4,MATCH($E222,'2018_commission_structure'!$A$1:$A$4,0),MATCH(Q$1,'2018_commission_structure'!$A$1:$I$1,0)),0)</f>
        <v>0</v>
      </c>
      <c r="R222" s="9">
        <f>IF($H222&gt;K222, MIN($H222-K222, L222-K222)*INDEX('2018_commission_structure'!$A$1:$I$4,MATCH($E222,'2018_commission_structure'!$A$1:$A$4,0),MATCH(R$1,'2018_commission_structure'!$A$1:$I$1,0)),0)</f>
        <v>0</v>
      </c>
      <c r="S222" s="9">
        <f>IF(H222&gt;L222,(H222-L222)*INDEX('2018_commission_structure'!$A$1:$I$4,MATCH($E222,'2018_commission_structure'!$A$1:$A$4,0),MATCH(S$1,'2018_commission_structure'!$A$1:$I$1,0)),0)</f>
        <v>0</v>
      </c>
      <c r="T222" s="9">
        <f t="shared" si="36"/>
        <v>77957.23</v>
      </c>
      <c r="U222" s="9">
        <f t="shared" si="37"/>
        <v>133364.22999999998</v>
      </c>
      <c r="V222" s="9">
        <f>MIN($I222,$H222)*INDEX('Key Metrics'!$E$16:$N$19,MATCH($E222,'Key Metrics'!$E$16:$E$19,0),MATCH(V$1,'Key Metrics'!$E$16:$M$16,0))</f>
        <v>89950.65</v>
      </c>
      <c r="W222" s="9">
        <f>IF($H222&gt;I222, MIN($H222-I222, J222-I222)*INDEX('Key Metrics'!$E$16:$N$19,MATCH($E222,'Key Metrics'!$E$16:$E$19,0),MATCH(W$1,'Key Metrics'!$E$16:$M$16,0)),0)</f>
        <v>0</v>
      </c>
      <c r="X222" s="9">
        <f>IF($H222&gt;J222, MIN($H222-J222, K222-J222)*INDEX('Key Metrics'!$E$16:$N$19,MATCH($E222,'Key Metrics'!$E$16:$E$19,0),MATCH(X$1,'Key Metrics'!$E$16:$M$16,0)),0)</f>
        <v>0</v>
      </c>
      <c r="Y222" s="9">
        <f>IF($H222&gt;K222, MIN($H222-K222, L222-K222)*INDEX('Key Metrics'!$E$16:$N$19,MATCH($E222,'Key Metrics'!$E$16:$E$19,0),MATCH(Y$1,'Key Metrics'!$E$16:$M$16,0)),0)</f>
        <v>0</v>
      </c>
      <c r="Z222" s="9">
        <f>IF($H222&gt;L222,($H222-L222)*INDEX('Key Metrics'!$E$16:$N$19,MATCH($E222,'Key Metrics'!$E$16:$E$19,0),MATCH(Z$1,'Key Metrics'!$E$16:$M$16,0)),0)</f>
        <v>0</v>
      </c>
      <c r="AA222" s="9">
        <f t="shared" si="38"/>
        <v>89950.65</v>
      </c>
      <c r="AB222" s="9">
        <f t="shared" si="39"/>
        <v>89951.649451666657</v>
      </c>
    </row>
    <row r="223" spans="1:28" x14ac:dyDescent="0.55000000000000004">
      <c r="A223" t="str">
        <f t="shared" si="30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COUNTIF(deals_closed!$D$2:$D$20001,Calculations!B58)</f>
        <v>25</v>
      </c>
      <c r="H223" s="7">
        <f>SUMIF(deals_closed!$D:$D,Calculations!B58,deals_closed!$C:$C)</f>
        <v>959690</v>
      </c>
      <c r="I223" s="5">
        <f>VLOOKUP(E223,'2018_commission_structure'!$A$1:$I$4,9,FALSE)</f>
        <v>750000</v>
      </c>
      <c r="J223" s="9">
        <f t="shared" si="31"/>
        <v>937500</v>
      </c>
      <c r="K223" s="10">
        <f t="shared" si="32"/>
        <v>1125000</v>
      </c>
      <c r="L223" s="9">
        <f t="shared" si="33"/>
        <v>1500000</v>
      </c>
      <c r="M223" s="8">
        <f t="shared" si="34"/>
        <v>1.2795866666666667</v>
      </c>
      <c r="N223" t="str">
        <f t="shared" si="35"/>
        <v>125-150%</v>
      </c>
      <c r="O223" s="9">
        <f>MIN($H223,$I223)*INDEX('2018_commission_structure'!$A$1:$I$4,MATCH($E223,'2018_commission_structure'!$A$1:$A$4,0),MATCH(O$1,'2018_commission_structure'!$A$1:$I$1,0))</f>
        <v>112500</v>
      </c>
      <c r="P223" s="9">
        <f>IF(H223&gt;I223, MIN(H223-I223, J223-I223)*INDEX('2018_commission_structure'!$A$1:$I$4,MATCH($E223,'2018_commission_structure'!$A$1:$A$4,0),MATCH(P$1,'2018_commission_structure'!$A$1:$I$1,0)),0)</f>
        <v>35625</v>
      </c>
      <c r="Q223" s="9">
        <f>IF($H223&gt;J223, MIN($H223-J223, K223-J223)*INDEX('2018_commission_structure'!$A$1:$I$4,MATCH($E223,'2018_commission_structure'!$A$1:$A$4,0),MATCH(Q$1,'2018_commission_structure'!$A$1:$I$1,0)),0)</f>
        <v>5103.7</v>
      </c>
      <c r="R223" s="9">
        <f>IF($H223&gt;K223, MIN($H223-K223, L223-K223)*INDEX('2018_commission_structure'!$A$1:$I$4,MATCH($E223,'2018_commission_structure'!$A$1:$A$4,0),MATCH(R$1,'2018_commission_structure'!$A$1:$I$1,0)),0)</f>
        <v>0</v>
      </c>
      <c r="S223" s="9">
        <f>IF(H223&gt;L223,(H223-L223)*INDEX('2018_commission_structure'!$A$1:$I$4,MATCH($E223,'2018_commission_structure'!$A$1:$A$4,0),MATCH(S$1,'2018_commission_structure'!$A$1:$I$1,0)),0)</f>
        <v>0</v>
      </c>
      <c r="T223" s="9">
        <f t="shared" si="36"/>
        <v>153228.70000000001</v>
      </c>
      <c r="U223" s="9">
        <f t="shared" si="37"/>
        <v>257775.7</v>
      </c>
      <c r="V223" s="9">
        <f>MIN($I223,$H223)*INDEX('Key Metrics'!$E$16:$N$19,MATCH($E223,'Key Metrics'!$E$16:$E$19,0),MATCH(V$1,'Key Metrics'!$E$16:$M$16,0))</f>
        <v>112500</v>
      </c>
      <c r="W223" s="9">
        <f>IF($H223&gt;I223, MIN($H223-I223, J223-I223)*INDEX('Key Metrics'!$E$16:$N$19,MATCH($E223,'Key Metrics'!$E$16:$E$19,0),MATCH(W$1,'Key Metrics'!$E$16:$M$16,0)),0)</f>
        <v>41250</v>
      </c>
      <c r="X223" s="9">
        <f>IF($H223&gt;J223, MIN($H223-J223, K223-J223)*INDEX('Key Metrics'!$E$16:$N$19,MATCH($E223,'Key Metrics'!$E$16:$E$19,0),MATCH(X$1,'Key Metrics'!$E$16:$M$16,0)),0)</f>
        <v>5547.5</v>
      </c>
      <c r="Y223" s="9">
        <f>IF($H223&gt;K223, MIN($H223-K223, L223-K223)*INDEX('Key Metrics'!$E$16:$N$19,MATCH($E223,'Key Metrics'!$E$16:$E$19,0),MATCH(Y$1,'Key Metrics'!$E$16:$M$16,0)),0)</f>
        <v>0</v>
      </c>
      <c r="Z223" s="9">
        <f>IF($H223&gt;L223,($H223-L223)*INDEX('Key Metrics'!$E$16:$N$19,MATCH($E223,'Key Metrics'!$E$16:$E$19,0),MATCH(Z$1,'Key Metrics'!$E$16:$M$16,0)),0)</f>
        <v>0</v>
      </c>
      <c r="AA223" s="9">
        <f t="shared" si="38"/>
        <v>159297.5</v>
      </c>
      <c r="AB223" s="9">
        <f t="shared" si="39"/>
        <v>159298.77958666667</v>
      </c>
    </row>
    <row r="224" spans="1:28" x14ac:dyDescent="0.55000000000000004">
      <c r="A224" t="str">
        <f t="shared" si="30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COUNTIF(deals_closed!$D$2:$D$20001,Calculations!B212)</f>
        <v>16</v>
      </c>
      <c r="H224" s="7">
        <f>SUMIF(deals_closed!$D:$D,Calculations!B212,deals_closed!$C:$C)</f>
        <v>573666</v>
      </c>
      <c r="I224" s="5">
        <f>VLOOKUP(E224,'2018_commission_structure'!$A$1:$I$4,9,FALSE)</f>
        <v>600000</v>
      </c>
      <c r="J224" s="9">
        <f t="shared" si="31"/>
        <v>750000</v>
      </c>
      <c r="K224" s="10">
        <f t="shared" si="32"/>
        <v>900000</v>
      </c>
      <c r="L224" s="9">
        <f t="shared" si="33"/>
        <v>1200000</v>
      </c>
      <c r="M224" s="8">
        <f t="shared" si="34"/>
        <v>0.95611000000000002</v>
      </c>
      <c r="N224" t="str">
        <f t="shared" si="35"/>
        <v>0-100%</v>
      </c>
      <c r="O224" s="9">
        <f>MIN($H224,$I224)*INDEX('2018_commission_structure'!$A$1:$I$4,MATCH($E224,'2018_commission_structure'!$A$1:$A$4,0),MATCH(O$1,'2018_commission_structure'!$A$1:$I$1,0))</f>
        <v>74576.58</v>
      </c>
      <c r="P224" s="9">
        <f>IF(H224&gt;I224, MIN(H224-I224, J224-I224)*INDEX('2018_commission_structure'!$A$1:$I$4,MATCH($E224,'2018_commission_structure'!$A$1:$A$4,0),MATCH(P$1,'2018_commission_structure'!$A$1:$I$1,0)),0)</f>
        <v>0</v>
      </c>
      <c r="Q224" s="9">
        <f>IF($H224&gt;J224, MIN($H224-J224, K224-J224)*INDEX('2018_commission_structure'!$A$1:$I$4,MATCH($E224,'2018_commission_structure'!$A$1:$A$4,0),MATCH(Q$1,'2018_commission_structure'!$A$1:$I$1,0)),0)</f>
        <v>0</v>
      </c>
      <c r="R224" s="9">
        <f>IF($H224&gt;K224, MIN($H224-K224, L224-K224)*INDEX('2018_commission_structure'!$A$1:$I$4,MATCH($E224,'2018_commission_structure'!$A$1:$A$4,0),MATCH(R$1,'2018_commission_structure'!$A$1:$I$1,0)),0)</f>
        <v>0</v>
      </c>
      <c r="S224" s="9">
        <f>IF(H224&gt;L224,(H224-L224)*INDEX('2018_commission_structure'!$A$1:$I$4,MATCH($E224,'2018_commission_structure'!$A$1:$A$4,0),MATCH(S$1,'2018_commission_structure'!$A$1:$I$1,0)),0)</f>
        <v>0</v>
      </c>
      <c r="T224" s="9">
        <f t="shared" si="36"/>
        <v>74576.58</v>
      </c>
      <c r="U224" s="9">
        <f t="shared" si="37"/>
        <v>142766.58000000002</v>
      </c>
      <c r="V224" s="9">
        <f>MIN($I224,$H224)*INDEX('Key Metrics'!$E$16:$N$19,MATCH($E224,'Key Metrics'!$E$16:$E$19,0),MATCH(V$1,'Key Metrics'!$E$16:$M$16,0))</f>
        <v>86049.9</v>
      </c>
      <c r="W224" s="9">
        <f>IF($H224&gt;I224, MIN($H224-I224, J224-I224)*INDEX('Key Metrics'!$E$16:$N$19,MATCH($E224,'Key Metrics'!$E$16:$E$19,0),MATCH(W$1,'Key Metrics'!$E$16:$M$16,0)),0)</f>
        <v>0</v>
      </c>
      <c r="X224" s="9">
        <f>IF($H224&gt;J224, MIN($H224-J224, K224-J224)*INDEX('Key Metrics'!$E$16:$N$19,MATCH($E224,'Key Metrics'!$E$16:$E$19,0),MATCH(X$1,'Key Metrics'!$E$16:$M$16,0)),0)</f>
        <v>0</v>
      </c>
      <c r="Y224" s="9">
        <f>IF($H224&gt;K224, MIN($H224-K224, L224-K224)*INDEX('Key Metrics'!$E$16:$N$19,MATCH($E224,'Key Metrics'!$E$16:$E$19,0),MATCH(Y$1,'Key Metrics'!$E$16:$M$16,0)),0)</f>
        <v>0</v>
      </c>
      <c r="Z224" s="9">
        <f>IF($H224&gt;L224,($H224-L224)*INDEX('Key Metrics'!$E$16:$N$19,MATCH($E224,'Key Metrics'!$E$16:$E$19,0),MATCH(Z$1,'Key Metrics'!$E$16:$M$16,0)),0)</f>
        <v>0</v>
      </c>
      <c r="AA224" s="9">
        <f t="shared" si="38"/>
        <v>86049.9</v>
      </c>
      <c r="AB224" s="9">
        <f t="shared" si="39"/>
        <v>86050.856109999993</v>
      </c>
    </row>
    <row r="225" spans="1:28" x14ac:dyDescent="0.55000000000000004">
      <c r="A225" t="str">
        <f t="shared" si="30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COUNTIF(deals_closed!$D$2:$D$20001,Calculations!B831)</f>
        <v>19</v>
      </c>
      <c r="H225" s="7">
        <f>SUMIF(deals_closed!$D:$D,Calculations!B831,deals_closed!$C:$C)</f>
        <v>689635</v>
      </c>
      <c r="I225" s="5">
        <f>VLOOKUP(E225,'2018_commission_structure'!$A$1:$I$4,9,FALSE)</f>
        <v>500000</v>
      </c>
      <c r="J225" s="9">
        <f t="shared" si="31"/>
        <v>625000</v>
      </c>
      <c r="K225" s="10">
        <f t="shared" si="32"/>
        <v>750000</v>
      </c>
      <c r="L225" s="9">
        <f t="shared" si="33"/>
        <v>1000000</v>
      </c>
      <c r="M225" s="8">
        <f t="shared" si="34"/>
        <v>1.37927</v>
      </c>
      <c r="N225" t="str">
        <f t="shared" si="35"/>
        <v>125-150%</v>
      </c>
      <c r="O225" s="9">
        <f>MIN($H225,$I225)*INDEX('2018_commission_structure'!$A$1:$I$4,MATCH($E225,'2018_commission_structure'!$A$1:$A$4,0),MATCH(O$1,'2018_commission_structure'!$A$1:$I$1,0))</f>
        <v>50000</v>
      </c>
      <c r="P225" s="9">
        <f>IF(H225&gt;I225, MIN(H225-I225, J225-I225)*INDEX('2018_commission_structure'!$A$1:$I$4,MATCH($E225,'2018_commission_structure'!$A$1:$A$4,0),MATCH(P$1,'2018_commission_structure'!$A$1:$I$1,0)),0)</f>
        <v>18750</v>
      </c>
      <c r="Q225" s="9">
        <f>IF($H225&gt;J225, MIN($H225-J225, K225-J225)*INDEX('2018_commission_structure'!$A$1:$I$4,MATCH($E225,'2018_commission_structure'!$A$1:$A$4,0),MATCH(Q$1,'2018_commission_structure'!$A$1:$I$1,0)),0)</f>
        <v>11634.3</v>
      </c>
      <c r="R225" s="9">
        <f>IF($H225&gt;K225, MIN($H225-K225, L225-K225)*INDEX('2018_commission_structure'!$A$1:$I$4,MATCH($E225,'2018_commission_structure'!$A$1:$A$4,0),MATCH(R$1,'2018_commission_structure'!$A$1:$I$1,0)),0)</f>
        <v>0</v>
      </c>
      <c r="S225" s="9">
        <f>IF(H225&gt;L225,(H225-L225)*INDEX('2018_commission_structure'!$A$1:$I$4,MATCH($E225,'2018_commission_structure'!$A$1:$A$4,0),MATCH(S$1,'2018_commission_structure'!$A$1:$I$1,0)),0)</f>
        <v>0</v>
      </c>
      <c r="T225" s="9">
        <f t="shared" si="36"/>
        <v>80384.3</v>
      </c>
      <c r="U225" s="9">
        <f t="shared" si="37"/>
        <v>137579.29999999999</v>
      </c>
      <c r="V225" s="9">
        <f>MIN($I225,$H225)*INDEX('Key Metrics'!$E$16:$N$19,MATCH($E225,'Key Metrics'!$E$16:$E$19,0),MATCH(V$1,'Key Metrics'!$E$16:$M$16,0))</f>
        <v>60000</v>
      </c>
      <c r="W225" s="9">
        <f>IF($H225&gt;I225, MIN($H225-I225, J225-I225)*INDEX('Key Metrics'!$E$16:$N$19,MATCH($E225,'Key Metrics'!$E$16:$E$19,0),MATCH(W$1,'Key Metrics'!$E$16:$M$16,0)),0)</f>
        <v>21250</v>
      </c>
      <c r="X225" s="9">
        <f>IF($H225&gt;J225, MIN($H225-J225, K225-J225)*INDEX('Key Metrics'!$E$16:$N$19,MATCH($E225,'Key Metrics'!$E$16:$E$19,0),MATCH(X$1,'Key Metrics'!$E$16:$M$16,0)),0)</f>
        <v>12927</v>
      </c>
      <c r="Y225" s="9">
        <f>IF($H225&gt;K225, MIN($H225-K225, L225-K225)*INDEX('Key Metrics'!$E$16:$N$19,MATCH($E225,'Key Metrics'!$E$16:$E$19,0),MATCH(Y$1,'Key Metrics'!$E$16:$M$16,0)),0)</f>
        <v>0</v>
      </c>
      <c r="Z225" s="9">
        <f>IF($H225&gt;L225,($H225-L225)*INDEX('Key Metrics'!$E$16:$N$19,MATCH($E225,'Key Metrics'!$E$16:$E$19,0),MATCH(Z$1,'Key Metrics'!$E$16:$M$16,0)),0)</f>
        <v>0</v>
      </c>
      <c r="AA225" s="9">
        <f t="shared" si="38"/>
        <v>94177</v>
      </c>
      <c r="AB225" s="9">
        <f t="shared" si="39"/>
        <v>94178.379270000005</v>
      </c>
    </row>
    <row r="226" spans="1:28" x14ac:dyDescent="0.55000000000000004">
      <c r="A226" t="str">
        <f t="shared" si="30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COUNTIF(deals_closed!$D$2:$D$20001,Calculations!B199)</f>
        <v>13</v>
      </c>
      <c r="H226" s="7">
        <f>SUMIF(deals_closed!$D:$D,Calculations!B199,deals_closed!$C:$C)</f>
        <v>432502</v>
      </c>
      <c r="I226" s="5">
        <f>VLOOKUP(E226,'2018_commission_structure'!$A$1:$I$4,9,FALSE)</f>
        <v>500000</v>
      </c>
      <c r="J226" s="9">
        <f t="shared" si="31"/>
        <v>625000</v>
      </c>
      <c r="K226" s="10">
        <f t="shared" si="32"/>
        <v>750000</v>
      </c>
      <c r="L226" s="9">
        <f t="shared" si="33"/>
        <v>1000000</v>
      </c>
      <c r="M226" s="8">
        <f t="shared" si="34"/>
        <v>0.865004</v>
      </c>
      <c r="N226" t="str">
        <f t="shared" si="35"/>
        <v>0-100%</v>
      </c>
      <c r="O226" s="9">
        <f>MIN($H226,$I226)*INDEX('2018_commission_structure'!$A$1:$I$4,MATCH($E226,'2018_commission_structure'!$A$1:$A$4,0),MATCH(O$1,'2018_commission_structure'!$A$1:$I$1,0))</f>
        <v>43250.200000000004</v>
      </c>
      <c r="P226" s="9">
        <f>IF(H226&gt;I226, MIN(H226-I226, J226-I226)*INDEX('2018_commission_structure'!$A$1:$I$4,MATCH($E226,'2018_commission_structure'!$A$1:$A$4,0),MATCH(P$1,'2018_commission_structure'!$A$1:$I$1,0)),0)</f>
        <v>0</v>
      </c>
      <c r="Q226" s="9">
        <f>IF($H226&gt;J226, MIN($H226-J226, K226-J226)*INDEX('2018_commission_structure'!$A$1:$I$4,MATCH($E226,'2018_commission_structure'!$A$1:$A$4,0),MATCH(Q$1,'2018_commission_structure'!$A$1:$I$1,0)),0)</f>
        <v>0</v>
      </c>
      <c r="R226" s="9">
        <f>IF($H226&gt;K226, MIN($H226-K226, L226-K226)*INDEX('2018_commission_structure'!$A$1:$I$4,MATCH($E226,'2018_commission_structure'!$A$1:$A$4,0),MATCH(R$1,'2018_commission_structure'!$A$1:$I$1,0)),0)</f>
        <v>0</v>
      </c>
      <c r="S226" s="9">
        <f>IF(H226&gt;L226,(H226-L226)*INDEX('2018_commission_structure'!$A$1:$I$4,MATCH($E226,'2018_commission_structure'!$A$1:$A$4,0),MATCH(S$1,'2018_commission_structure'!$A$1:$I$1,0)),0)</f>
        <v>0</v>
      </c>
      <c r="T226" s="9">
        <f t="shared" si="36"/>
        <v>43250.200000000004</v>
      </c>
      <c r="U226" s="9">
        <f t="shared" si="37"/>
        <v>95834.200000000012</v>
      </c>
      <c r="V226" s="9">
        <f>MIN($I226,$H226)*INDEX('Key Metrics'!$E$16:$N$19,MATCH($E226,'Key Metrics'!$E$16:$E$19,0),MATCH(V$1,'Key Metrics'!$E$16:$M$16,0))</f>
        <v>51900.24</v>
      </c>
      <c r="W226" s="9">
        <f>IF($H226&gt;I226, MIN($H226-I226, J226-I226)*INDEX('Key Metrics'!$E$16:$N$19,MATCH($E226,'Key Metrics'!$E$16:$E$19,0),MATCH(W$1,'Key Metrics'!$E$16:$M$16,0)),0)</f>
        <v>0</v>
      </c>
      <c r="X226" s="9">
        <f>IF($H226&gt;J226, MIN($H226-J226, K226-J226)*INDEX('Key Metrics'!$E$16:$N$19,MATCH($E226,'Key Metrics'!$E$16:$E$19,0),MATCH(X$1,'Key Metrics'!$E$16:$M$16,0)),0)</f>
        <v>0</v>
      </c>
      <c r="Y226" s="9">
        <f>IF($H226&gt;K226, MIN($H226-K226, L226-K226)*INDEX('Key Metrics'!$E$16:$N$19,MATCH($E226,'Key Metrics'!$E$16:$E$19,0),MATCH(Y$1,'Key Metrics'!$E$16:$M$16,0)),0)</f>
        <v>0</v>
      </c>
      <c r="Z226" s="9">
        <f>IF($H226&gt;L226,($H226-L226)*INDEX('Key Metrics'!$E$16:$N$19,MATCH($E226,'Key Metrics'!$E$16:$E$19,0),MATCH(Z$1,'Key Metrics'!$E$16:$M$16,0)),0)</f>
        <v>0</v>
      </c>
      <c r="AA226" s="9">
        <f t="shared" si="38"/>
        <v>51900.24</v>
      </c>
      <c r="AB226" s="9">
        <f t="shared" si="39"/>
        <v>51901.105003999997</v>
      </c>
    </row>
    <row r="227" spans="1:28" x14ac:dyDescent="0.55000000000000004">
      <c r="A227" t="str">
        <f t="shared" si="30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COUNTIF(deals_closed!$D$2:$D$20001,Calculations!B484)</f>
        <v>19</v>
      </c>
      <c r="H227" s="7">
        <f>SUMIF(deals_closed!$D:$D,Calculations!B484,deals_closed!$C:$C)</f>
        <v>667421</v>
      </c>
      <c r="I227" s="5">
        <f>VLOOKUP(E227,'2018_commission_structure'!$A$1:$I$4,9,FALSE)</f>
        <v>600000</v>
      </c>
      <c r="J227" s="9">
        <f t="shared" si="31"/>
        <v>750000</v>
      </c>
      <c r="K227" s="10">
        <f t="shared" si="32"/>
        <v>900000</v>
      </c>
      <c r="L227" s="9">
        <f t="shared" si="33"/>
        <v>1200000</v>
      </c>
      <c r="M227" s="8">
        <f t="shared" si="34"/>
        <v>1.1123683333333334</v>
      </c>
      <c r="N227" t="str">
        <f t="shared" si="35"/>
        <v>100-125%</v>
      </c>
      <c r="O227" s="9">
        <f>MIN($H227,$I227)*INDEX('2018_commission_structure'!$A$1:$I$4,MATCH($E227,'2018_commission_structure'!$A$1:$A$4,0),MATCH(O$1,'2018_commission_structure'!$A$1:$I$1,0))</f>
        <v>78000</v>
      </c>
      <c r="P227" s="9">
        <f>IF(H227&gt;I227, MIN(H227-I227, J227-I227)*INDEX('2018_commission_structure'!$A$1:$I$4,MATCH($E227,'2018_commission_structure'!$A$1:$A$4,0),MATCH(P$1,'2018_commission_structure'!$A$1:$I$1,0)),0)</f>
        <v>11461.570000000002</v>
      </c>
      <c r="Q227" s="9">
        <f>IF($H227&gt;J227, MIN($H227-J227, K227-J227)*INDEX('2018_commission_structure'!$A$1:$I$4,MATCH($E227,'2018_commission_structure'!$A$1:$A$4,0),MATCH(Q$1,'2018_commission_structure'!$A$1:$I$1,0)),0)</f>
        <v>0</v>
      </c>
      <c r="R227" s="9">
        <f>IF($H227&gt;K227, MIN($H227-K227, L227-K227)*INDEX('2018_commission_structure'!$A$1:$I$4,MATCH($E227,'2018_commission_structure'!$A$1:$A$4,0),MATCH(R$1,'2018_commission_structure'!$A$1:$I$1,0)),0)</f>
        <v>0</v>
      </c>
      <c r="S227" s="9">
        <f>IF(H227&gt;L227,(H227-L227)*INDEX('2018_commission_structure'!$A$1:$I$4,MATCH($E227,'2018_commission_structure'!$A$1:$A$4,0),MATCH(S$1,'2018_commission_structure'!$A$1:$I$1,0)),0)</f>
        <v>0</v>
      </c>
      <c r="T227" s="9">
        <f t="shared" si="36"/>
        <v>89461.57</v>
      </c>
      <c r="U227" s="9">
        <f t="shared" si="37"/>
        <v>151721.57</v>
      </c>
      <c r="V227" s="9">
        <f>MIN($I227,$H227)*INDEX('Key Metrics'!$E$16:$N$19,MATCH($E227,'Key Metrics'!$E$16:$E$19,0),MATCH(V$1,'Key Metrics'!$E$16:$M$16,0))</f>
        <v>90000</v>
      </c>
      <c r="W227" s="9">
        <f>IF($H227&gt;I227, MIN($H227-I227, J227-I227)*INDEX('Key Metrics'!$E$16:$N$19,MATCH($E227,'Key Metrics'!$E$16:$E$19,0),MATCH(W$1,'Key Metrics'!$E$16:$M$16,0)),0)</f>
        <v>12135.779999999999</v>
      </c>
      <c r="X227" s="9">
        <f>IF($H227&gt;J227, MIN($H227-J227, K227-J227)*INDEX('Key Metrics'!$E$16:$N$19,MATCH($E227,'Key Metrics'!$E$16:$E$19,0),MATCH(X$1,'Key Metrics'!$E$16:$M$16,0)),0)</f>
        <v>0</v>
      </c>
      <c r="Y227" s="9">
        <f>IF($H227&gt;K227, MIN($H227-K227, L227-K227)*INDEX('Key Metrics'!$E$16:$N$19,MATCH($E227,'Key Metrics'!$E$16:$E$19,0),MATCH(Y$1,'Key Metrics'!$E$16:$M$16,0)),0)</f>
        <v>0</v>
      </c>
      <c r="Z227" s="9">
        <f>IF($H227&gt;L227,($H227-L227)*INDEX('Key Metrics'!$E$16:$N$19,MATCH($E227,'Key Metrics'!$E$16:$E$19,0),MATCH(Z$1,'Key Metrics'!$E$16:$M$16,0)),0)</f>
        <v>0</v>
      </c>
      <c r="AA227" s="9">
        <f t="shared" si="38"/>
        <v>102135.78</v>
      </c>
      <c r="AB227" s="9">
        <f t="shared" si="39"/>
        <v>102136.89236833333</v>
      </c>
    </row>
    <row r="228" spans="1:28" x14ac:dyDescent="0.55000000000000004">
      <c r="A228" t="str">
        <f t="shared" si="30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COUNTIF(deals_closed!$D$2:$D$20001,Calculations!B995)</f>
        <v>20</v>
      </c>
      <c r="H228" s="7">
        <f>SUMIF(deals_closed!$D:$D,Calculations!B995,deals_closed!$C:$C)</f>
        <v>697052</v>
      </c>
      <c r="I228" s="5">
        <f>VLOOKUP(E228,'2018_commission_structure'!$A$1:$I$4,9,FALSE)</f>
        <v>750000</v>
      </c>
      <c r="J228" s="9">
        <f t="shared" si="31"/>
        <v>937500</v>
      </c>
      <c r="K228" s="10">
        <f t="shared" si="32"/>
        <v>1125000</v>
      </c>
      <c r="L228" s="9">
        <f t="shared" si="33"/>
        <v>1500000</v>
      </c>
      <c r="M228" s="8">
        <f t="shared" si="34"/>
        <v>0.92940266666666671</v>
      </c>
      <c r="N228" t="str">
        <f t="shared" si="35"/>
        <v>0-100%</v>
      </c>
      <c r="O228" s="9">
        <f>MIN($H228,$I228)*INDEX('2018_commission_structure'!$A$1:$I$4,MATCH($E228,'2018_commission_structure'!$A$1:$A$4,0),MATCH(O$1,'2018_commission_structure'!$A$1:$I$1,0))</f>
        <v>104557.8</v>
      </c>
      <c r="P228" s="9">
        <f>IF(H228&gt;I228, MIN(H228-I228, J228-I228)*INDEX('2018_commission_structure'!$A$1:$I$4,MATCH($E228,'2018_commission_structure'!$A$1:$A$4,0),MATCH(P$1,'2018_commission_structure'!$A$1:$I$1,0)),0)</f>
        <v>0</v>
      </c>
      <c r="Q228" s="9">
        <f>IF($H228&gt;J228, MIN($H228-J228, K228-J228)*INDEX('2018_commission_structure'!$A$1:$I$4,MATCH($E228,'2018_commission_structure'!$A$1:$A$4,0),MATCH(Q$1,'2018_commission_structure'!$A$1:$I$1,0)),0)</f>
        <v>0</v>
      </c>
      <c r="R228" s="9">
        <f>IF($H228&gt;K228, MIN($H228-K228, L228-K228)*INDEX('2018_commission_structure'!$A$1:$I$4,MATCH($E228,'2018_commission_structure'!$A$1:$A$4,0),MATCH(R$1,'2018_commission_structure'!$A$1:$I$1,0)),0)</f>
        <v>0</v>
      </c>
      <c r="S228" s="9">
        <f>IF(H228&gt;L228,(H228-L228)*INDEX('2018_commission_structure'!$A$1:$I$4,MATCH($E228,'2018_commission_structure'!$A$1:$A$4,0),MATCH(S$1,'2018_commission_structure'!$A$1:$I$1,0)),0)</f>
        <v>0</v>
      </c>
      <c r="T228" s="9">
        <f t="shared" si="36"/>
        <v>104557.8</v>
      </c>
      <c r="U228" s="9">
        <f t="shared" si="37"/>
        <v>217878.8</v>
      </c>
      <c r="V228" s="9">
        <f>MIN($I228,$H228)*INDEX('Key Metrics'!$E$16:$N$19,MATCH($E228,'Key Metrics'!$E$16:$E$19,0),MATCH(V$1,'Key Metrics'!$E$16:$M$16,0))</f>
        <v>104557.8</v>
      </c>
      <c r="W228" s="9">
        <f>IF($H228&gt;I228, MIN($H228-I228, J228-I228)*INDEX('Key Metrics'!$E$16:$N$19,MATCH($E228,'Key Metrics'!$E$16:$E$19,0),MATCH(W$1,'Key Metrics'!$E$16:$M$16,0)),0)</f>
        <v>0</v>
      </c>
      <c r="X228" s="9">
        <f>IF($H228&gt;J228, MIN($H228-J228, K228-J228)*INDEX('Key Metrics'!$E$16:$N$19,MATCH($E228,'Key Metrics'!$E$16:$E$19,0),MATCH(X$1,'Key Metrics'!$E$16:$M$16,0)),0)</f>
        <v>0</v>
      </c>
      <c r="Y228" s="9">
        <f>IF($H228&gt;K228, MIN($H228-K228, L228-K228)*INDEX('Key Metrics'!$E$16:$N$19,MATCH($E228,'Key Metrics'!$E$16:$E$19,0),MATCH(Y$1,'Key Metrics'!$E$16:$M$16,0)),0)</f>
        <v>0</v>
      </c>
      <c r="Z228" s="9">
        <f>IF($H228&gt;L228,($H228-L228)*INDEX('Key Metrics'!$E$16:$N$19,MATCH($E228,'Key Metrics'!$E$16:$E$19,0),MATCH(Z$1,'Key Metrics'!$E$16:$M$16,0)),0)</f>
        <v>0</v>
      </c>
      <c r="AA228" s="9">
        <f t="shared" si="38"/>
        <v>104557.8</v>
      </c>
      <c r="AB228" s="9">
        <f t="shared" si="39"/>
        <v>104558.72940266666</v>
      </c>
    </row>
    <row r="229" spans="1:28" x14ac:dyDescent="0.55000000000000004">
      <c r="A229" t="str">
        <f t="shared" si="30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COUNTIF(deals_closed!$D$2:$D$20001,Calculations!B113)</f>
        <v>7</v>
      </c>
      <c r="H229" s="7">
        <f>SUMIF(deals_closed!$D:$D,Calculations!B113,deals_closed!$C:$C)</f>
        <v>334109</v>
      </c>
      <c r="I229" s="5">
        <f>VLOOKUP(E229,'2018_commission_structure'!$A$1:$I$4,9,FALSE)</f>
        <v>600000</v>
      </c>
      <c r="J229" s="9">
        <f t="shared" si="31"/>
        <v>750000</v>
      </c>
      <c r="K229" s="10">
        <f t="shared" si="32"/>
        <v>900000</v>
      </c>
      <c r="L229" s="9">
        <f t="shared" si="33"/>
        <v>1200000</v>
      </c>
      <c r="M229" s="8">
        <f t="shared" si="34"/>
        <v>0.55684833333333328</v>
      </c>
      <c r="N229" t="str">
        <f t="shared" si="35"/>
        <v>0-100%</v>
      </c>
      <c r="O229" s="9">
        <f>MIN($H229,$I229)*INDEX('2018_commission_structure'!$A$1:$I$4,MATCH($E229,'2018_commission_structure'!$A$1:$A$4,0),MATCH(O$1,'2018_commission_structure'!$A$1:$I$1,0))</f>
        <v>43434.17</v>
      </c>
      <c r="P229" s="9">
        <f>IF(H229&gt;I229, MIN(H229-I229, J229-I229)*INDEX('2018_commission_structure'!$A$1:$I$4,MATCH($E229,'2018_commission_structure'!$A$1:$A$4,0),MATCH(P$1,'2018_commission_structure'!$A$1:$I$1,0)),0)</f>
        <v>0</v>
      </c>
      <c r="Q229" s="9">
        <f>IF($H229&gt;J229, MIN($H229-J229, K229-J229)*INDEX('2018_commission_structure'!$A$1:$I$4,MATCH($E229,'2018_commission_structure'!$A$1:$A$4,0),MATCH(Q$1,'2018_commission_structure'!$A$1:$I$1,0)),0)</f>
        <v>0</v>
      </c>
      <c r="R229" s="9">
        <f>IF($H229&gt;K229, MIN($H229-K229, L229-K229)*INDEX('2018_commission_structure'!$A$1:$I$4,MATCH($E229,'2018_commission_structure'!$A$1:$A$4,0),MATCH(R$1,'2018_commission_structure'!$A$1:$I$1,0)),0)</f>
        <v>0</v>
      </c>
      <c r="S229" s="9">
        <f>IF(H229&gt;L229,(H229-L229)*INDEX('2018_commission_structure'!$A$1:$I$4,MATCH($E229,'2018_commission_structure'!$A$1:$A$4,0),MATCH(S$1,'2018_commission_structure'!$A$1:$I$1,0)),0)</f>
        <v>0</v>
      </c>
      <c r="T229" s="9">
        <f t="shared" si="36"/>
        <v>43434.17</v>
      </c>
      <c r="U229" s="9">
        <f t="shared" si="37"/>
        <v>110458.17</v>
      </c>
      <c r="V229" s="9">
        <f>MIN($I229,$H229)*INDEX('Key Metrics'!$E$16:$N$19,MATCH($E229,'Key Metrics'!$E$16:$E$19,0),MATCH(V$1,'Key Metrics'!$E$16:$M$16,0))</f>
        <v>50116.35</v>
      </c>
      <c r="W229" s="9">
        <f>IF($H229&gt;I229, MIN($H229-I229, J229-I229)*INDEX('Key Metrics'!$E$16:$N$19,MATCH($E229,'Key Metrics'!$E$16:$E$19,0),MATCH(W$1,'Key Metrics'!$E$16:$M$16,0)),0)</f>
        <v>0</v>
      </c>
      <c r="X229" s="9">
        <f>IF($H229&gt;J229, MIN($H229-J229, K229-J229)*INDEX('Key Metrics'!$E$16:$N$19,MATCH($E229,'Key Metrics'!$E$16:$E$19,0),MATCH(X$1,'Key Metrics'!$E$16:$M$16,0)),0)</f>
        <v>0</v>
      </c>
      <c r="Y229" s="9">
        <f>IF($H229&gt;K229, MIN($H229-K229, L229-K229)*INDEX('Key Metrics'!$E$16:$N$19,MATCH($E229,'Key Metrics'!$E$16:$E$19,0),MATCH(Y$1,'Key Metrics'!$E$16:$M$16,0)),0)</f>
        <v>0</v>
      </c>
      <c r="Z229" s="9">
        <f>IF($H229&gt;L229,($H229-L229)*INDEX('Key Metrics'!$E$16:$N$19,MATCH($E229,'Key Metrics'!$E$16:$E$19,0),MATCH(Z$1,'Key Metrics'!$E$16:$M$16,0)),0)</f>
        <v>0</v>
      </c>
      <c r="AA229" s="9">
        <f t="shared" si="38"/>
        <v>50116.35</v>
      </c>
      <c r="AB229" s="9">
        <f t="shared" si="39"/>
        <v>50116.906848333332</v>
      </c>
    </row>
    <row r="230" spans="1:28" x14ac:dyDescent="0.55000000000000004">
      <c r="A230" t="str">
        <f t="shared" si="30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COUNTIF(deals_closed!$D$2:$D$20001,Calculations!B248)</f>
        <v>24</v>
      </c>
      <c r="H230" s="7">
        <f>SUMIF(deals_closed!$D:$D,Calculations!B248,deals_closed!$C:$C)</f>
        <v>769447</v>
      </c>
      <c r="I230" s="5">
        <f>VLOOKUP(E230,'2018_commission_structure'!$A$1:$I$4,9,FALSE)</f>
        <v>600000</v>
      </c>
      <c r="J230" s="9">
        <f t="shared" si="31"/>
        <v>750000</v>
      </c>
      <c r="K230" s="10">
        <f t="shared" si="32"/>
        <v>900000</v>
      </c>
      <c r="L230" s="9">
        <f t="shared" si="33"/>
        <v>1200000</v>
      </c>
      <c r="M230" s="8">
        <f t="shared" si="34"/>
        <v>1.2824116666666667</v>
      </c>
      <c r="N230" t="str">
        <f t="shared" si="35"/>
        <v>125-150%</v>
      </c>
      <c r="O230" s="9">
        <f>MIN($H230,$I230)*INDEX('2018_commission_structure'!$A$1:$I$4,MATCH($E230,'2018_commission_structure'!$A$1:$A$4,0),MATCH(O$1,'2018_commission_structure'!$A$1:$I$1,0))</f>
        <v>78000</v>
      </c>
      <c r="P230" s="9">
        <f>IF(H230&gt;I230, MIN(H230-I230, J230-I230)*INDEX('2018_commission_structure'!$A$1:$I$4,MATCH($E230,'2018_commission_structure'!$A$1:$A$4,0),MATCH(P$1,'2018_commission_structure'!$A$1:$I$1,0)),0)</f>
        <v>25500.000000000004</v>
      </c>
      <c r="Q230" s="9">
        <f>IF($H230&gt;J230, MIN($H230-J230, K230-J230)*INDEX('2018_commission_structure'!$A$1:$I$4,MATCH($E230,'2018_commission_structure'!$A$1:$A$4,0),MATCH(Q$1,'2018_commission_structure'!$A$1:$I$1,0)),0)</f>
        <v>4083.87</v>
      </c>
      <c r="R230" s="9">
        <f>IF($H230&gt;K230, MIN($H230-K230, L230-K230)*INDEX('2018_commission_structure'!$A$1:$I$4,MATCH($E230,'2018_commission_structure'!$A$1:$A$4,0),MATCH(R$1,'2018_commission_structure'!$A$1:$I$1,0)),0)</f>
        <v>0</v>
      </c>
      <c r="S230" s="9">
        <f>IF(H230&gt;L230,(H230-L230)*INDEX('2018_commission_structure'!$A$1:$I$4,MATCH($E230,'2018_commission_structure'!$A$1:$A$4,0),MATCH(S$1,'2018_commission_structure'!$A$1:$I$1,0)),0)</f>
        <v>0</v>
      </c>
      <c r="T230" s="9">
        <f t="shared" si="36"/>
        <v>107583.87</v>
      </c>
      <c r="U230" s="9">
        <f t="shared" si="37"/>
        <v>158345.87</v>
      </c>
      <c r="V230" s="9">
        <f>MIN($I230,$H230)*INDEX('Key Metrics'!$E$16:$N$19,MATCH($E230,'Key Metrics'!$E$16:$E$19,0),MATCH(V$1,'Key Metrics'!$E$16:$M$16,0))</f>
        <v>90000</v>
      </c>
      <c r="W230" s="9">
        <f>IF($H230&gt;I230, MIN($H230-I230, J230-I230)*INDEX('Key Metrics'!$E$16:$N$19,MATCH($E230,'Key Metrics'!$E$16:$E$19,0),MATCH(W$1,'Key Metrics'!$E$16:$M$16,0)),0)</f>
        <v>27000</v>
      </c>
      <c r="X230" s="9">
        <f>IF($H230&gt;J230, MIN($H230-J230, K230-J230)*INDEX('Key Metrics'!$E$16:$N$19,MATCH($E230,'Key Metrics'!$E$16:$E$19,0),MATCH(X$1,'Key Metrics'!$E$16:$M$16,0)),0)</f>
        <v>4861.75</v>
      </c>
      <c r="Y230" s="9">
        <f>IF($H230&gt;K230, MIN($H230-K230, L230-K230)*INDEX('Key Metrics'!$E$16:$N$19,MATCH($E230,'Key Metrics'!$E$16:$E$19,0),MATCH(Y$1,'Key Metrics'!$E$16:$M$16,0)),0)</f>
        <v>0</v>
      </c>
      <c r="Z230" s="9">
        <f>IF($H230&gt;L230,($H230-L230)*INDEX('Key Metrics'!$E$16:$N$19,MATCH($E230,'Key Metrics'!$E$16:$E$19,0),MATCH(Z$1,'Key Metrics'!$E$16:$M$16,0)),0)</f>
        <v>0</v>
      </c>
      <c r="AA230" s="9">
        <f t="shared" si="38"/>
        <v>121861.75</v>
      </c>
      <c r="AB230" s="9">
        <f t="shared" si="39"/>
        <v>121863.03241166666</v>
      </c>
    </row>
    <row r="231" spans="1:28" x14ac:dyDescent="0.55000000000000004">
      <c r="A231" t="str">
        <f t="shared" si="30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COUNTIF(deals_closed!$D$2:$D$20001,Calculations!B843)</f>
        <v>22</v>
      </c>
      <c r="H231" s="7">
        <f>SUMIF(deals_closed!$D:$D,Calculations!B843,deals_closed!$C:$C)</f>
        <v>789839</v>
      </c>
      <c r="I231" s="5">
        <f>VLOOKUP(E231,'2018_commission_structure'!$A$1:$I$4,9,FALSE)</f>
        <v>750000</v>
      </c>
      <c r="J231" s="9">
        <f t="shared" si="31"/>
        <v>937500</v>
      </c>
      <c r="K231" s="10">
        <f t="shared" si="32"/>
        <v>1125000</v>
      </c>
      <c r="L231" s="9">
        <f t="shared" si="33"/>
        <v>1500000</v>
      </c>
      <c r="M231" s="8">
        <f t="shared" si="34"/>
        <v>1.0531186666666668</v>
      </c>
      <c r="N231" t="str">
        <f t="shared" si="35"/>
        <v>100-125%</v>
      </c>
      <c r="O231" s="9">
        <f>MIN($H231,$I231)*INDEX('2018_commission_structure'!$A$1:$I$4,MATCH($E231,'2018_commission_structure'!$A$1:$A$4,0),MATCH(O$1,'2018_commission_structure'!$A$1:$I$1,0))</f>
        <v>112500</v>
      </c>
      <c r="P231" s="9">
        <f>IF(H231&gt;I231, MIN(H231-I231, J231-I231)*INDEX('2018_commission_structure'!$A$1:$I$4,MATCH($E231,'2018_commission_structure'!$A$1:$A$4,0),MATCH(P$1,'2018_commission_structure'!$A$1:$I$1,0)),0)</f>
        <v>7569.41</v>
      </c>
      <c r="Q231" s="9">
        <f>IF($H231&gt;J231, MIN($H231-J231, K231-J231)*INDEX('2018_commission_structure'!$A$1:$I$4,MATCH($E231,'2018_commission_structure'!$A$1:$A$4,0),MATCH(Q$1,'2018_commission_structure'!$A$1:$I$1,0)),0)</f>
        <v>0</v>
      </c>
      <c r="R231" s="9">
        <f>IF($H231&gt;K231, MIN($H231-K231, L231-K231)*INDEX('2018_commission_structure'!$A$1:$I$4,MATCH($E231,'2018_commission_structure'!$A$1:$A$4,0),MATCH(R$1,'2018_commission_structure'!$A$1:$I$1,0)),0)</f>
        <v>0</v>
      </c>
      <c r="S231" s="9">
        <f>IF(H231&gt;L231,(H231-L231)*INDEX('2018_commission_structure'!$A$1:$I$4,MATCH($E231,'2018_commission_structure'!$A$1:$A$4,0),MATCH(S$1,'2018_commission_structure'!$A$1:$I$1,0)),0)</f>
        <v>0</v>
      </c>
      <c r="T231" s="9">
        <f t="shared" si="36"/>
        <v>120069.41</v>
      </c>
      <c r="U231" s="9">
        <f t="shared" si="37"/>
        <v>209841.41</v>
      </c>
      <c r="V231" s="9">
        <f>MIN($I231,$H231)*INDEX('Key Metrics'!$E$16:$N$19,MATCH($E231,'Key Metrics'!$E$16:$E$19,0),MATCH(V$1,'Key Metrics'!$E$16:$M$16,0))</f>
        <v>112500</v>
      </c>
      <c r="W231" s="9">
        <f>IF($H231&gt;I231, MIN($H231-I231, J231-I231)*INDEX('Key Metrics'!$E$16:$N$19,MATCH($E231,'Key Metrics'!$E$16:$E$19,0),MATCH(W$1,'Key Metrics'!$E$16:$M$16,0)),0)</f>
        <v>8764.58</v>
      </c>
      <c r="X231" s="9">
        <f>IF($H231&gt;J231, MIN($H231-J231, K231-J231)*INDEX('Key Metrics'!$E$16:$N$19,MATCH($E231,'Key Metrics'!$E$16:$E$19,0),MATCH(X$1,'Key Metrics'!$E$16:$M$16,0)),0)</f>
        <v>0</v>
      </c>
      <c r="Y231" s="9">
        <f>IF($H231&gt;K231, MIN($H231-K231, L231-K231)*INDEX('Key Metrics'!$E$16:$N$19,MATCH($E231,'Key Metrics'!$E$16:$E$19,0),MATCH(Y$1,'Key Metrics'!$E$16:$M$16,0)),0)</f>
        <v>0</v>
      </c>
      <c r="Z231" s="9">
        <f>IF($H231&gt;L231,($H231-L231)*INDEX('Key Metrics'!$E$16:$N$19,MATCH($E231,'Key Metrics'!$E$16:$E$19,0),MATCH(Z$1,'Key Metrics'!$E$16:$M$16,0)),0)</f>
        <v>0</v>
      </c>
      <c r="AA231" s="9">
        <f t="shared" si="38"/>
        <v>121264.58</v>
      </c>
      <c r="AB231" s="9">
        <f t="shared" si="39"/>
        <v>121265.63311866666</v>
      </c>
    </row>
    <row r="232" spans="1:28" x14ac:dyDescent="0.55000000000000004">
      <c r="A232" t="str">
        <f t="shared" si="30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COUNTIF(deals_closed!$D$2:$D$20001,Calculations!B77)</f>
        <v>14</v>
      </c>
      <c r="H232" s="7">
        <f>SUMIF(deals_closed!$D:$D,Calculations!B77,deals_closed!$C:$C)</f>
        <v>414266</v>
      </c>
      <c r="I232" s="5">
        <f>VLOOKUP(E232,'2018_commission_structure'!$A$1:$I$4,9,FALSE)</f>
        <v>750000</v>
      </c>
      <c r="J232" s="9">
        <f t="shared" si="31"/>
        <v>937500</v>
      </c>
      <c r="K232" s="10">
        <f t="shared" si="32"/>
        <v>1125000</v>
      </c>
      <c r="L232" s="9">
        <f t="shared" si="33"/>
        <v>1500000</v>
      </c>
      <c r="M232" s="8">
        <f t="shared" si="34"/>
        <v>0.55235466666666666</v>
      </c>
      <c r="N232" t="str">
        <f t="shared" si="35"/>
        <v>0-100%</v>
      </c>
      <c r="O232" s="9">
        <f>MIN($H232,$I232)*INDEX('2018_commission_structure'!$A$1:$I$4,MATCH($E232,'2018_commission_structure'!$A$1:$A$4,0),MATCH(O$1,'2018_commission_structure'!$A$1:$I$1,0))</f>
        <v>62139.899999999994</v>
      </c>
      <c r="P232" s="9">
        <f>IF(H232&gt;I232, MIN(H232-I232, J232-I232)*INDEX('2018_commission_structure'!$A$1:$I$4,MATCH($E232,'2018_commission_structure'!$A$1:$A$4,0),MATCH(P$1,'2018_commission_structure'!$A$1:$I$1,0)),0)</f>
        <v>0</v>
      </c>
      <c r="Q232" s="9">
        <f>IF($H232&gt;J232, MIN($H232-J232, K232-J232)*INDEX('2018_commission_structure'!$A$1:$I$4,MATCH($E232,'2018_commission_structure'!$A$1:$A$4,0),MATCH(Q$1,'2018_commission_structure'!$A$1:$I$1,0)),0)</f>
        <v>0</v>
      </c>
      <c r="R232" s="9">
        <f>IF($H232&gt;K232, MIN($H232-K232, L232-K232)*INDEX('2018_commission_structure'!$A$1:$I$4,MATCH($E232,'2018_commission_structure'!$A$1:$A$4,0),MATCH(R$1,'2018_commission_structure'!$A$1:$I$1,0)),0)</f>
        <v>0</v>
      </c>
      <c r="S232" s="9">
        <f>IF(H232&gt;L232,(H232-L232)*INDEX('2018_commission_structure'!$A$1:$I$4,MATCH($E232,'2018_commission_structure'!$A$1:$A$4,0),MATCH(S$1,'2018_commission_structure'!$A$1:$I$1,0)),0)</f>
        <v>0</v>
      </c>
      <c r="T232" s="9">
        <f t="shared" si="36"/>
        <v>62139.899999999994</v>
      </c>
      <c r="U232" s="9">
        <f t="shared" si="37"/>
        <v>156456.9</v>
      </c>
      <c r="V232" s="9">
        <f>MIN($I232,$H232)*INDEX('Key Metrics'!$E$16:$N$19,MATCH($E232,'Key Metrics'!$E$16:$E$19,0),MATCH(V$1,'Key Metrics'!$E$16:$M$16,0))</f>
        <v>62139.899999999994</v>
      </c>
      <c r="W232" s="9">
        <f>IF($H232&gt;I232, MIN($H232-I232, J232-I232)*INDEX('Key Metrics'!$E$16:$N$19,MATCH($E232,'Key Metrics'!$E$16:$E$19,0),MATCH(W$1,'Key Metrics'!$E$16:$M$16,0)),0)</f>
        <v>0</v>
      </c>
      <c r="X232" s="9">
        <f>IF($H232&gt;J232, MIN($H232-J232, K232-J232)*INDEX('Key Metrics'!$E$16:$N$19,MATCH($E232,'Key Metrics'!$E$16:$E$19,0),MATCH(X$1,'Key Metrics'!$E$16:$M$16,0)),0)</f>
        <v>0</v>
      </c>
      <c r="Y232" s="9">
        <f>IF($H232&gt;K232, MIN($H232-K232, L232-K232)*INDEX('Key Metrics'!$E$16:$N$19,MATCH($E232,'Key Metrics'!$E$16:$E$19,0),MATCH(Y$1,'Key Metrics'!$E$16:$M$16,0)),0)</f>
        <v>0</v>
      </c>
      <c r="Z232" s="9">
        <f>IF($H232&gt;L232,($H232-L232)*INDEX('Key Metrics'!$E$16:$N$19,MATCH($E232,'Key Metrics'!$E$16:$E$19,0),MATCH(Z$1,'Key Metrics'!$E$16:$M$16,0)),0)</f>
        <v>0</v>
      </c>
      <c r="AA232" s="9">
        <f t="shared" si="38"/>
        <v>62139.899999999994</v>
      </c>
      <c r="AB232" s="9">
        <f t="shared" si="39"/>
        <v>62140.452354666661</v>
      </c>
    </row>
    <row r="233" spans="1:28" x14ac:dyDescent="0.55000000000000004">
      <c r="A233" t="str">
        <f t="shared" si="30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COUNTIF(deals_closed!$D$2:$D$20001,Calculations!B341)</f>
        <v>22</v>
      </c>
      <c r="H233" s="7">
        <f>SUMIF(deals_closed!$D:$D,Calculations!B341,deals_closed!$C:$C)</f>
        <v>676061</v>
      </c>
      <c r="I233" s="5">
        <f>VLOOKUP(E233,'2018_commission_structure'!$A$1:$I$4,9,FALSE)</f>
        <v>600000</v>
      </c>
      <c r="J233" s="9">
        <f t="shared" si="31"/>
        <v>750000</v>
      </c>
      <c r="K233" s="10">
        <f t="shared" si="32"/>
        <v>900000</v>
      </c>
      <c r="L233" s="9">
        <f t="shared" si="33"/>
        <v>1200000</v>
      </c>
      <c r="M233" s="8">
        <f t="shared" si="34"/>
        <v>1.1267683333333334</v>
      </c>
      <c r="N233" t="str">
        <f t="shared" si="35"/>
        <v>100-125%</v>
      </c>
      <c r="O233" s="9">
        <f>MIN($H233,$I233)*INDEX('2018_commission_structure'!$A$1:$I$4,MATCH($E233,'2018_commission_structure'!$A$1:$A$4,0),MATCH(O$1,'2018_commission_structure'!$A$1:$I$1,0))</f>
        <v>78000</v>
      </c>
      <c r="P233" s="9">
        <f>IF(H233&gt;I233, MIN(H233-I233, J233-I233)*INDEX('2018_commission_structure'!$A$1:$I$4,MATCH($E233,'2018_commission_structure'!$A$1:$A$4,0),MATCH(P$1,'2018_commission_structure'!$A$1:$I$1,0)),0)</f>
        <v>12930.37</v>
      </c>
      <c r="Q233" s="9">
        <f>IF($H233&gt;J233, MIN($H233-J233, K233-J233)*INDEX('2018_commission_structure'!$A$1:$I$4,MATCH($E233,'2018_commission_structure'!$A$1:$A$4,0),MATCH(Q$1,'2018_commission_structure'!$A$1:$I$1,0)),0)</f>
        <v>0</v>
      </c>
      <c r="R233" s="9">
        <f>IF($H233&gt;K233, MIN($H233-K233, L233-K233)*INDEX('2018_commission_structure'!$A$1:$I$4,MATCH($E233,'2018_commission_structure'!$A$1:$A$4,0),MATCH(R$1,'2018_commission_structure'!$A$1:$I$1,0)),0)</f>
        <v>0</v>
      </c>
      <c r="S233" s="9">
        <f>IF(H233&gt;L233,(H233-L233)*INDEX('2018_commission_structure'!$A$1:$I$4,MATCH($E233,'2018_commission_structure'!$A$1:$A$4,0),MATCH(S$1,'2018_commission_structure'!$A$1:$I$1,0)),0)</f>
        <v>0</v>
      </c>
      <c r="T233" s="9">
        <f t="shared" si="36"/>
        <v>90930.37</v>
      </c>
      <c r="U233" s="9">
        <f t="shared" si="37"/>
        <v>146995.37</v>
      </c>
      <c r="V233" s="9">
        <f>MIN($I233,$H233)*INDEX('Key Metrics'!$E$16:$N$19,MATCH($E233,'Key Metrics'!$E$16:$E$19,0),MATCH(V$1,'Key Metrics'!$E$16:$M$16,0))</f>
        <v>90000</v>
      </c>
      <c r="W233" s="9">
        <f>IF($H233&gt;I233, MIN($H233-I233, J233-I233)*INDEX('Key Metrics'!$E$16:$N$19,MATCH($E233,'Key Metrics'!$E$16:$E$19,0),MATCH(W$1,'Key Metrics'!$E$16:$M$16,0)),0)</f>
        <v>13690.98</v>
      </c>
      <c r="X233" s="9">
        <f>IF($H233&gt;J233, MIN($H233-J233, K233-J233)*INDEX('Key Metrics'!$E$16:$N$19,MATCH($E233,'Key Metrics'!$E$16:$E$19,0),MATCH(X$1,'Key Metrics'!$E$16:$M$16,0)),0)</f>
        <v>0</v>
      </c>
      <c r="Y233" s="9">
        <f>IF($H233&gt;K233, MIN($H233-K233, L233-K233)*INDEX('Key Metrics'!$E$16:$N$19,MATCH($E233,'Key Metrics'!$E$16:$E$19,0),MATCH(Y$1,'Key Metrics'!$E$16:$M$16,0)),0)</f>
        <v>0</v>
      </c>
      <c r="Z233" s="9">
        <f>IF($H233&gt;L233,($H233-L233)*INDEX('Key Metrics'!$E$16:$N$19,MATCH($E233,'Key Metrics'!$E$16:$E$19,0),MATCH(Z$1,'Key Metrics'!$E$16:$M$16,0)),0)</f>
        <v>0</v>
      </c>
      <c r="AA233" s="9">
        <f t="shared" si="38"/>
        <v>103690.98</v>
      </c>
      <c r="AB233" s="9">
        <f t="shared" si="39"/>
        <v>103692.10676833332</v>
      </c>
    </row>
    <row r="234" spans="1:28" x14ac:dyDescent="0.55000000000000004">
      <c r="A234" t="str">
        <f t="shared" si="30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COUNTIF(deals_closed!$D$2:$D$20001,Calculations!B256)</f>
        <v>23</v>
      </c>
      <c r="H234" s="7">
        <f>SUMIF(deals_closed!$D:$D,Calculations!B256,deals_closed!$C:$C)</f>
        <v>906215</v>
      </c>
      <c r="I234" s="5">
        <f>VLOOKUP(E234,'2018_commission_structure'!$A$1:$I$4,9,FALSE)</f>
        <v>500000</v>
      </c>
      <c r="J234" s="9">
        <f t="shared" si="31"/>
        <v>625000</v>
      </c>
      <c r="K234" s="10">
        <f t="shared" si="32"/>
        <v>750000</v>
      </c>
      <c r="L234" s="9">
        <f t="shared" si="33"/>
        <v>1000000</v>
      </c>
      <c r="M234" s="8">
        <f t="shared" si="34"/>
        <v>1.81243</v>
      </c>
      <c r="N234" t="str">
        <f t="shared" si="35"/>
        <v>150-200%</v>
      </c>
      <c r="O234" s="9">
        <f>MIN($H234,$I234)*INDEX('2018_commission_structure'!$A$1:$I$4,MATCH($E234,'2018_commission_structure'!$A$1:$A$4,0),MATCH(O$1,'2018_commission_structure'!$A$1:$I$1,0))</f>
        <v>50000</v>
      </c>
      <c r="P234" s="9">
        <f>IF(H234&gt;I234, MIN(H234-I234, J234-I234)*INDEX('2018_commission_structure'!$A$1:$I$4,MATCH($E234,'2018_commission_structure'!$A$1:$A$4,0),MATCH(P$1,'2018_commission_structure'!$A$1:$I$1,0)),0)</f>
        <v>18750</v>
      </c>
      <c r="Q234" s="9">
        <f>IF($H234&gt;J234, MIN($H234-J234, K234-J234)*INDEX('2018_commission_structure'!$A$1:$I$4,MATCH($E234,'2018_commission_structure'!$A$1:$A$4,0),MATCH(Q$1,'2018_commission_structure'!$A$1:$I$1,0)),0)</f>
        <v>22500</v>
      </c>
      <c r="R234" s="9">
        <f>IF($H234&gt;K234, MIN($H234-K234, L234-K234)*INDEX('2018_commission_structure'!$A$1:$I$4,MATCH($E234,'2018_commission_structure'!$A$1:$A$4,0),MATCH(R$1,'2018_commission_structure'!$A$1:$I$1,0)),0)</f>
        <v>34367.300000000003</v>
      </c>
      <c r="S234" s="9">
        <f>IF(H234&gt;L234,(H234-L234)*INDEX('2018_commission_structure'!$A$1:$I$4,MATCH($E234,'2018_commission_structure'!$A$1:$A$4,0),MATCH(S$1,'2018_commission_structure'!$A$1:$I$1,0)),0)</f>
        <v>0</v>
      </c>
      <c r="T234" s="9">
        <f t="shared" si="36"/>
        <v>125617.3</v>
      </c>
      <c r="U234" s="9">
        <f t="shared" si="37"/>
        <v>178036.3</v>
      </c>
      <c r="V234" s="9">
        <f>MIN($I234,$H234)*INDEX('Key Metrics'!$E$16:$N$19,MATCH($E234,'Key Metrics'!$E$16:$E$19,0),MATCH(V$1,'Key Metrics'!$E$16:$M$16,0))</f>
        <v>60000</v>
      </c>
      <c r="W234" s="9">
        <f>IF($H234&gt;I234, MIN($H234-I234, J234-I234)*INDEX('Key Metrics'!$E$16:$N$19,MATCH($E234,'Key Metrics'!$E$16:$E$19,0),MATCH(W$1,'Key Metrics'!$E$16:$M$16,0)),0)</f>
        <v>21250</v>
      </c>
      <c r="X234" s="9">
        <f>IF($H234&gt;J234, MIN($H234-J234, K234-J234)*INDEX('Key Metrics'!$E$16:$N$19,MATCH($E234,'Key Metrics'!$E$16:$E$19,0),MATCH(X$1,'Key Metrics'!$E$16:$M$16,0)),0)</f>
        <v>25000</v>
      </c>
      <c r="Y234" s="9">
        <f>IF($H234&gt;K234, MIN($H234-K234, L234-K234)*INDEX('Key Metrics'!$E$16:$N$19,MATCH($E234,'Key Metrics'!$E$16:$E$19,0),MATCH(Y$1,'Key Metrics'!$E$16:$M$16,0)),0)</f>
        <v>34367.300000000003</v>
      </c>
      <c r="Z234" s="9">
        <f>IF($H234&gt;L234,($H234-L234)*INDEX('Key Metrics'!$E$16:$N$19,MATCH($E234,'Key Metrics'!$E$16:$E$19,0),MATCH(Z$1,'Key Metrics'!$E$16:$M$16,0)),0)</f>
        <v>0</v>
      </c>
      <c r="AA234" s="9">
        <f t="shared" si="38"/>
        <v>140617.29999999999</v>
      </c>
      <c r="AB234" s="9">
        <f t="shared" si="39"/>
        <v>140619.11242999998</v>
      </c>
    </row>
    <row r="235" spans="1:28" x14ac:dyDescent="0.55000000000000004">
      <c r="A235" t="str">
        <f t="shared" si="30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COUNTIF(deals_closed!$D$2:$D$20001,Calculations!B356)</f>
        <v>22</v>
      </c>
      <c r="H235" s="7">
        <f>SUMIF(deals_closed!$D:$D,Calculations!B356,deals_closed!$C:$C)</f>
        <v>651320</v>
      </c>
      <c r="I235" s="5">
        <f>VLOOKUP(E235,'2018_commission_structure'!$A$1:$I$4,9,FALSE)</f>
        <v>600000</v>
      </c>
      <c r="J235" s="9">
        <f t="shared" si="31"/>
        <v>750000</v>
      </c>
      <c r="K235" s="10">
        <f t="shared" si="32"/>
        <v>900000</v>
      </c>
      <c r="L235" s="9">
        <f t="shared" si="33"/>
        <v>1200000</v>
      </c>
      <c r="M235" s="8">
        <f t="shared" si="34"/>
        <v>1.0855333333333332</v>
      </c>
      <c r="N235" t="str">
        <f t="shared" si="35"/>
        <v>100-125%</v>
      </c>
      <c r="O235" s="9">
        <f>MIN($H235,$I235)*INDEX('2018_commission_structure'!$A$1:$I$4,MATCH($E235,'2018_commission_structure'!$A$1:$A$4,0),MATCH(O$1,'2018_commission_structure'!$A$1:$I$1,0))</f>
        <v>78000</v>
      </c>
      <c r="P235" s="9">
        <f>IF(H235&gt;I235, MIN(H235-I235, J235-I235)*INDEX('2018_commission_structure'!$A$1:$I$4,MATCH($E235,'2018_commission_structure'!$A$1:$A$4,0),MATCH(P$1,'2018_commission_structure'!$A$1:$I$1,0)),0)</f>
        <v>8724.4000000000015</v>
      </c>
      <c r="Q235" s="9">
        <f>IF($H235&gt;J235, MIN($H235-J235, K235-J235)*INDEX('2018_commission_structure'!$A$1:$I$4,MATCH($E235,'2018_commission_structure'!$A$1:$A$4,0),MATCH(Q$1,'2018_commission_structure'!$A$1:$I$1,0)),0)</f>
        <v>0</v>
      </c>
      <c r="R235" s="9">
        <f>IF($H235&gt;K235, MIN($H235-K235, L235-K235)*INDEX('2018_commission_structure'!$A$1:$I$4,MATCH($E235,'2018_commission_structure'!$A$1:$A$4,0),MATCH(R$1,'2018_commission_structure'!$A$1:$I$1,0)),0)</f>
        <v>0</v>
      </c>
      <c r="S235" s="9">
        <f>IF(H235&gt;L235,(H235-L235)*INDEX('2018_commission_structure'!$A$1:$I$4,MATCH($E235,'2018_commission_structure'!$A$1:$A$4,0),MATCH(S$1,'2018_commission_structure'!$A$1:$I$1,0)),0)</f>
        <v>0</v>
      </c>
      <c r="T235" s="9">
        <f t="shared" si="36"/>
        <v>86724.4</v>
      </c>
      <c r="U235" s="9">
        <f t="shared" si="37"/>
        <v>165866.4</v>
      </c>
      <c r="V235" s="9">
        <f>MIN($I235,$H235)*INDEX('Key Metrics'!$E$16:$N$19,MATCH($E235,'Key Metrics'!$E$16:$E$19,0),MATCH(V$1,'Key Metrics'!$E$16:$M$16,0))</f>
        <v>90000</v>
      </c>
      <c r="W235" s="9">
        <f>IF($H235&gt;I235, MIN($H235-I235, J235-I235)*INDEX('Key Metrics'!$E$16:$N$19,MATCH($E235,'Key Metrics'!$E$16:$E$19,0),MATCH(W$1,'Key Metrics'!$E$16:$M$16,0)),0)</f>
        <v>9237.6</v>
      </c>
      <c r="X235" s="9">
        <f>IF($H235&gt;J235, MIN($H235-J235, K235-J235)*INDEX('Key Metrics'!$E$16:$N$19,MATCH($E235,'Key Metrics'!$E$16:$E$19,0),MATCH(X$1,'Key Metrics'!$E$16:$M$16,0)),0)</f>
        <v>0</v>
      </c>
      <c r="Y235" s="9">
        <f>IF($H235&gt;K235, MIN($H235-K235, L235-K235)*INDEX('Key Metrics'!$E$16:$N$19,MATCH($E235,'Key Metrics'!$E$16:$E$19,0),MATCH(Y$1,'Key Metrics'!$E$16:$M$16,0)),0)</f>
        <v>0</v>
      </c>
      <c r="Z235" s="9">
        <f>IF($H235&gt;L235,($H235-L235)*INDEX('Key Metrics'!$E$16:$N$19,MATCH($E235,'Key Metrics'!$E$16:$E$19,0),MATCH(Z$1,'Key Metrics'!$E$16:$M$16,0)),0)</f>
        <v>0</v>
      </c>
      <c r="AA235" s="9">
        <f t="shared" si="38"/>
        <v>99237.6</v>
      </c>
      <c r="AB235" s="9">
        <f t="shared" si="39"/>
        <v>99238.685533333337</v>
      </c>
    </row>
    <row r="236" spans="1:28" x14ac:dyDescent="0.55000000000000004">
      <c r="A236" t="str">
        <f t="shared" si="30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COUNTIF(deals_closed!$D$2:$D$20001,Calculations!B535)</f>
        <v>17</v>
      </c>
      <c r="H236" s="7">
        <f>SUMIF(deals_closed!$D:$D,Calculations!B535,deals_closed!$C:$C)</f>
        <v>613556</v>
      </c>
      <c r="I236" s="5">
        <f>VLOOKUP(E236,'2018_commission_structure'!$A$1:$I$4,9,FALSE)</f>
        <v>750000</v>
      </c>
      <c r="J236" s="9">
        <f t="shared" si="31"/>
        <v>937500</v>
      </c>
      <c r="K236" s="10">
        <f t="shared" si="32"/>
        <v>1125000</v>
      </c>
      <c r="L236" s="9">
        <f t="shared" si="33"/>
        <v>1500000</v>
      </c>
      <c r="M236" s="8">
        <f t="shared" si="34"/>
        <v>0.81807466666666662</v>
      </c>
      <c r="N236" t="str">
        <f t="shared" si="35"/>
        <v>0-100%</v>
      </c>
      <c r="O236" s="9">
        <f>MIN($H236,$I236)*INDEX('2018_commission_structure'!$A$1:$I$4,MATCH($E236,'2018_commission_structure'!$A$1:$A$4,0),MATCH(O$1,'2018_commission_structure'!$A$1:$I$1,0))</f>
        <v>92033.4</v>
      </c>
      <c r="P236" s="9">
        <f>IF(H236&gt;I236, MIN(H236-I236, J236-I236)*INDEX('2018_commission_structure'!$A$1:$I$4,MATCH($E236,'2018_commission_structure'!$A$1:$A$4,0),MATCH(P$1,'2018_commission_structure'!$A$1:$I$1,0)),0)</f>
        <v>0</v>
      </c>
      <c r="Q236" s="9">
        <f>IF($H236&gt;J236, MIN($H236-J236, K236-J236)*INDEX('2018_commission_structure'!$A$1:$I$4,MATCH($E236,'2018_commission_structure'!$A$1:$A$4,0),MATCH(Q$1,'2018_commission_structure'!$A$1:$I$1,0)),0)</f>
        <v>0</v>
      </c>
      <c r="R236" s="9">
        <f>IF($H236&gt;K236, MIN($H236-K236, L236-K236)*INDEX('2018_commission_structure'!$A$1:$I$4,MATCH($E236,'2018_commission_structure'!$A$1:$A$4,0),MATCH(R$1,'2018_commission_structure'!$A$1:$I$1,0)),0)</f>
        <v>0</v>
      </c>
      <c r="S236" s="9">
        <f>IF(H236&gt;L236,(H236-L236)*INDEX('2018_commission_structure'!$A$1:$I$4,MATCH($E236,'2018_commission_structure'!$A$1:$A$4,0),MATCH(S$1,'2018_commission_structure'!$A$1:$I$1,0)),0)</f>
        <v>0</v>
      </c>
      <c r="T236" s="9">
        <f t="shared" si="36"/>
        <v>92033.4</v>
      </c>
      <c r="U236" s="9">
        <f t="shared" si="37"/>
        <v>184348.4</v>
      </c>
      <c r="V236" s="9">
        <f>MIN($I236,$H236)*INDEX('Key Metrics'!$E$16:$N$19,MATCH($E236,'Key Metrics'!$E$16:$E$19,0),MATCH(V$1,'Key Metrics'!$E$16:$M$16,0))</f>
        <v>92033.4</v>
      </c>
      <c r="W236" s="9">
        <f>IF($H236&gt;I236, MIN($H236-I236, J236-I236)*INDEX('Key Metrics'!$E$16:$N$19,MATCH($E236,'Key Metrics'!$E$16:$E$19,0),MATCH(W$1,'Key Metrics'!$E$16:$M$16,0)),0)</f>
        <v>0</v>
      </c>
      <c r="X236" s="9">
        <f>IF($H236&gt;J236, MIN($H236-J236, K236-J236)*INDEX('Key Metrics'!$E$16:$N$19,MATCH($E236,'Key Metrics'!$E$16:$E$19,0),MATCH(X$1,'Key Metrics'!$E$16:$M$16,0)),0)</f>
        <v>0</v>
      </c>
      <c r="Y236" s="9">
        <f>IF($H236&gt;K236, MIN($H236-K236, L236-K236)*INDEX('Key Metrics'!$E$16:$N$19,MATCH($E236,'Key Metrics'!$E$16:$E$19,0),MATCH(Y$1,'Key Metrics'!$E$16:$M$16,0)),0)</f>
        <v>0</v>
      </c>
      <c r="Z236" s="9">
        <f>IF($H236&gt;L236,($H236-L236)*INDEX('Key Metrics'!$E$16:$N$19,MATCH($E236,'Key Metrics'!$E$16:$E$19,0),MATCH(Z$1,'Key Metrics'!$E$16:$M$16,0)),0)</f>
        <v>0</v>
      </c>
      <c r="AA236" s="9">
        <f t="shared" si="38"/>
        <v>92033.4</v>
      </c>
      <c r="AB236" s="9">
        <f t="shared" si="39"/>
        <v>92034.218074666656</v>
      </c>
    </row>
    <row r="237" spans="1:28" x14ac:dyDescent="0.55000000000000004">
      <c r="A237" t="str">
        <f t="shared" si="30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COUNTIF(deals_closed!$D$2:$D$20001,Calculations!B374)</f>
        <v>25</v>
      </c>
      <c r="H237" s="7">
        <f>SUMIF(deals_closed!$D:$D,Calculations!B374,deals_closed!$C:$C)</f>
        <v>938038</v>
      </c>
      <c r="I237" s="5">
        <f>VLOOKUP(E237,'2018_commission_structure'!$A$1:$I$4,9,FALSE)</f>
        <v>600000</v>
      </c>
      <c r="J237" s="9">
        <f t="shared" si="31"/>
        <v>750000</v>
      </c>
      <c r="K237" s="10">
        <f t="shared" si="32"/>
        <v>900000</v>
      </c>
      <c r="L237" s="9">
        <f t="shared" si="33"/>
        <v>1200000</v>
      </c>
      <c r="M237" s="8">
        <f t="shared" si="34"/>
        <v>1.5633966666666668</v>
      </c>
      <c r="N237" t="str">
        <f t="shared" si="35"/>
        <v>150-200%</v>
      </c>
      <c r="O237" s="9">
        <f>MIN($H237,$I237)*INDEX('2018_commission_structure'!$A$1:$I$4,MATCH($E237,'2018_commission_structure'!$A$1:$A$4,0),MATCH(O$1,'2018_commission_structure'!$A$1:$I$1,0))</f>
        <v>78000</v>
      </c>
      <c r="P237" s="9">
        <f>IF(H237&gt;I237, MIN(H237-I237, J237-I237)*INDEX('2018_commission_structure'!$A$1:$I$4,MATCH($E237,'2018_commission_structure'!$A$1:$A$4,0),MATCH(P$1,'2018_commission_structure'!$A$1:$I$1,0)),0)</f>
        <v>25500.000000000004</v>
      </c>
      <c r="Q237" s="9">
        <f>IF($H237&gt;J237, MIN($H237-J237, K237-J237)*INDEX('2018_commission_structure'!$A$1:$I$4,MATCH($E237,'2018_commission_structure'!$A$1:$A$4,0),MATCH(Q$1,'2018_commission_structure'!$A$1:$I$1,0)),0)</f>
        <v>31500</v>
      </c>
      <c r="R237" s="9">
        <f>IF($H237&gt;K237, MIN($H237-K237, L237-K237)*INDEX('2018_commission_structure'!$A$1:$I$4,MATCH($E237,'2018_commission_structure'!$A$1:$A$4,0),MATCH(R$1,'2018_commission_structure'!$A$1:$I$1,0)),0)</f>
        <v>9889.880000000001</v>
      </c>
      <c r="S237" s="9">
        <f>IF(H237&gt;L237,(H237-L237)*INDEX('2018_commission_structure'!$A$1:$I$4,MATCH($E237,'2018_commission_structure'!$A$1:$A$4,0),MATCH(S$1,'2018_commission_structure'!$A$1:$I$1,0)),0)</f>
        <v>0</v>
      </c>
      <c r="T237" s="9">
        <f t="shared" si="36"/>
        <v>144889.88</v>
      </c>
      <c r="U237" s="9">
        <f t="shared" si="37"/>
        <v>216779.88</v>
      </c>
      <c r="V237" s="9">
        <f>MIN($I237,$H237)*INDEX('Key Metrics'!$E$16:$N$19,MATCH($E237,'Key Metrics'!$E$16:$E$19,0),MATCH(V$1,'Key Metrics'!$E$16:$M$16,0))</f>
        <v>90000</v>
      </c>
      <c r="W237" s="9">
        <f>IF($H237&gt;I237, MIN($H237-I237, J237-I237)*INDEX('Key Metrics'!$E$16:$N$19,MATCH($E237,'Key Metrics'!$E$16:$E$19,0),MATCH(W$1,'Key Metrics'!$E$16:$M$16,0)),0)</f>
        <v>27000</v>
      </c>
      <c r="X237" s="9">
        <f>IF($H237&gt;J237, MIN($H237-J237, K237-J237)*INDEX('Key Metrics'!$E$16:$N$19,MATCH($E237,'Key Metrics'!$E$16:$E$19,0),MATCH(X$1,'Key Metrics'!$E$16:$M$16,0)),0)</f>
        <v>37500</v>
      </c>
      <c r="Y237" s="9">
        <f>IF($H237&gt;K237, MIN($H237-K237, L237-K237)*INDEX('Key Metrics'!$E$16:$N$19,MATCH($E237,'Key Metrics'!$E$16:$E$19,0),MATCH(Y$1,'Key Metrics'!$E$16:$M$16,0)),0)</f>
        <v>11411.4</v>
      </c>
      <c r="Z237" s="9">
        <f>IF($H237&gt;L237,($H237-L237)*INDEX('Key Metrics'!$E$16:$N$19,MATCH($E237,'Key Metrics'!$E$16:$E$19,0),MATCH(Z$1,'Key Metrics'!$E$16:$M$16,0)),0)</f>
        <v>0</v>
      </c>
      <c r="AA237" s="9">
        <f t="shared" si="38"/>
        <v>165911.4</v>
      </c>
      <c r="AB237" s="9">
        <f t="shared" si="39"/>
        <v>165912.96339666666</v>
      </c>
    </row>
    <row r="238" spans="1:28" x14ac:dyDescent="0.55000000000000004">
      <c r="A238" t="str">
        <f t="shared" si="30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COUNTIF(deals_closed!$D$2:$D$20001,Calculations!B420)</f>
        <v>23</v>
      </c>
      <c r="H238" s="7">
        <f>SUMIF(deals_closed!$D:$D,Calculations!B420,deals_closed!$C:$C)</f>
        <v>734546</v>
      </c>
      <c r="I238" s="5">
        <f>VLOOKUP(E238,'2018_commission_structure'!$A$1:$I$4,9,FALSE)</f>
        <v>750000</v>
      </c>
      <c r="J238" s="9">
        <f t="shared" si="31"/>
        <v>937500</v>
      </c>
      <c r="K238" s="10">
        <f t="shared" si="32"/>
        <v>1125000</v>
      </c>
      <c r="L238" s="9">
        <f t="shared" si="33"/>
        <v>1500000</v>
      </c>
      <c r="M238" s="8">
        <f t="shared" si="34"/>
        <v>0.97939466666666664</v>
      </c>
      <c r="N238" t="str">
        <f t="shared" si="35"/>
        <v>0-100%</v>
      </c>
      <c r="O238" s="9">
        <f>MIN($H238,$I238)*INDEX('2018_commission_structure'!$A$1:$I$4,MATCH($E238,'2018_commission_structure'!$A$1:$A$4,0),MATCH(O$1,'2018_commission_structure'!$A$1:$I$1,0))</f>
        <v>110181.9</v>
      </c>
      <c r="P238" s="9">
        <f>IF(H238&gt;I238, MIN(H238-I238, J238-I238)*INDEX('2018_commission_structure'!$A$1:$I$4,MATCH($E238,'2018_commission_structure'!$A$1:$A$4,0),MATCH(P$1,'2018_commission_structure'!$A$1:$I$1,0)),0)</f>
        <v>0</v>
      </c>
      <c r="Q238" s="9">
        <f>IF($H238&gt;J238, MIN($H238-J238, K238-J238)*INDEX('2018_commission_structure'!$A$1:$I$4,MATCH($E238,'2018_commission_structure'!$A$1:$A$4,0),MATCH(Q$1,'2018_commission_structure'!$A$1:$I$1,0)),0)</f>
        <v>0</v>
      </c>
      <c r="R238" s="9">
        <f>IF($H238&gt;K238, MIN($H238-K238, L238-K238)*INDEX('2018_commission_structure'!$A$1:$I$4,MATCH($E238,'2018_commission_structure'!$A$1:$A$4,0),MATCH(R$1,'2018_commission_structure'!$A$1:$I$1,0)),0)</f>
        <v>0</v>
      </c>
      <c r="S238" s="9">
        <f>IF(H238&gt;L238,(H238-L238)*INDEX('2018_commission_structure'!$A$1:$I$4,MATCH($E238,'2018_commission_structure'!$A$1:$A$4,0),MATCH(S$1,'2018_commission_structure'!$A$1:$I$1,0)),0)</f>
        <v>0</v>
      </c>
      <c r="T238" s="9">
        <f t="shared" si="36"/>
        <v>110181.9</v>
      </c>
      <c r="U238" s="9">
        <f t="shared" si="37"/>
        <v>187210.9</v>
      </c>
      <c r="V238" s="9">
        <f>MIN($I238,$H238)*INDEX('Key Metrics'!$E$16:$N$19,MATCH($E238,'Key Metrics'!$E$16:$E$19,0),MATCH(V$1,'Key Metrics'!$E$16:$M$16,0))</f>
        <v>110181.9</v>
      </c>
      <c r="W238" s="9">
        <f>IF($H238&gt;I238, MIN($H238-I238, J238-I238)*INDEX('Key Metrics'!$E$16:$N$19,MATCH($E238,'Key Metrics'!$E$16:$E$19,0),MATCH(W$1,'Key Metrics'!$E$16:$M$16,0)),0)</f>
        <v>0</v>
      </c>
      <c r="X238" s="9">
        <f>IF($H238&gt;J238, MIN($H238-J238, K238-J238)*INDEX('Key Metrics'!$E$16:$N$19,MATCH($E238,'Key Metrics'!$E$16:$E$19,0),MATCH(X$1,'Key Metrics'!$E$16:$M$16,0)),0)</f>
        <v>0</v>
      </c>
      <c r="Y238" s="9">
        <f>IF($H238&gt;K238, MIN($H238-K238, L238-K238)*INDEX('Key Metrics'!$E$16:$N$19,MATCH($E238,'Key Metrics'!$E$16:$E$19,0),MATCH(Y$1,'Key Metrics'!$E$16:$M$16,0)),0)</f>
        <v>0</v>
      </c>
      <c r="Z238" s="9">
        <f>IF($H238&gt;L238,($H238-L238)*INDEX('Key Metrics'!$E$16:$N$19,MATCH($E238,'Key Metrics'!$E$16:$E$19,0),MATCH(Z$1,'Key Metrics'!$E$16:$M$16,0)),0)</f>
        <v>0</v>
      </c>
      <c r="AA238" s="9">
        <f t="shared" si="38"/>
        <v>110181.9</v>
      </c>
      <c r="AB238" s="9">
        <f t="shared" si="39"/>
        <v>110182.87939466666</v>
      </c>
    </row>
    <row r="239" spans="1:28" x14ac:dyDescent="0.55000000000000004">
      <c r="A239" t="str">
        <f t="shared" si="30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COUNTIF(deals_closed!$D$2:$D$20001,Calculations!B791)</f>
        <v>22</v>
      </c>
      <c r="H239" s="7">
        <f>SUMIF(deals_closed!$D:$D,Calculations!B791,deals_closed!$C:$C)</f>
        <v>777660</v>
      </c>
      <c r="I239" s="5">
        <f>VLOOKUP(E239,'2018_commission_structure'!$A$1:$I$4,9,FALSE)</f>
        <v>500000</v>
      </c>
      <c r="J239" s="9">
        <f t="shared" si="31"/>
        <v>625000</v>
      </c>
      <c r="K239" s="10">
        <f t="shared" si="32"/>
        <v>750000</v>
      </c>
      <c r="L239" s="9">
        <f t="shared" si="33"/>
        <v>1000000</v>
      </c>
      <c r="M239" s="8">
        <f t="shared" si="34"/>
        <v>1.55532</v>
      </c>
      <c r="N239" t="str">
        <f t="shared" si="35"/>
        <v>150-200%</v>
      </c>
      <c r="O239" s="9">
        <f>MIN($H239,$I239)*INDEX('2018_commission_structure'!$A$1:$I$4,MATCH($E239,'2018_commission_structure'!$A$1:$A$4,0),MATCH(O$1,'2018_commission_structure'!$A$1:$I$1,0))</f>
        <v>50000</v>
      </c>
      <c r="P239" s="9">
        <f>IF(H239&gt;I239, MIN(H239-I239, J239-I239)*INDEX('2018_commission_structure'!$A$1:$I$4,MATCH($E239,'2018_commission_structure'!$A$1:$A$4,0),MATCH(P$1,'2018_commission_structure'!$A$1:$I$1,0)),0)</f>
        <v>18750</v>
      </c>
      <c r="Q239" s="9">
        <f>IF($H239&gt;J239, MIN($H239-J239, K239-J239)*INDEX('2018_commission_structure'!$A$1:$I$4,MATCH($E239,'2018_commission_structure'!$A$1:$A$4,0),MATCH(Q$1,'2018_commission_structure'!$A$1:$I$1,0)),0)</f>
        <v>22500</v>
      </c>
      <c r="R239" s="9">
        <f>IF($H239&gt;K239, MIN($H239-K239, L239-K239)*INDEX('2018_commission_structure'!$A$1:$I$4,MATCH($E239,'2018_commission_structure'!$A$1:$A$4,0),MATCH(R$1,'2018_commission_structure'!$A$1:$I$1,0)),0)</f>
        <v>6085.2</v>
      </c>
      <c r="S239" s="9">
        <f>IF(H239&gt;L239,(H239-L239)*INDEX('2018_commission_structure'!$A$1:$I$4,MATCH($E239,'2018_commission_structure'!$A$1:$A$4,0),MATCH(S$1,'2018_commission_structure'!$A$1:$I$1,0)),0)</f>
        <v>0</v>
      </c>
      <c r="T239" s="9">
        <f t="shared" si="36"/>
        <v>97335.2</v>
      </c>
      <c r="U239" s="9">
        <f t="shared" si="37"/>
        <v>154834.20000000001</v>
      </c>
      <c r="V239" s="9">
        <f>MIN($I239,$H239)*INDEX('Key Metrics'!$E$16:$N$19,MATCH($E239,'Key Metrics'!$E$16:$E$19,0),MATCH(V$1,'Key Metrics'!$E$16:$M$16,0))</f>
        <v>60000</v>
      </c>
      <c r="W239" s="9">
        <f>IF($H239&gt;I239, MIN($H239-I239, J239-I239)*INDEX('Key Metrics'!$E$16:$N$19,MATCH($E239,'Key Metrics'!$E$16:$E$19,0),MATCH(W$1,'Key Metrics'!$E$16:$M$16,0)),0)</f>
        <v>21250</v>
      </c>
      <c r="X239" s="9">
        <f>IF($H239&gt;J239, MIN($H239-J239, K239-J239)*INDEX('Key Metrics'!$E$16:$N$19,MATCH($E239,'Key Metrics'!$E$16:$E$19,0),MATCH(X$1,'Key Metrics'!$E$16:$M$16,0)),0)</f>
        <v>25000</v>
      </c>
      <c r="Y239" s="9">
        <f>IF($H239&gt;K239, MIN($H239-K239, L239-K239)*INDEX('Key Metrics'!$E$16:$N$19,MATCH($E239,'Key Metrics'!$E$16:$E$19,0),MATCH(Y$1,'Key Metrics'!$E$16:$M$16,0)),0)</f>
        <v>6085.2</v>
      </c>
      <c r="Z239" s="9">
        <f>IF($H239&gt;L239,($H239-L239)*INDEX('Key Metrics'!$E$16:$N$19,MATCH($E239,'Key Metrics'!$E$16:$E$19,0),MATCH(Z$1,'Key Metrics'!$E$16:$M$16,0)),0)</f>
        <v>0</v>
      </c>
      <c r="AA239" s="9">
        <f t="shared" si="38"/>
        <v>112335.2</v>
      </c>
      <c r="AB239" s="9">
        <f t="shared" si="39"/>
        <v>112336.75532</v>
      </c>
    </row>
    <row r="240" spans="1:28" x14ac:dyDescent="0.55000000000000004">
      <c r="A240" t="str">
        <f t="shared" si="30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COUNTIF(deals_closed!$D$2:$D$20001,Calculations!B916)</f>
        <v>19</v>
      </c>
      <c r="H240" s="7">
        <f>SUMIF(deals_closed!$D:$D,Calculations!B916,deals_closed!$C:$C)</f>
        <v>762760</v>
      </c>
      <c r="I240" s="5">
        <f>VLOOKUP(E240,'2018_commission_structure'!$A$1:$I$4,9,FALSE)</f>
        <v>500000</v>
      </c>
      <c r="J240" s="9">
        <f t="shared" si="31"/>
        <v>625000</v>
      </c>
      <c r="K240" s="10">
        <f t="shared" si="32"/>
        <v>750000</v>
      </c>
      <c r="L240" s="9">
        <f t="shared" si="33"/>
        <v>1000000</v>
      </c>
      <c r="M240" s="8">
        <f t="shared" si="34"/>
        <v>1.52552</v>
      </c>
      <c r="N240" t="str">
        <f t="shared" si="35"/>
        <v>150-200%</v>
      </c>
      <c r="O240" s="9">
        <f>MIN($H240,$I240)*INDEX('2018_commission_structure'!$A$1:$I$4,MATCH($E240,'2018_commission_structure'!$A$1:$A$4,0),MATCH(O$1,'2018_commission_structure'!$A$1:$I$1,0))</f>
        <v>50000</v>
      </c>
      <c r="P240" s="9">
        <f>IF(H240&gt;I240, MIN(H240-I240, J240-I240)*INDEX('2018_commission_structure'!$A$1:$I$4,MATCH($E240,'2018_commission_structure'!$A$1:$A$4,0),MATCH(P$1,'2018_commission_structure'!$A$1:$I$1,0)),0)</f>
        <v>18750</v>
      </c>
      <c r="Q240" s="9">
        <f>IF($H240&gt;J240, MIN($H240-J240, K240-J240)*INDEX('2018_commission_structure'!$A$1:$I$4,MATCH($E240,'2018_commission_structure'!$A$1:$A$4,0),MATCH(Q$1,'2018_commission_structure'!$A$1:$I$1,0)),0)</f>
        <v>22500</v>
      </c>
      <c r="R240" s="9">
        <f>IF($H240&gt;K240, MIN($H240-K240, L240-K240)*INDEX('2018_commission_structure'!$A$1:$I$4,MATCH($E240,'2018_commission_structure'!$A$1:$A$4,0),MATCH(R$1,'2018_commission_structure'!$A$1:$I$1,0)),0)</f>
        <v>2807.2</v>
      </c>
      <c r="S240" s="9">
        <f>IF(H240&gt;L240,(H240-L240)*INDEX('2018_commission_structure'!$A$1:$I$4,MATCH($E240,'2018_commission_structure'!$A$1:$A$4,0),MATCH(S$1,'2018_commission_structure'!$A$1:$I$1,0)),0)</f>
        <v>0</v>
      </c>
      <c r="T240" s="9">
        <f t="shared" si="36"/>
        <v>94057.2</v>
      </c>
      <c r="U240" s="9">
        <f t="shared" si="37"/>
        <v>158742.20000000001</v>
      </c>
      <c r="V240" s="9">
        <f>MIN($I240,$H240)*INDEX('Key Metrics'!$E$16:$N$19,MATCH($E240,'Key Metrics'!$E$16:$E$19,0),MATCH(V$1,'Key Metrics'!$E$16:$M$16,0))</f>
        <v>60000</v>
      </c>
      <c r="W240" s="9">
        <f>IF($H240&gt;I240, MIN($H240-I240, J240-I240)*INDEX('Key Metrics'!$E$16:$N$19,MATCH($E240,'Key Metrics'!$E$16:$E$19,0),MATCH(W$1,'Key Metrics'!$E$16:$M$16,0)),0)</f>
        <v>21250</v>
      </c>
      <c r="X240" s="9">
        <f>IF($H240&gt;J240, MIN($H240-J240, K240-J240)*INDEX('Key Metrics'!$E$16:$N$19,MATCH($E240,'Key Metrics'!$E$16:$E$19,0),MATCH(X$1,'Key Metrics'!$E$16:$M$16,0)),0)</f>
        <v>25000</v>
      </c>
      <c r="Y240" s="9">
        <f>IF($H240&gt;K240, MIN($H240-K240, L240-K240)*INDEX('Key Metrics'!$E$16:$N$19,MATCH($E240,'Key Metrics'!$E$16:$E$19,0),MATCH(Y$1,'Key Metrics'!$E$16:$M$16,0)),0)</f>
        <v>2807.2</v>
      </c>
      <c r="Z240" s="9">
        <f>IF($H240&gt;L240,($H240-L240)*INDEX('Key Metrics'!$E$16:$N$19,MATCH($E240,'Key Metrics'!$E$16:$E$19,0),MATCH(Z$1,'Key Metrics'!$E$16:$M$16,0)),0)</f>
        <v>0</v>
      </c>
      <c r="AA240" s="9">
        <f t="shared" si="38"/>
        <v>109057.2</v>
      </c>
      <c r="AB240" s="9">
        <f t="shared" si="39"/>
        <v>109058.72551999999</v>
      </c>
    </row>
    <row r="241" spans="1:28" x14ac:dyDescent="0.55000000000000004">
      <c r="A241" t="str">
        <f t="shared" si="30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COUNTIF(deals_closed!$D$2:$D$20001,Calculations!B402)</f>
        <v>23</v>
      </c>
      <c r="H241" s="7">
        <f>SUMIF(deals_closed!$D:$D,Calculations!B402,deals_closed!$C:$C)</f>
        <v>950987</v>
      </c>
      <c r="I241" s="5">
        <f>VLOOKUP(E241,'2018_commission_structure'!$A$1:$I$4,9,FALSE)</f>
        <v>600000</v>
      </c>
      <c r="J241" s="9">
        <f t="shared" si="31"/>
        <v>750000</v>
      </c>
      <c r="K241" s="10">
        <f t="shared" si="32"/>
        <v>900000</v>
      </c>
      <c r="L241" s="9">
        <f t="shared" si="33"/>
        <v>1200000</v>
      </c>
      <c r="M241" s="8">
        <f t="shared" si="34"/>
        <v>1.5849783333333334</v>
      </c>
      <c r="N241" t="str">
        <f t="shared" si="35"/>
        <v>150-200%</v>
      </c>
      <c r="O241" s="9">
        <f>MIN($H241,$I241)*INDEX('2018_commission_structure'!$A$1:$I$4,MATCH($E241,'2018_commission_structure'!$A$1:$A$4,0),MATCH(O$1,'2018_commission_structure'!$A$1:$I$1,0))</f>
        <v>78000</v>
      </c>
      <c r="P241" s="9">
        <f>IF(H241&gt;I241, MIN(H241-I241, J241-I241)*INDEX('2018_commission_structure'!$A$1:$I$4,MATCH($E241,'2018_commission_structure'!$A$1:$A$4,0),MATCH(P$1,'2018_commission_structure'!$A$1:$I$1,0)),0)</f>
        <v>25500.000000000004</v>
      </c>
      <c r="Q241" s="9">
        <f>IF($H241&gt;J241, MIN($H241-J241, K241-J241)*INDEX('2018_commission_structure'!$A$1:$I$4,MATCH($E241,'2018_commission_structure'!$A$1:$A$4,0),MATCH(Q$1,'2018_commission_structure'!$A$1:$I$1,0)),0)</f>
        <v>31500</v>
      </c>
      <c r="R241" s="9">
        <f>IF($H241&gt;K241, MIN($H241-K241, L241-K241)*INDEX('2018_commission_structure'!$A$1:$I$4,MATCH($E241,'2018_commission_structure'!$A$1:$A$4,0),MATCH(R$1,'2018_commission_structure'!$A$1:$I$1,0)),0)</f>
        <v>13256.62</v>
      </c>
      <c r="S241" s="9">
        <f>IF(H241&gt;L241,(H241-L241)*INDEX('2018_commission_structure'!$A$1:$I$4,MATCH($E241,'2018_commission_structure'!$A$1:$A$4,0),MATCH(S$1,'2018_commission_structure'!$A$1:$I$1,0)),0)</f>
        <v>0</v>
      </c>
      <c r="T241" s="9">
        <f t="shared" si="36"/>
        <v>148256.62</v>
      </c>
      <c r="U241" s="9">
        <f t="shared" si="37"/>
        <v>201610.62</v>
      </c>
      <c r="V241" s="9">
        <f>MIN($I241,$H241)*INDEX('Key Metrics'!$E$16:$N$19,MATCH($E241,'Key Metrics'!$E$16:$E$19,0),MATCH(V$1,'Key Metrics'!$E$16:$M$16,0))</f>
        <v>90000</v>
      </c>
      <c r="W241" s="9">
        <f>IF($H241&gt;I241, MIN($H241-I241, J241-I241)*INDEX('Key Metrics'!$E$16:$N$19,MATCH($E241,'Key Metrics'!$E$16:$E$19,0),MATCH(W$1,'Key Metrics'!$E$16:$M$16,0)),0)</f>
        <v>27000</v>
      </c>
      <c r="X241" s="9">
        <f>IF($H241&gt;J241, MIN($H241-J241, K241-J241)*INDEX('Key Metrics'!$E$16:$N$19,MATCH($E241,'Key Metrics'!$E$16:$E$19,0),MATCH(X$1,'Key Metrics'!$E$16:$M$16,0)),0)</f>
        <v>37500</v>
      </c>
      <c r="Y241" s="9">
        <f>IF($H241&gt;K241, MIN($H241-K241, L241-K241)*INDEX('Key Metrics'!$E$16:$N$19,MATCH($E241,'Key Metrics'!$E$16:$E$19,0),MATCH(Y$1,'Key Metrics'!$E$16:$M$16,0)),0)</f>
        <v>15296.099999999999</v>
      </c>
      <c r="Z241" s="9">
        <f>IF($H241&gt;L241,($H241-L241)*INDEX('Key Metrics'!$E$16:$N$19,MATCH($E241,'Key Metrics'!$E$16:$E$19,0),MATCH(Z$1,'Key Metrics'!$E$16:$M$16,0)),0)</f>
        <v>0</v>
      </c>
      <c r="AA241" s="9">
        <f t="shared" si="38"/>
        <v>169796.1</v>
      </c>
      <c r="AB241" s="9">
        <f t="shared" si="39"/>
        <v>169797.68497833333</v>
      </c>
    </row>
    <row r="242" spans="1:28" x14ac:dyDescent="0.55000000000000004">
      <c r="A242" t="str">
        <f t="shared" si="30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COUNTIF(deals_closed!$D$2:$D$20001,Calculations!B505)</f>
        <v>25</v>
      </c>
      <c r="H242" s="7">
        <f>SUMIF(deals_closed!$D:$D,Calculations!B505,deals_closed!$C:$C)</f>
        <v>873913</v>
      </c>
      <c r="I242" s="5">
        <f>VLOOKUP(E242,'2018_commission_structure'!$A$1:$I$4,9,FALSE)</f>
        <v>750000</v>
      </c>
      <c r="J242" s="9">
        <f t="shared" si="31"/>
        <v>937500</v>
      </c>
      <c r="K242" s="10">
        <f t="shared" si="32"/>
        <v>1125000</v>
      </c>
      <c r="L242" s="9">
        <f t="shared" si="33"/>
        <v>1500000</v>
      </c>
      <c r="M242" s="8">
        <f t="shared" si="34"/>
        <v>1.1652173333333333</v>
      </c>
      <c r="N242" t="str">
        <f t="shared" si="35"/>
        <v>100-125%</v>
      </c>
      <c r="O242" s="9">
        <f>MIN($H242,$I242)*INDEX('2018_commission_structure'!$A$1:$I$4,MATCH($E242,'2018_commission_structure'!$A$1:$A$4,0),MATCH(O$1,'2018_commission_structure'!$A$1:$I$1,0))</f>
        <v>112500</v>
      </c>
      <c r="P242" s="9">
        <f>IF(H242&gt;I242, MIN(H242-I242, J242-I242)*INDEX('2018_commission_structure'!$A$1:$I$4,MATCH($E242,'2018_commission_structure'!$A$1:$A$4,0),MATCH(P$1,'2018_commission_structure'!$A$1:$I$1,0)),0)</f>
        <v>23543.47</v>
      </c>
      <c r="Q242" s="9">
        <f>IF($H242&gt;J242, MIN($H242-J242, K242-J242)*INDEX('2018_commission_structure'!$A$1:$I$4,MATCH($E242,'2018_commission_structure'!$A$1:$A$4,0),MATCH(Q$1,'2018_commission_structure'!$A$1:$I$1,0)),0)</f>
        <v>0</v>
      </c>
      <c r="R242" s="9">
        <f>IF($H242&gt;K242, MIN($H242-K242, L242-K242)*INDEX('2018_commission_structure'!$A$1:$I$4,MATCH($E242,'2018_commission_structure'!$A$1:$A$4,0),MATCH(R$1,'2018_commission_structure'!$A$1:$I$1,0)),0)</f>
        <v>0</v>
      </c>
      <c r="S242" s="9">
        <f>IF(H242&gt;L242,(H242-L242)*INDEX('2018_commission_structure'!$A$1:$I$4,MATCH($E242,'2018_commission_structure'!$A$1:$A$4,0),MATCH(S$1,'2018_commission_structure'!$A$1:$I$1,0)),0)</f>
        <v>0</v>
      </c>
      <c r="T242" s="9">
        <f t="shared" si="36"/>
        <v>136043.47</v>
      </c>
      <c r="U242" s="9">
        <f t="shared" si="37"/>
        <v>222410.47</v>
      </c>
      <c r="V242" s="9">
        <f>MIN($I242,$H242)*INDEX('Key Metrics'!$E$16:$N$19,MATCH($E242,'Key Metrics'!$E$16:$E$19,0),MATCH(V$1,'Key Metrics'!$E$16:$M$16,0))</f>
        <v>112500</v>
      </c>
      <c r="W242" s="9">
        <f>IF($H242&gt;I242, MIN($H242-I242, J242-I242)*INDEX('Key Metrics'!$E$16:$N$19,MATCH($E242,'Key Metrics'!$E$16:$E$19,0),MATCH(W$1,'Key Metrics'!$E$16:$M$16,0)),0)</f>
        <v>27260.86</v>
      </c>
      <c r="X242" s="9">
        <f>IF($H242&gt;J242, MIN($H242-J242, K242-J242)*INDEX('Key Metrics'!$E$16:$N$19,MATCH($E242,'Key Metrics'!$E$16:$E$19,0),MATCH(X$1,'Key Metrics'!$E$16:$M$16,0)),0)</f>
        <v>0</v>
      </c>
      <c r="Y242" s="9">
        <f>IF($H242&gt;K242, MIN($H242-K242, L242-K242)*INDEX('Key Metrics'!$E$16:$N$19,MATCH($E242,'Key Metrics'!$E$16:$E$19,0),MATCH(Y$1,'Key Metrics'!$E$16:$M$16,0)),0)</f>
        <v>0</v>
      </c>
      <c r="Z242" s="9">
        <f>IF($H242&gt;L242,($H242-L242)*INDEX('Key Metrics'!$E$16:$N$19,MATCH($E242,'Key Metrics'!$E$16:$E$19,0),MATCH(Z$1,'Key Metrics'!$E$16:$M$16,0)),0)</f>
        <v>0</v>
      </c>
      <c r="AA242" s="9">
        <f t="shared" si="38"/>
        <v>139760.85999999999</v>
      </c>
      <c r="AB242" s="9">
        <f t="shared" si="39"/>
        <v>139762.02521733331</v>
      </c>
    </row>
    <row r="243" spans="1:28" x14ac:dyDescent="0.55000000000000004">
      <c r="A243" t="str">
        <f t="shared" si="30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COUNTIF(deals_closed!$D$2:$D$20001,Calculations!B512)</f>
        <v>18</v>
      </c>
      <c r="H243" s="7">
        <f>SUMIF(deals_closed!$D:$D,Calculations!B512,deals_closed!$C:$C)</f>
        <v>642239</v>
      </c>
      <c r="I243" s="5">
        <f>VLOOKUP(E243,'2018_commission_structure'!$A$1:$I$4,9,FALSE)</f>
        <v>750000</v>
      </c>
      <c r="J243" s="9">
        <f t="shared" si="31"/>
        <v>937500</v>
      </c>
      <c r="K243" s="10">
        <f t="shared" si="32"/>
        <v>1125000</v>
      </c>
      <c r="L243" s="9">
        <f t="shared" si="33"/>
        <v>1500000</v>
      </c>
      <c r="M243" s="8">
        <f t="shared" si="34"/>
        <v>0.85631866666666667</v>
      </c>
      <c r="N243" t="str">
        <f t="shared" si="35"/>
        <v>0-100%</v>
      </c>
      <c r="O243" s="9">
        <f>MIN($H243,$I243)*INDEX('2018_commission_structure'!$A$1:$I$4,MATCH($E243,'2018_commission_structure'!$A$1:$A$4,0),MATCH(O$1,'2018_commission_structure'!$A$1:$I$1,0))</f>
        <v>96335.849999999991</v>
      </c>
      <c r="P243" s="9">
        <f>IF(H243&gt;I243, MIN(H243-I243, J243-I243)*INDEX('2018_commission_structure'!$A$1:$I$4,MATCH($E243,'2018_commission_structure'!$A$1:$A$4,0),MATCH(P$1,'2018_commission_structure'!$A$1:$I$1,0)),0)</f>
        <v>0</v>
      </c>
      <c r="Q243" s="9">
        <f>IF($H243&gt;J243, MIN($H243-J243, K243-J243)*INDEX('2018_commission_structure'!$A$1:$I$4,MATCH($E243,'2018_commission_structure'!$A$1:$A$4,0),MATCH(Q$1,'2018_commission_structure'!$A$1:$I$1,0)),0)</f>
        <v>0</v>
      </c>
      <c r="R243" s="9">
        <f>IF($H243&gt;K243, MIN($H243-K243, L243-K243)*INDEX('2018_commission_structure'!$A$1:$I$4,MATCH($E243,'2018_commission_structure'!$A$1:$A$4,0),MATCH(R$1,'2018_commission_structure'!$A$1:$I$1,0)),0)</f>
        <v>0</v>
      </c>
      <c r="S243" s="9">
        <f>IF(H243&gt;L243,(H243-L243)*INDEX('2018_commission_structure'!$A$1:$I$4,MATCH($E243,'2018_commission_structure'!$A$1:$A$4,0),MATCH(S$1,'2018_commission_structure'!$A$1:$I$1,0)),0)</f>
        <v>0</v>
      </c>
      <c r="T243" s="9">
        <f t="shared" si="36"/>
        <v>96335.849999999991</v>
      </c>
      <c r="U243" s="9">
        <f t="shared" si="37"/>
        <v>215312.84999999998</v>
      </c>
      <c r="V243" s="9">
        <f>MIN($I243,$H243)*INDEX('Key Metrics'!$E$16:$N$19,MATCH($E243,'Key Metrics'!$E$16:$E$19,0),MATCH(V$1,'Key Metrics'!$E$16:$M$16,0))</f>
        <v>96335.849999999991</v>
      </c>
      <c r="W243" s="9">
        <f>IF($H243&gt;I243, MIN($H243-I243, J243-I243)*INDEX('Key Metrics'!$E$16:$N$19,MATCH($E243,'Key Metrics'!$E$16:$E$19,0),MATCH(W$1,'Key Metrics'!$E$16:$M$16,0)),0)</f>
        <v>0</v>
      </c>
      <c r="X243" s="9">
        <f>IF($H243&gt;J243, MIN($H243-J243, K243-J243)*INDEX('Key Metrics'!$E$16:$N$19,MATCH($E243,'Key Metrics'!$E$16:$E$19,0),MATCH(X$1,'Key Metrics'!$E$16:$M$16,0)),0)</f>
        <v>0</v>
      </c>
      <c r="Y243" s="9">
        <f>IF($H243&gt;K243, MIN($H243-K243, L243-K243)*INDEX('Key Metrics'!$E$16:$N$19,MATCH($E243,'Key Metrics'!$E$16:$E$19,0),MATCH(Y$1,'Key Metrics'!$E$16:$M$16,0)),0)</f>
        <v>0</v>
      </c>
      <c r="Z243" s="9">
        <f>IF($H243&gt;L243,($H243-L243)*INDEX('Key Metrics'!$E$16:$N$19,MATCH($E243,'Key Metrics'!$E$16:$E$19,0),MATCH(Z$1,'Key Metrics'!$E$16:$M$16,0)),0)</f>
        <v>0</v>
      </c>
      <c r="AA243" s="9">
        <f t="shared" si="38"/>
        <v>96335.849999999991</v>
      </c>
      <c r="AB243" s="9">
        <f t="shared" si="39"/>
        <v>96336.706318666664</v>
      </c>
    </row>
    <row r="244" spans="1:28" x14ac:dyDescent="0.55000000000000004">
      <c r="A244" t="str">
        <f t="shared" si="30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COUNTIF(deals_closed!$D$2:$D$20001,Calculations!B889)</f>
        <v>22</v>
      </c>
      <c r="H244" s="7">
        <f>SUMIF(deals_closed!$D:$D,Calculations!B889,deals_closed!$C:$C)</f>
        <v>724036</v>
      </c>
      <c r="I244" s="5">
        <f>VLOOKUP(E244,'2018_commission_structure'!$A$1:$I$4,9,FALSE)</f>
        <v>750000</v>
      </c>
      <c r="J244" s="9">
        <f t="shared" si="31"/>
        <v>937500</v>
      </c>
      <c r="K244" s="10">
        <f t="shared" si="32"/>
        <v>1125000</v>
      </c>
      <c r="L244" s="9">
        <f t="shared" si="33"/>
        <v>1500000</v>
      </c>
      <c r="M244" s="8">
        <f t="shared" si="34"/>
        <v>0.96538133333333331</v>
      </c>
      <c r="N244" t="str">
        <f t="shared" si="35"/>
        <v>0-100%</v>
      </c>
      <c r="O244" s="9">
        <f>MIN($H244,$I244)*INDEX('2018_commission_structure'!$A$1:$I$4,MATCH($E244,'2018_commission_structure'!$A$1:$A$4,0),MATCH(O$1,'2018_commission_structure'!$A$1:$I$1,0))</f>
        <v>108605.4</v>
      </c>
      <c r="P244" s="9">
        <f>IF(H244&gt;I244, MIN(H244-I244, J244-I244)*INDEX('2018_commission_structure'!$A$1:$I$4,MATCH($E244,'2018_commission_structure'!$A$1:$A$4,0),MATCH(P$1,'2018_commission_structure'!$A$1:$I$1,0)),0)</f>
        <v>0</v>
      </c>
      <c r="Q244" s="9">
        <f>IF($H244&gt;J244, MIN($H244-J244, K244-J244)*INDEX('2018_commission_structure'!$A$1:$I$4,MATCH($E244,'2018_commission_structure'!$A$1:$A$4,0),MATCH(Q$1,'2018_commission_structure'!$A$1:$I$1,0)),0)</f>
        <v>0</v>
      </c>
      <c r="R244" s="9">
        <f>IF($H244&gt;K244, MIN($H244-K244, L244-K244)*INDEX('2018_commission_structure'!$A$1:$I$4,MATCH($E244,'2018_commission_structure'!$A$1:$A$4,0),MATCH(R$1,'2018_commission_structure'!$A$1:$I$1,0)),0)</f>
        <v>0</v>
      </c>
      <c r="S244" s="9">
        <f>IF(H244&gt;L244,(H244-L244)*INDEX('2018_commission_structure'!$A$1:$I$4,MATCH($E244,'2018_commission_structure'!$A$1:$A$4,0),MATCH(S$1,'2018_commission_structure'!$A$1:$I$1,0)),0)</f>
        <v>0</v>
      </c>
      <c r="T244" s="9">
        <f t="shared" si="36"/>
        <v>108605.4</v>
      </c>
      <c r="U244" s="9">
        <f t="shared" si="37"/>
        <v>198980.4</v>
      </c>
      <c r="V244" s="9">
        <f>MIN($I244,$H244)*INDEX('Key Metrics'!$E$16:$N$19,MATCH($E244,'Key Metrics'!$E$16:$E$19,0),MATCH(V$1,'Key Metrics'!$E$16:$M$16,0))</f>
        <v>108605.4</v>
      </c>
      <c r="W244" s="9">
        <f>IF($H244&gt;I244, MIN($H244-I244, J244-I244)*INDEX('Key Metrics'!$E$16:$N$19,MATCH($E244,'Key Metrics'!$E$16:$E$19,0),MATCH(W$1,'Key Metrics'!$E$16:$M$16,0)),0)</f>
        <v>0</v>
      </c>
      <c r="X244" s="9">
        <f>IF($H244&gt;J244, MIN($H244-J244, K244-J244)*INDEX('Key Metrics'!$E$16:$N$19,MATCH($E244,'Key Metrics'!$E$16:$E$19,0),MATCH(X$1,'Key Metrics'!$E$16:$M$16,0)),0)</f>
        <v>0</v>
      </c>
      <c r="Y244" s="9">
        <f>IF($H244&gt;K244, MIN($H244-K244, L244-K244)*INDEX('Key Metrics'!$E$16:$N$19,MATCH($E244,'Key Metrics'!$E$16:$E$19,0),MATCH(Y$1,'Key Metrics'!$E$16:$M$16,0)),0)</f>
        <v>0</v>
      </c>
      <c r="Z244" s="9">
        <f>IF($H244&gt;L244,($H244-L244)*INDEX('Key Metrics'!$E$16:$N$19,MATCH($E244,'Key Metrics'!$E$16:$E$19,0),MATCH(Z$1,'Key Metrics'!$E$16:$M$16,0)),0)</f>
        <v>0</v>
      </c>
      <c r="AA244" s="9">
        <f t="shared" si="38"/>
        <v>108605.4</v>
      </c>
      <c r="AB244" s="9">
        <f t="shared" si="39"/>
        <v>108606.36538133332</v>
      </c>
    </row>
    <row r="245" spans="1:28" x14ac:dyDescent="0.55000000000000004">
      <c r="A245" t="str">
        <f t="shared" si="30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COUNTIF(deals_closed!$D$2:$D$20001,Calculations!B705)</f>
        <v>16</v>
      </c>
      <c r="H245" s="7">
        <f>SUMIF(deals_closed!$D:$D,Calculations!B705,deals_closed!$C:$C)</f>
        <v>567972</v>
      </c>
      <c r="I245" s="5">
        <f>VLOOKUP(E245,'2018_commission_structure'!$A$1:$I$4,9,FALSE)</f>
        <v>500000</v>
      </c>
      <c r="J245" s="9">
        <f t="shared" si="31"/>
        <v>625000</v>
      </c>
      <c r="K245" s="10">
        <f t="shared" si="32"/>
        <v>750000</v>
      </c>
      <c r="L245" s="9">
        <f t="shared" si="33"/>
        <v>1000000</v>
      </c>
      <c r="M245" s="8">
        <f t="shared" si="34"/>
        <v>1.1359440000000001</v>
      </c>
      <c r="N245" t="str">
        <f t="shared" si="35"/>
        <v>100-125%</v>
      </c>
      <c r="O245" s="9">
        <f>MIN($H245,$I245)*INDEX('2018_commission_structure'!$A$1:$I$4,MATCH($E245,'2018_commission_structure'!$A$1:$A$4,0),MATCH(O$1,'2018_commission_structure'!$A$1:$I$1,0))</f>
        <v>50000</v>
      </c>
      <c r="P245" s="9">
        <f>IF(H245&gt;I245, MIN(H245-I245, J245-I245)*INDEX('2018_commission_structure'!$A$1:$I$4,MATCH($E245,'2018_commission_structure'!$A$1:$A$4,0),MATCH(P$1,'2018_commission_structure'!$A$1:$I$1,0)),0)</f>
        <v>10195.799999999999</v>
      </c>
      <c r="Q245" s="9">
        <f>IF($H245&gt;J245, MIN($H245-J245, K245-J245)*INDEX('2018_commission_structure'!$A$1:$I$4,MATCH($E245,'2018_commission_structure'!$A$1:$A$4,0),MATCH(Q$1,'2018_commission_structure'!$A$1:$I$1,0)),0)</f>
        <v>0</v>
      </c>
      <c r="R245" s="9">
        <f>IF($H245&gt;K245, MIN($H245-K245, L245-K245)*INDEX('2018_commission_structure'!$A$1:$I$4,MATCH($E245,'2018_commission_structure'!$A$1:$A$4,0),MATCH(R$1,'2018_commission_structure'!$A$1:$I$1,0)),0)</f>
        <v>0</v>
      </c>
      <c r="S245" s="9">
        <f>IF(H245&gt;L245,(H245-L245)*INDEX('2018_commission_structure'!$A$1:$I$4,MATCH($E245,'2018_commission_structure'!$A$1:$A$4,0),MATCH(S$1,'2018_commission_structure'!$A$1:$I$1,0)),0)</f>
        <v>0</v>
      </c>
      <c r="T245" s="9">
        <f t="shared" si="36"/>
        <v>60195.8</v>
      </c>
      <c r="U245" s="9">
        <f t="shared" si="37"/>
        <v>107110.8</v>
      </c>
      <c r="V245" s="9">
        <f>MIN($I245,$H245)*INDEX('Key Metrics'!$E$16:$N$19,MATCH($E245,'Key Metrics'!$E$16:$E$19,0),MATCH(V$1,'Key Metrics'!$E$16:$M$16,0))</f>
        <v>60000</v>
      </c>
      <c r="W245" s="9">
        <f>IF($H245&gt;I245, MIN($H245-I245, J245-I245)*INDEX('Key Metrics'!$E$16:$N$19,MATCH($E245,'Key Metrics'!$E$16:$E$19,0),MATCH(W$1,'Key Metrics'!$E$16:$M$16,0)),0)</f>
        <v>11555.240000000002</v>
      </c>
      <c r="X245" s="9">
        <f>IF($H245&gt;J245, MIN($H245-J245, K245-J245)*INDEX('Key Metrics'!$E$16:$N$19,MATCH($E245,'Key Metrics'!$E$16:$E$19,0),MATCH(X$1,'Key Metrics'!$E$16:$M$16,0)),0)</f>
        <v>0</v>
      </c>
      <c r="Y245" s="9">
        <f>IF($H245&gt;K245, MIN($H245-K245, L245-K245)*INDEX('Key Metrics'!$E$16:$N$19,MATCH($E245,'Key Metrics'!$E$16:$E$19,0),MATCH(Y$1,'Key Metrics'!$E$16:$M$16,0)),0)</f>
        <v>0</v>
      </c>
      <c r="Z245" s="9">
        <f>IF($H245&gt;L245,($H245-L245)*INDEX('Key Metrics'!$E$16:$N$19,MATCH($E245,'Key Metrics'!$E$16:$E$19,0),MATCH(Z$1,'Key Metrics'!$E$16:$M$16,0)),0)</f>
        <v>0</v>
      </c>
      <c r="AA245" s="9">
        <f t="shared" si="38"/>
        <v>71555.240000000005</v>
      </c>
      <c r="AB245" s="9">
        <f t="shared" si="39"/>
        <v>71556.375943999999</v>
      </c>
    </row>
    <row r="246" spans="1:28" x14ac:dyDescent="0.55000000000000004">
      <c r="A246" t="str">
        <f t="shared" si="30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COUNTIF(deals_closed!$D$2:$D$20001,Calculations!B823)</f>
        <v>20</v>
      </c>
      <c r="H246" s="7">
        <f>SUMIF(deals_closed!$D:$D,Calculations!B823,deals_closed!$C:$C)</f>
        <v>634931</v>
      </c>
      <c r="I246" s="5">
        <f>VLOOKUP(E246,'2018_commission_structure'!$A$1:$I$4,9,FALSE)</f>
        <v>600000</v>
      </c>
      <c r="J246" s="9">
        <f t="shared" si="31"/>
        <v>750000</v>
      </c>
      <c r="K246" s="10">
        <f t="shared" si="32"/>
        <v>900000</v>
      </c>
      <c r="L246" s="9">
        <f t="shared" si="33"/>
        <v>1200000</v>
      </c>
      <c r="M246" s="8">
        <f t="shared" si="34"/>
        <v>1.0582183333333333</v>
      </c>
      <c r="N246" t="str">
        <f t="shared" si="35"/>
        <v>100-125%</v>
      </c>
      <c r="O246" s="9">
        <f>MIN($H246,$I246)*INDEX('2018_commission_structure'!$A$1:$I$4,MATCH($E246,'2018_commission_structure'!$A$1:$A$4,0),MATCH(O$1,'2018_commission_structure'!$A$1:$I$1,0))</f>
        <v>78000</v>
      </c>
      <c r="P246" s="9">
        <f>IF(H246&gt;I246, MIN(H246-I246, J246-I246)*INDEX('2018_commission_structure'!$A$1:$I$4,MATCH($E246,'2018_commission_structure'!$A$1:$A$4,0),MATCH(P$1,'2018_commission_structure'!$A$1:$I$1,0)),0)</f>
        <v>5938.27</v>
      </c>
      <c r="Q246" s="9">
        <f>IF($H246&gt;J246, MIN($H246-J246, K246-J246)*INDEX('2018_commission_structure'!$A$1:$I$4,MATCH($E246,'2018_commission_structure'!$A$1:$A$4,0),MATCH(Q$1,'2018_commission_structure'!$A$1:$I$1,0)),0)</f>
        <v>0</v>
      </c>
      <c r="R246" s="9">
        <f>IF($H246&gt;K246, MIN($H246-K246, L246-K246)*INDEX('2018_commission_structure'!$A$1:$I$4,MATCH($E246,'2018_commission_structure'!$A$1:$A$4,0),MATCH(R$1,'2018_commission_structure'!$A$1:$I$1,0)),0)</f>
        <v>0</v>
      </c>
      <c r="S246" s="9">
        <f>IF(H246&gt;L246,(H246-L246)*INDEX('2018_commission_structure'!$A$1:$I$4,MATCH($E246,'2018_commission_structure'!$A$1:$A$4,0),MATCH(S$1,'2018_commission_structure'!$A$1:$I$1,0)),0)</f>
        <v>0</v>
      </c>
      <c r="T246" s="9">
        <f t="shared" si="36"/>
        <v>83938.27</v>
      </c>
      <c r="U246" s="9">
        <f t="shared" si="37"/>
        <v>156944.27000000002</v>
      </c>
      <c r="V246" s="9">
        <f>MIN($I246,$H246)*INDEX('Key Metrics'!$E$16:$N$19,MATCH($E246,'Key Metrics'!$E$16:$E$19,0),MATCH(V$1,'Key Metrics'!$E$16:$M$16,0))</f>
        <v>90000</v>
      </c>
      <c r="W246" s="9">
        <f>IF($H246&gt;I246, MIN($H246-I246, J246-I246)*INDEX('Key Metrics'!$E$16:$N$19,MATCH($E246,'Key Metrics'!$E$16:$E$19,0),MATCH(W$1,'Key Metrics'!$E$16:$M$16,0)),0)</f>
        <v>6287.58</v>
      </c>
      <c r="X246" s="9">
        <f>IF($H246&gt;J246, MIN($H246-J246, K246-J246)*INDEX('Key Metrics'!$E$16:$N$19,MATCH($E246,'Key Metrics'!$E$16:$E$19,0),MATCH(X$1,'Key Metrics'!$E$16:$M$16,0)),0)</f>
        <v>0</v>
      </c>
      <c r="Y246" s="9">
        <f>IF($H246&gt;K246, MIN($H246-K246, L246-K246)*INDEX('Key Metrics'!$E$16:$N$19,MATCH($E246,'Key Metrics'!$E$16:$E$19,0),MATCH(Y$1,'Key Metrics'!$E$16:$M$16,0)),0)</f>
        <v>0</v>
      </c>
      <c r="Z246" s="9">
        <f>IF($H246&gt;L246,($H246-L246)*INDEX('Key Metrics'!$E$16:$N$19,MATCH($E246,'Key Metrics'!$E$16:$E$19,0),MATCH(Z$1,'Key Metrics'!$E$16:$M$16,0)),0)</f>
        <v>0</v>
      </c>
      <c r="AA246" s="9">
        <f t="shared" si="38"/>
        <v>96287.58</v>
      </c>
      <c r="AB246" s="9">
        <f t="shared" si="39"/>
        <v>96288.638218333333</v>
      </c>
    </row>
    <row r="247" spans="1:28" x14ac:dyDescent="0.55000000000000004">
      <c r="A247" t="str">
        <f t="shared" si="30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COUNTIF(deals_closed!$D$2:$D$20001,Calculations!B959)</f>
        <v>16</v>
      </c>
      <c r="H247" s="7">
        <f>SUMIF(deals_closed!$D:$D,Calculations!B959,deals_closed!$C:$C)</f>
        <v>612398</v>
      </c>
      <c r="I247" s="5">
        <f>VLOOKUP(E247,'2018_commission_structure'!$A$1:$I$4,9,FALSE)</f>
        <v>500000</v>
      </c>
      <c r="J247" s="9">
        <f t="shared" si="31"/>
        <v>625000</v>
      </c>
      <c r="K247" s="10">
        <f t="shared" si="32"/>
        <v>750000</v>
      </c>
      <c r="L247" s="9">
        <f t="shared" si="33"/>
        <v>1000000</v>
      </c>
      <c r="M247" s="8">
        <f t="shared" si="34"/>
        <v>1.224796</v>
      </c>
      <c r="N247" t="str">
        <f t="shared" si="35"/>
        <v>100-125%</v>
      </c>
      <c r="O247" s="9">
        <f>MIN($H247,$I247)*INDEX('2018_commission_structure'!$A$1:$I$4,MATCH($E247,'2018_commission_structure'!$A$1:$A$4,0),MATCH(O$1,'2018_commission_structure'!$A$1:$I$1,0))</f>
        <v>50000</v>
      </c>
      <c r="P247" s="9">
        <f>IF(H247&gt;I247, MIN(H247-I247, J247-I247)*INDEX('2018_commission_structure'!$A$1:$I$4,MATCH($E247,'2018_commission_structure'!$A$1:$A$4,0),MATCH(P$1,'2018_commission_structure'!$A$1:$I$1,0)),0)</f>
        <v>16859.7</v>
      </c>
      <c r="Q247" s="9">
        <f>IF($H247&gt;J247, MIN($H247-J247, K247-J247)*INDEX('2018_commission_structure'!$A$1:$I$4,MATCH($E247,'2018_commission_structure'!$A$1:$A$4,0),MATCH(Q$1,'2018_commission_structure'!$A$1:$I$1,0)),0)</f>
        <v>0</v>
      </c>
      <c r="R247" s="9">
        <f>IF($H247&gt;K247, MIN($H247-K247, L247-K247)*INDEX('2018_commission_structure'!$A$1:$I$4,MATCH($E247,'2018_commission_structure'!$A$1:$A$4,0),MATCH(R$1,'2018_commission_structure'!$A$1:$I$1,0)),0)</f>
        <v>0</v>
      </c>
      <c r="S247" s="9">
        <f>IF(H247&gt;L247,(H247-L247)*INDEX('2018_commission_structure'!$A$1:$I$4,MATCH($E247,'2018_commission_structure'!$A$1:$A$4,0),MATCH(S$1,'2018_commission_structure'!$A$1:$I$1,0)),0)</f>
        <v>0</v>
      </c>
      <c r="T247" s="9">
        <f t="shared" si="36"/>
        <v>66859.7</v>
      </c>
      <c r="U247" s="9">
        <f t="shared" si="37"/>
        <v>101722.7</v>
      </c>
      <c r="V247" s="9">
        <f>MIN($I247,$H247)*INDEX('Key Metrics'!$E$16:$N$19,MATCH($E247,'Key Metrics'!$E$16:$E$19,0),MATCH(V$1,'Key Metrics'!$E$16:$M$16,0))</f>
        <v>60000</v>
      </c>
      <c r="W247" s="9">
        <f>IF($H247&gt;I247, MIN($H247-I247, J247-I247)*INDEX('Key Metrics'!$E$16:$N$19,MATCH($E247,'Key Metrics'!$E$16:$E$19,0),MATCH(W$1,'Key Metrics'!$E$16:$M$16,0)),0)</f>
        <v>19107.66</v>
      </c>
      <c r="X247" s="9">
        <f>IF($H247&gt;J247, MIN($H247-J247, K247-J247)*INDEX('Key Metrics'!$E$16:$N$19,MATCH($E247,'Key Metrics'!$E$16:$E$19,0),MATCH(X$1,'Key Metrics'!$E$16:$M$16,0)),0)</f>
        <v>0</v>
      </c>
      <c r="Y247" s="9">
        <f>IF($H247&gt;K247, MIN($H247-K247, L247-K247)*INDEX('Key Metrics'!$E$16:$N$19,MATCH($E247,'Key Metrics'!$E$16:$E$19,0),MATCH(Y$1,'Key Metrics'!$E$16:$M$16,0)),0)</f>
        <v>0</v>
      </c>
      <c r="Z247" s="9">
        <f>IF($H247&gt;L247,($H247-L247)*INDEX('Key Metrics'!$E$16:$N$19,MATCH($E247,'Key Metrics'!$E$16:$E$19,0),MATCH(Z$1,'Key Metrics'!$E$16:$M$16,0)),0)</f>
        <v>0</v>
      </c>
      <c r="AA247" s="9">
        <f t="shared" si="38"/>
        <v>79107.66</v>
      </c>
      <c r="AB247" s="9">
        <f t="shared" si="39"/>
        <v>79108.884795999998</v>
      </c>
    </row>
    <row r="248" spans="1:28" x14ac:dyDescent="0.55000000000000004">
      <c r="A248" t="str">
        <f t="shared" si="30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COUNTIF(deals_closed!$D$2:$D$20001,Calculations!B485)</f>
        <v>15</v>
      </c>
      <c r="H248" s="7">
        <f>SUMIF(deals_closed!$D:$D,Calculations!B485,deals_closed!$C:$C)</f>
        <v>428438</v>
      </c>
      <c r="I248" s="5">
        <f>VLOOKUP(E248,'2018_commission_structure'!$A$1:$I$4,9,FALSE)</f>
        <v>500000</v>
      </c>
      <c r="J248" s="9">
        <f t="shared" si="31"/>
        <v>625000</v>
      </c>
      <c r="K248" s="10">
        <f t="shared" si="32"/>
        <v>750000</v>
      </c>
      <c r="L248" s="9">
        <f t="shared" si="33"/>
        <v>1000000</v>
      </c>
      <c r="M248" s="8">
        <f t="shared" si="34"/>
        <v>0.85687599999999997</v>
      </c>
      <c r="N248" t="str">
        <f t="shared" si="35"/>
        <v>0-100%</v>
      </c>
      <c r="O248" s="9">
        <f>MIN($H248,$I248)*INDEX('2018_commission_structure'!$A$1:$I$4,MATCH($E248,'2018_commission_structure'!$A$1:$A$4,0),MATCH(O$1,'2018_commission_structure'!$A$1:$I$1,0))</f>
        <v>42843.8</v>
      </c>
      <c r="P248" s="9">
        <f>IF(H248&gt;I248, MIN(H248-I248, J248-I248)*INDEX('2018_commission_structure'!$A$1:$I$4,MATCH($E248,'2018_commission_structure'!$A$1:$A$4,0),MATCH(P$1,'2018_commission_structure'!$A$1:$I$1,0)),0)</f>
        <v>0</v>
      </c>
      <c r="Q248" s="9">
        <f>IF($H248&gt;J248, MIN($H248-J248, K248-J248)*INDEX('2018_commission_structure'!$A$1:$I$4,MATCH($E248,'2018_commission_structure'!$A$1:$A$4,0),MATCH(Q$1,'2018_commission_structure'!$A$1:$I$1,0)),0)</f>
        <v>0</v>
      </c>
      <c r="R248" s="9">
        <f>IF($H248&gt;K248, MIN($H248-K248, L248-K248)*INDEX('2018_commission_structure'!$A$1:$I$4,MATCH($E248,'2018_commission_structure'!$A$1:$A$4,0),MATCH(R$1,'2018_commission_structure'!$A$1:$I$1,0)),0)</f>
        <v>0</v>
      </c>
      <c r="S248" s="9">
        <f>IF(H248&gt;L248,(H248-L248)*INDEX('2018_commission_structure'!$A$1:$I$4,MATCH($E248,'2018_commission_structure'!$A$1:$A$4,0),MATCH(S$1,'2018_commission_structure'!$A$1:$I$1,0)),0)</f>
        <v>0</v>
      </c>
      <c r="T248" s="9">
        <f t="shared" si="36"/>
        <v>42843.8</v>
      </c>
      <c r="U248" s="9">
        <f t="shared" si="37"/>
        <v>83559.8</v>
      </c>
      <c r="V248" s="9">
        <f>MIN($I248,$H248)*INDEX('Key Metrics'!$E$16:$N$19,MATCH($E248,'Key Metrics'!$E$16:$E$19,0),MATCH(V$1,'Key Metrics'!$E$16:$M$16,0))</f>
        <v>51412.56</v>
      </c>
      <c r="W248" s="9">
        <f>IF($H248&gt;I248, MIN($H248-I248, J248-I248)*INDEX('Key Metrics'!$E$16:$N$19,MATCH($E248,'Key Metrics'!$E$16:$E$19,0),MATCH(W$1,'Key Metrics'!$E$16:$M$16,0)),0)</f>
        <v>0</v>
      </c>
      <c r="X248" s="9">
        <f>IF($H248&gt;J248, MIN($H248-J248, K248-J248)*INDEX('Key Metrics'!$E$16:$N$19,MATCH($E248,'Key Metrics'!$E$16:$E$19,0),MATCH(X$1,'Key Metrics'!$E$16:$M$16,0)),0)</f>
        <v>0</v>
      </c>
      <c r="Y248" s="9">
        <f>IF($H248&gt;K248, MIN($H248-K248, L248-K248)*INDEX('Key Metrics'!$E$16:$N$19,MATCH($E248,'Key Metrics'!$E$16:$E$19,0),MATCH(Y$1,'Key Metrics'!$E$16:$M$16,0)),0)</f>
        <v>0</v>
      </c>
      <c r="Z248" s="9">
        <f>IF($H248&gt;L248,($H248-L248)*INDEX('Key Metrics'!$E$16:$N$19,MATCH($E248,'Key Metrics'!$E$16:$E$19,0),MATCH(Z$1,'Key Metrics'!$E$16:$M$16,0)),0)</f>
        <v>0</v>
      </c>
      <c r="AA248" s="9">
        <f t="shared" si="38"/>
        <v>51412.56</v>
      </c>
      <c r="AB248" s="9">
        <f t="shared" si="39"/>
        <v>51413.416875999996</v>
      </c>
    </row>
    <row r="249" spans="1:28" x14ac:dyDescent="0.55000000000000004">
      <c r="A249" t="str">
        <f t="shared" si="30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COUNTIF(deals_closed!$D$2:$D$20001,Calculations!B587)</f>
        <v>16</v>
      </c>
      <c r="H249" s="7">
        <f>SUMIF(deals_closed!$D:$D,Calculations!B587,deals_closed!$C:$C)</f>
        <v>528737</v>
      </c>
      <c r="I249" s="5">
        <f>VLOOKUP(E249,'2018_commission_structure'!$A$1:$I$4,9,FALSE)</f>
        <v>500000</v>
      </c>
      <c r="J249" s="9">
        <f t="shared" si="31"/>
        <v>625000</v>
      </c>
      <c r="K249" s="10">
        <f t="shared" si="32"/>
        <v>750000</v>
      </c>
      <c r="L249" s="9">
        <f t="shared" si="33"/>
        <v>1000000</v>
      </c>
      <c r="M249" s="8">
        <f t="shared" si="34"/>
        <v>1.057474</v>
      </c>
      <c r="N249" t="str">
        <f t="shared" si="35"/>
        <v>100-125%</v>
      </c>
      <c r="O249" s="9">
        <f>MIN($H249,$I249)*INDEX('2018_commission_structure'!$A$1:$I$4,MATCH($E249,'2018_commission_structure'!$A$1:$A$4,0),MATCH(O$1,'2018_commission_structure'!$A$1:$I$1,0))</f>
        <v>50000</v>
      </c>
      <c r="P249" s="9">
        <f>IF(H249&gt;I249, MIN(H249-I249, J249-I249)*INDEX('2018_commission_structure'!$A$1:$I$4,MATCH($E249,'2018_commission_structure'!$A$1:$A$4,0),MATCH(P$1,'2018_commission_structure'!$A$1:$I$1,0)),0)</f>
        <v>4310.55</v>
      </c>
      <c r="Q249" s="9">
        <f>IF($H249&gt;J249, MIN($H249-J249, K249-J249)*INDEX('2018_commission_structure'!$A$1:$I$4,MATCH($E249,'2018_commission_structure'!$A$1:$A$4,0),MATCH(Q$1,'2018_commission_structure'!$A$1:$I$1,0)),0)</f>
        <v>0</v>
      </c>
      <c r="R249" s="9">
        <f>IF($H249&gt;K249, MIN($H249-K249, L249-K249)*INDEX('2018_commission_structure'!$A$1:$I$4,MATCH($E249,'2018_commission_structure'!$A$1:$A$4,0),MATCH(R$1,'2018_commission_structure'!$A$1:$I$1,0)),0)</f>
        <v>0</v>
      </c>
      <c r="S249" s="9">
        <f>IF(H249&gt;L249,(H249-L249)*INDEX('2018_commission_structure'!$A$1:$I$4,MATCH($E249,'2018_commission_structure'!$A$1:$A$4,0),MATCH(S$1,'2018_commission_structure'!$A$1:$I$1,0)),0)</f>
        <v>0</v>
      </c>
      <c r="T249" s="9">
        <f t="shared" si="36"/>
        <v>54310.55</v>
      </c>
      <c r="U249" s="9">
        <f t="shared" si="37"/>
        <v>112268.55</v>
      </c>
      <c r="V249" s="9">
        <f>MIN($I249,$H249)*INDEX('Key Metrics'!$E$16:$N$19,MATCH($E249,'Key Metrics'!$E$16:$E$19,0),MATCH(V$1,'Key Metrics'!$E$16:$M$16,0))</f>
        <v>60000</v>
      </c>
      <c r="W249" s="9">
        <f>IF($H249&gt;I249, MIN($H249-I249, J249-I249)*INDEX('Key Metrics'!$E$16:$N$19,MATCH($E249,'Key Metrics'!$E$16:$E$19,0),MATCH(W$1,'Key Metrics'!$E$16:$M$16,0)),0)</f>
        <v>4885.29</v>
      </c>
      <c r="X249" s="9">
        <f>IF($H249&gt;J249, MIN($H249-J249, K249-J249)*INDEX('Key Metrics'!$E$16:$N$19,MATCH($E249,'Key Metrics'!$E$16:$E$19,0),MATCH(X$1,'Key Metrics'!$E$16:$M$16,0)),0)</f>
        <v>0</v>
      </c>
      <c r="Y249" s="9">
        <f>IF($H249&gt;K249, MIN($H249-K249, L249-K249)*INDEX('Key Metrics'!$E$16:$N$19,MATCH($E249,'Key Metrics'!$E$16:$E$19,0),MATCH(Y$1,'Key Metrics'!$E$16:$M$16,0)),0)</f>
        <v>0</v>
      </c>
      <c r="Z249" s="9">
        <f>IF($H249&gt;L249,($H249-L249)*INDEX('Key Metrics'!$E$16:$N$19,MATCH($E249,'Key Metrics'!$E$16:$E$19,0),MATCH(Z$1,'Key Metrics'!$E$16:$M$16,0)),0)</f>
        <v>0</v>
      </c>
      <c r="AA249" s="9">
        <f t="shared" si="38"/>
        <v>64885.29</v>
      </c>
      <c r="AB249" s="9">
        <f t="shared" si="39"/>
        <v>64886.347474000002</v>
      </c>
    </row>
    <row r="250" spans="1:28" x14ac:dyDescent="0.55000000000000004">
      <c r="A250" t="str">
        <f t="shared" si="30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COUNTIF(deals_closed!$D$2:$D$20001,Calculations!B724)</f>
        <v>18</v>
      </c>
      <c r="H250" s="7">
        <f>SUMIF(deals_closed!$D:$D,Calculations!B724,deals_closed!$C:$C)</f>
        <v>567584</v>
      </c>
      <c r="I250" s="5">
        <f>VLOOKUP(E250,'2018_commission_structure'!$A$1:$I$4,9,FALSE)</f>
        <v>500000</v>
      </c>
      <c r="J250" s="9">
        <f t="shared" si="31"/>
        <v>625000</v>
      </c>
      <c r="K250" s="10">
        <f t="shared" si="32"/>
        <v>750000</v>
      </c>
      <c r="L250" s="9">
        <f t="shared" si="33"/>
        <v>1000000</v>
      </c>
      <c r="M250" s="8">
        <f t="shared" si="34"/>
        <v>1.135168</v>
      </c>
      <c r="N250" t="str">
        <f t="shared" si="35"/>
        <v>100-125%</v>
      </c>
      <c r="O250" s="9">
        <f>MIN($H250,$I250)*INDEX('2018_commission_structure'!$A$1:$I$4,MATCH($E250,'2018_commission_structure'!$A$1:$A$4,0),MATCH(O$1,'2018_commission_structure'!$A$1:$I$1,0))</f>
        <v>50000</v>
      </c>
      <c r="P250" s="9">
        <f>IF(H250&gt;I250, MIN(H250-I250, J250-I250)*INDEX('2018_commission_structure'!$A$1:$I$4,MATCH($E250,'2018_commission_structure'!$A$1:$A$4,0),MATCH(P$1,'2018_commission_structure'!$A$1:$I$1,0)),0)</f>
        <v>10137.6</v>
      </c>
      <c r="Q250" s="9">
        <f>IF($H250&gt;J250, MIN($H250-J250, K250-J250)*INDEX('2018_commission_structure'!$A$1:$I$4,MATCH($E250,'2018_commission_structure'!$A$1:$A$4,0),MATCH(Q$1,'2018_commission_structure'!$A$1:$I$1,0)),0)</f>
        <v>0</v>
      </c>
      <c r="R250" s="9">
        <f>IF($H250&gt;K250, MIN($H250-K250, L250-K250)*INDEX('2018_commission_structure'!$A$1:$I$4,MATCH($E250,'2018_commission_structure'!$A$1:$A$4,0),MATCH(R$1,'2018_commission_structure'!$A$1:$I$1,0)),0)</f>
        <v>0</v>
      </c>
      <c r="S250" s="9">
        <f>IF(H250&gt;L250,(H250-L250)*INDEX('2018_commission_structure'!$A$1:$I$4,MATCH($E250,'2018_commission_structure'!$A$1:$A$4,0),MATCH(S$1,'2018_commission_structure'!$A$1:$I$1,0)),0)</f>
        <v>0</v>
      </c>
      <c r="T250" s="9">
        <f t="shared" si="36"/>
        <v>60137.599999999999</v>
      </c>
      <c r="U250" s="9">
        <f t="shared" si="37"/>
        <v>95642.6</v>
      </c>
      <c r="V250" s="9">
        <f>MIN($I250,$H250)*INDEX('Key Metrics'!$E$16:$N$19,MATCH($E250,'Key Metrics'!$E$16:$E$19,0),MATCH(V$1,'Key Metrics'!$E$16:$M$16,0))</f>
        <v>60000</v>
      </c>
      <c r="W250" s="9">
        <f>IF($H250&gt;I250, MIN($H250-I250, J250-I250)*INDEX('Key Metrics'!$E$16:$N$19,MATCH($E250,'Key Metrics'!$E$16:$E$19,0),MATCH(W$1,'Key Metrics'!$E$16:$M$16,0)),0)</f>
        <v>11489.28</v>
      </c>
      <c r="X250" s="9">
        <f>IF($H250&gt;J250, MIN($H250-J250, K250-J250)*INDEX('Key Metrics'!$E$16:$N$19,MATCH($E250,'Key Metrics'!$E$16:$E$19,0),MATCH(X$1,'Key Metrics'!$E$16:$M$16,0)),0)</f>
        <v>0</v>
      </c>
      <c r="Y250" s="9">
        <f>IF($H250&gt;K250, MIN($H250-K250, L250-K250)*INDEX('Key Metrics'!$E$16:$N$19,MATCH($E250,'Key Metrics'!$E$16:$E$19,0),MATCH(Y$1,'Key Metrics'!$E$16:$M$16,0)),0)</f>
        <v>0</v>
      </c>
      <c r="Z250" s="9">
        <f>IF($H250&gt;L250,($H250-L250)*INDEX('Key Metrics'!$E$16:$N$19,MATCH($E250,'Key Metrics'!$E$16:$E$19,0),MATCH(Z$1,'Key Metrics'!$E$16:$M$16,0)),0)</f>
        <v>0</v>
      </c>
      <c r="AA250" s="9">
        <f t="shared" si="38"/>
        <v>71489.279999999999</v>
      </c>
      <c r="AB250" s="9">
        <f t="shared" si="39"/>
        <v>71490.415167999992</v>
      </c>
    </row>
    <row r="251" spans="1:28" x14ac:dyDescent="0.55000000000000004">
      <c r="A251" t="str">
        <f t="shared" si="30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COUNTIF(deals_closed!$D$2:$D$20001,Calculations!B975)</f>
        <v>23</v>
      </c>
      <c r="H251" s="7">
        <f>SUMIF(deals_closed!$D:$D,Calculations!B975,deals_closed!$C:$C)</f>
        <v>831460</v>
      </c>
      <c r="I251" s="5">
        <f>VLOOKUP(E251,'2018_commission_structure'!$A$1:$I$4,9,FALSE)</f>
        <v>600000</v>
      </c>
      <c r="J251" s="9">
        <f t="shared" si="31"/>
        <v>750000</v>
      </c>
      <c r="K251" s="10">
        <f t="shared" si="32"/>
        <v>900000</v>
      </c>
      <c r="L251" s="9">
        <f t="shared" si="33"/>
        <v>1200000</v>
      </c>
      <c r="M251" s="8">
        <f t="shared" si="34"/>
        <v>1.3857666666666666</v>
      </c>
      <c r="N251" t="str">
        <f t="shared" si="35"/>
        <v>125-150%</v>
      </c>
      <c r="O251" s="9">
        <f>MIN($H251,$I251)*INDEX('2018_commission_structure'!$A$1:$I$4,MATCH($E251,'2018_commission_structure'!$A$1:$A$4,0),MATCH(O$1,'2018_commission_structure'!$A$1:$I$1,0))</f>
        <v>78000</v>
      </c>
      <c r="P251" s="9">
        <f>IF(H251&gt;I251, MIN(H251-I251, J251-I251)*INDEX('2018_commission_structure'!$A$1:$I$4,MATCH($E251,'2018_commission_structure'!$A$1:$A$4,0),MATCH(P$1,'2018_commission_structure'!$A$1:$I$1,0)),0)</f>
        <v>25500.000000000004</v>
      </c>
      <c r="Q251" s="9">
        <f>IF($H251&gt;J251, MIN($H251-J251, K251-J251)*INDEX('2018_commission_structure'!$A$1:$I$4,MATCH($E251,'2018_commission_structure'!$A$1:$A$4,0),MATCH(Q$1,'2018_commission_structure'!$A$1:$I$1,0)),0)</f>
        <v>17106.599999999999</v>
      </c>
      <c r="R251" s="9">
        <f>IF($H251&gt;K251, MIN($H251-K251, L251-K251)*INDEX('2018_commission_structure'!$A$1:$I$4,MATCH($E251,'2018_commission_structure'!$A$1:$A$4,0),MATCH(R$1,'2018_commission_structure'!$A$1:$I$1,0)),0)</f>
        <v>0</v>
      </c>
      <c r="S251" s="9">
        <f>IF(H251&gt;L251,(H251-L251)*INDEX('2018_commission_structure'!$A$1:$I$4,MATCH($E251,'2018_commission_structure'!$A$1:$A$4,0),MATCH(S$1,'2018_commission_structure'!$A$1:$I$1,0)),0)</f>
        <v>0</v>
      </c>
      <c r="T251" s="9">
        <f t="shared" si="36"/>
        <v>120606.6</v>
      </c>
      <c r="U251" s="9">
        <f t="shared" si="37"/>
        <v>190250.6</v>
      </c>
      <c r="V251" s="9">
        <f>MIN($I251,$H251)*INDEX('Key Metrics'!$E$16:$N$19,MATCH($E251,'Key Metrics'!$E$16:$E$19,0),MATCH(V$1,'Key Metrics'!$E$16:$M$16,0))</f>
        <v>90000</v>
      </c>
      <c r="W251" s="9">
        <f>IF($H251&gt;I251, MIN($H251-I251, J251-I251)*INDEX('Key Metrics'!$E$16:$N$19,MATCH($E251,'Key Metrics'!$E$16:$E$19,0),MATCH(W$1,'Key Metrics'!$E$16:$M$16,0)),0)</f>
        <v>27000</v>
      </c>
      <c r="X251" s="9">
        <f>IF($H251&gt;J251, MIN($H251-J251, K251-J251)*INDEX('Key Metrics'!$E$16:$N$19,MATCH($E251,'Key Metrics'!$E$16:$E$19,0),MATCH(X$1,'Key Metrics'!$E$16:$M$16,0)),0)</f>
        <v>20365</v>
      </c>
      <c r="Y251" s="9">
        <f>IF($H251&gt;K251, MIN($H251-K251, L251-K251)*INDEX('Key Metrics'!$E$16:$N$19,MATCH($E251,'Key Metrics'!$E$16:$E$19,0),MATCH(Y$1,'Key Metrics'!$E$16:$M$16,0)),0)</f>
        <v>0</v>
      </c>
      <c r="Z251" s="9">
        <f>IF($H251&gt;L251,($H251-L251)*INDEX('Key Metrics'!$E$16:$N$19,MATCH($E251,'Key Metrics'!$E$16:$E$19,0),MATCH(Z$1,'Key Metrics'!$E$16:$M$16,0)),0)</f>
        <v>0</v>
      </c>
      <c r="AA251" s="9">
        <f t="shared" si="38"/>
        <v>137365</v>
      </c>
      <c r="AB251" s="9">
        <f t="shared" si="39"/>
        <v>137366.38576666667</v>
      </c>
    </row>
    <row r="252" spans="1:28" x14ac:dyDescent="0.55000000000000004">
      <c r="A252" t="str">
        <f t="shared" si="30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COUNTIF(deals_closed!$D$2:$D$20001,Calculations!B867)</f>
        <v>18</v>
      </c>
      <c r="H252" s="7">
        <f>SUMIF(deals_closed!$D:$D,Calculations!B867,deals_closed!$C:$C)</f>
        <v>704901</v>
      </c>
      <c r="I252" s="5">
        <f>VLOOKUP(E252,'2018_commission_structure'!$A$1:$I$4,9,FALSE)</f>
        <v>750000</v>
      </c>
      <c r="J252" s="9">
        <f t="shared" si="31"/>
        <v>937500</v>
      </c>
      <c r="K252" s="10">
        <f t="shared" si="32"/>
        <v>1125000</v>
      </c>
      <c r="L252" s="9">
        <f t="shared" si="33"/>
        <v>1500000</v>
      </c>
      <c r="M252" s="8">
        <f t="shared" si="34"/>
        <v>0.93986800000000004</v>
      </c>
      <c r="N252" t="str">
        <f t="shared" si="35"/>
        <v>0-100%</v>
      </c>
      <c r="O252" s="9">
        <f>MIN($H252,$I252)*INDEX('2018_commission_structure'!$A$1:$I$4,MATCH($E252,'2018_commission_structure'!$A$1:$A$4,0),MATCH(O$1,'2018_commission_structure'!$A$1:$I$1,0))</f>
        <v>105735.15</v>
      </c>
      <c r="P252" s="9">
        <f>IF(H252&gt;I252, MIN(H252-I252, J252-I252)*INDEX('2018_commission_structure'!$A$1:$I$4,MATCH($E252,'2018_commission_structure'!$A$1:$A$4,0),MATCH(P$1,'2018_commission_structure'!$A$1:$I$1,0)),0)</f>
        <v>0</v>
      </c>
      <c r="Q252" s="9">
        <f>IF($H252&gt;J252, MIN($H252-J252, K252-J252)*INDEX('2018_commission_structure'!$A$1:$I$4,MATCH($E252,'2018_commission_structure'!$A$1:$A$4,0),MATCH(Q$1,'2018_commission_structure'!$A$1:$I$1,0)),0)</f>
        <v>0</v>
      </c>
      <c r="R252" s="9">
        <f>IF($H252&gt;K252, MIN($H252-K252, L252-K252)*INDEX('2018_commission_structure'!$A$1:$I$4,MATCH($E252,'2018_commission_structure'!$A$1:$A$4,0),MATCH(R$1,'2018_commission_structure'!$A$1:$I$1,0)),0)</f>
        <v>0</v>
      </c>
      <c r="S252" s="9">
        <f>IF(H252&gt;L252,(H252-L252)*INDEX('2018_commission_structure'!$A$1:$I$4,MATCH($E252,'2018_commission_structure'!$A$1:$A$4,0),MATCH(S$1,'2018_commission_structure'!$A$1:$I$1,0)),0)</f>
        <v>0</v>
      </c>
      <c r="T252" s="9">
        <f t="shared" si="36"/>
        <v>105735.15</v>
      </c>
      <c r="U252" s="9">
        <f t="shared" si="37"/>
        <v>180792.15</v>
      </c>
      <c r="V252" s="9">
        <f>MIN($I252,$H252)*INDEX('Key Metrics'!$E$16:$N$19,MATCH($E252,'Key Metrics'!$E$16:$E$19,0),MATCH(V$1,'Key Metrics'!$E$16:$M$16,0))</f>
        <v>105735.15</v>
      </c>
      <c r="W252" s="9">
        <f>IF($H252&gt;I252, MIN($H252-I252, J252-I252)*INDEX('Key Metrics'!$E$16:$N$19,MATCH($E252,'Key Metrics'!$E$16:$E$19,0),MATCH(W$1,'Key Metrics'!$E$16:$M$16,0)),0)</f>
        <v>0</v>
      </c>
      <c r="X252" s="9">
        <f>IF($H252&gt;J252, MIN($H252-J252, K252-J252)*INDEX('Key Metrics'!$E$16:$N$19,MATCH($E252,'Key Metrics'!$E$16:$E$19,0),MATCH(X$1,'Key Metrics'!$E$16:$M$16,0)),0)</f>
        <v>0</v>
      </c>
      <c r="Y252" s="9">
        <f>IF($H252&gt;K252, MIN($H252-K252, L252-K252)*INDEX('Key Metrics'!$E$16:$N$19,MATCH($E252,'Key Metrics'!$E$16:$E$19,0),MATCH(Y$1,'Key Metrics'!$E$16:$M$16,0)),0)</f>
        <v>0</v>
      </c>
      <c r="Z252" s="9">
        <f>IF($H252&gt;L252,($H252-L252)*INDEX('Key Metrics'!$E$16:$N$19,MATCH($E252,'Key Metrics'!$E$16:$E$19,0),MATCH(Z$1,'Key Metrics'!$E$16:$M$16,0)),0)</f>
        <v>0</v>
      </c>
      <c r="AA252" s="9">
        <f t="shared" si="38"/>
        <v>105735.15</v>
      </c>
      <c r="AB252" s="9">
        <f t="shared" si="39"/>
        <v>105736.089868</v>
      </c>
    </row>
    <row r="253" spans="1:28" x14ac:dyDescent="0.55000000000000004">
      <c r="A253" t="str">
        <f t="shared" si="30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COUNTIF(deals_closed!$D$2:$D$20001,Calculations!B797)</f>
        <v>17</v>
      </c>
      <c r="H253" s="7">
        <f>SUMIF(deals_closed!$D:$D,Calculations!B797,deals_closed!$C:$C)</f>
        <v>573111</v>
      </c>
      <c r="I253" s="5">
        <f>VLOOKUP(E253,'2018_commission_structure'!$A$1:$I$4,9,FALSE)</f>
        <v>750000</v>
      </c>
      <c r="J253" s="9">
        <f t="shared" si="31"/>
        <v>937500</v>
      </c>
      <c r="K253" s="10">
        <f t="shared" si="32"/>
        <v>1125000</v>
      </c>
      <c r="L253" s="9">
        <f t="shared" si="33"/>
        <v>1500000</v>
      </c>
      <c r="M253" s="8">
        <f t="shared" si="34"/>
        <v>0.76414800000000005</v>
      </c>
      <c r="N253" t="str">
        <f t="shared" si="35"/>
        <v>0-100%</v>
      </c>
      <c r="O253" s="9">
        <f>MIN($H253,$I253)*INDEX('2018_commission_structure'!$A$1:$I$4,MATCH($E253,'2018_commission_structure'!$A$1:$A$4,0),MATCH(O$1,'2018_commission_structure'!$A$1:$I$1,0))</f>
        <v>85966.65</v>
      </c>
      <c r="P253" s="9">
        <f>IF(H253&gt;I253, MIN(H253-I253, J253-I253)*INDEX('2018_commission_structure'!$A$1:$I$4,MATCH($E253,'2018_commission_structure'!$A$1:$A$4,0),MATCH(P$1,'2018_commission_structure'!$A$1:$I$1,0)),0)</f>
        <v>0</v>
      </c>
      <c r="Q253" s="9">
        <f>IF($H253&gt;J253, MIN($H253-J253, K253-J253)*INDEX('2018_commission_structure'!$A$1:$I$4,MATCH($E253,'2018_commission_structure'!$A$1:$A$4,0),MATCH(Q$1,'2018_commission_structure'!$A$1:$I$1,0)),0)</f>
        <v>0</v>
      </c>
      <c r="R253" s="9">
        <f>IF($H253&gt;K253, MIN($H253-K253, L253-K253)*INDEX('2018_commission_structure'!$A$1:$I$4,MATCH($E253,'2018_commission_structure'!$A$1:$A$4,0),MATCH(R$1,'2018_commission_structure'!$A$1:$I$1,0)),0)</f>
        <v>0</v>
      </c>
      <c r="S253" s="9">
        <f>IF(H253&gt;L253,(H253-L253)*INDEX('2018_commission_structure'!$A$1:$I$4,MATCH($E253,'2018_commission_structure'!$A$1:$A$4,0),MATCH(S$1,'2018_commission_structure'!$A$1:$I$1,0)),0)</f>
        <v>0</v>
      </c>
      <c r="T253" s="9">
        <f t="shared" si="36"/>
        <v>85966.65</v>
      </c>
      <c r="U253" s="9">
        <f t="shared" si="37"/>
        <v>185814.65</v>
      </c>
      <c r="V253" s="9">
        <f>MIN($I253,$H253)*INDEX('Key Metrics'!$E$16:$N$19,MATCH($E253,'Key Metrics'!$E$16:$E$19,0),MATCH(V$1,'Key Metrics'!$E$16:$M$16,0))</f>
        <v>85966.65</v>
      </c>
      <c r="W253" s="9">
        <f>IF($H253&gt;I253, MIN($H253-I253, J253-I253)*INDEX('Key Metrics'!$E$16:$N$19,MATCH($E253,'Key Metrics'!$E$16:$E$19,0),MATCH(W$1,'Key Metrics'!$E$16:$M$16,0)),0)</f>
        <v>0</v>
      </c>
      <c r="X253" s="9">
        <f>IF($H253&gt;J253, MIN($H253-J253, K253-J253)*INDEX('Key Metrics'!$E$16:$N$19,MATCH($E253,'Key Metrics'!$E$16:$E$19,0),MATCH(X$1,'Key Metrics'!$E$16:$M$16,0)),0)</f>
        <v>0</v>
      </c>
      <c r="Y253" s="9">
        <f>IF($H253&gt;K253, MIN($H253-K253, L253-K253)*INDEX('Key Metrics'!$E$16:$N$19,MATCH($E253,'Key Metrics'!$E$16:$E$19,0),MATCH(Y$1,'Key Metrics'!$E$16:$M$16,0)),0)</f>
        <v>0</v>
      </c>
      <c r="Z253" s="9">
        <f>IF($H253&gt;L253,($H253-L253)*INDEX('Key Metrics'!$E$16:$N$19,MATCH($E253,'Key Metrics'!$E$16:$E$19,0),MATCH(Z$1,'Key Metrics'!$E$16:$M$16,0)),0)</f>
        <v>0</v>
      </c>
      <c r="AA253" s="9">
        <f t="shared" si="38"/>
        <v>85966.65</v>
      </c>
      <c r="AB253" s="9">
        <f t="shared" si="39"/>
        <v>85967.414147999996</v>
      </c>
    </row>
    <row r="254" spans="1:28" x14ac:dyDescent="0.55000000000000004">
      <c r="A254" t="str">
        <f t="shared" si="30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COUNTIF(deals_closed!$D$2:$D$20001,Calculations!B197)</f>
        <v>21</v>
      </c>
      <c r="H254" s="7">
        <f>SUMIF(deals_closed!$D:$D,Calculations!B197,deals_closed!$C:$C)</f>
        <v>760710</v>
      </c>
      <c r="I254" s="5">
        <f>VLOOKUP(E254,'2018_commission_structure'!$A$1:$I$4,9,FALSE)</f>
        <v>600000</v>
      </c>
      <c r="J254" s="9">
        <f t="shared" si="31"/>
        <v>750000</v>
      </c>
      <c r="K254" s="10">
        <f t="shared" si="32"/>
        <v>900000</v>
      </c>
      <c r="L254" s="9">
        <f t="shared" si="33"/>
        <v>1200000</v>
      </c>
      <c r="M254" s="8">
        <f t="shared" si="34"/>
        <v>1.2678499999999999</v>
      </c>
      <c r="N254" t="str">
        <f t="shared" si="35"/>
        <v>125-150%</v>
      </c>
      <c r="O254" s="9">
        <f>MIN($H254,$I254)*INDEX('2018_commission_structure'!$A$1:$I$4,MATCH($E254,'2018_commission_structure'!$A$1:$A$4,0),MATCH(O$1,'2018_commission_structure'!$A$1:$I$1,0))</f>
        <v>78000</v>
      </c>
      <c r="P254" s="9">
        <f>IF(H254&gt;I254, MIN(H254-I254, J254-I254)*INDEX('2018_commission_structure'!$A$1:$I$4,MATCH($E254,'2018_commission_structure'!$A$1:$A$4,0),MATCH(P$1,'2018_commission_structure'!$A$1:$I$1,0)),0)</f>
        <v>25500.000000000004</v>
      </c>
      <c r="Q254" s="9">
        <f>IF($H254&gt;J254, MIN($H254-J254, K254-J254)*INDEX('2018_commission_structure'!$A$1:$I$4,MATCH($E254,'2018_commission_structure'!$A$1:$A$4,0),MATCH(Q$1,'2018_commission_structure'!$A$1:$I$1,0)),0)</f>
        <v>2249.1</v>
      </c>
      <c r="R254" s="9">
        <f>IF($H254&gt;K254, MIN($H254-K254, L254-K254)*INDEX('2018_commission_structure'!$A$1:$I$4,MATCH($E254,'2018_commission_structure'!$A$1:$A$4,0),MATCH(R$1,'2018_commission_structure'!$A$1:$I$1,0)),0)</f>
        <v>0</v>
      </c>
      <c r="S254" s="9">
        <f>IF(H254&gt;L254,(H254-L254)*INDEX('2018_commission_structure'!$A$1:$I$4,MATCH($E254,'2018_commission_structure'!$A$1:$A$4,0),MATCH(S$1,'2018_commission_structure'!$A$1:$I$1,0)),0)</f>
        <v>0</v>
      </c>
      <c r="T254" s="9">
        <f t="shared" si="36"/>
        <v>105749.1</v>
      </c>
      <c r="U254" s="9">
        <f t="shared" si="37"/>
        <v>183222.1</v>
      </c>
      <c r="V254" s="9">
        <f>MIN($I254,$H254)*INDEX('Key Metrics'!$E$16:$N$19,MATCH($E254,'Key Metrics'!$E$16:$E$19,0),MATCH(V$1,'Key Metrics'!$E$16:$M$16,0))</f>
        <v>90000</v>
      </c>
      <c r="W254" s="9">
        <f>IF($H254&gt;I254, MIN($H254-I254, J254-I254)*INDEX('Key Metrics'!$E$16:$N$19,MATCH($E254,'Key Metrics'!$E$16:$E$19,0),MATCH(W$1,'Key Metrics'!$E$16:$M$16,0)),0)</f>
        <v>27000</v>
      </c>
      <c r="X254" s="9">
        <f>IF($H254&gt;J254, MIN($H254-J254, K254-J254)*INDEX('Key Metrics'!$E$16:$N$19,MATCH($E254,'Key Metrics'!$E$16:$E$19,0),MATCH(X$1,'Key Metrics'!$E$16:$M$16,0)),0)</f>
        <v>2677.5</v>
      </c>
      <c r="Y254" s="9">
        <f>IF($H254&gt;K254, MIN($H254-K254, L254-K254)*INDEX('Key Metrics'!$E$16:$N$19,MATCH($E254,'Key Metrics'!$E$16:$E$19,0),MATCH(Y$1,'Key Metrics'!$E$16:$M$16,0)),0)</f>
        <v>0</v>
      </c>
      <c r="Z254" s="9">
        <f>IF($H254&gt;L254,($H254-L254)*INDEX('Key Metrics'!$E$16:$N$19,MATCH($E254,'Key Metrics'!$E$16:$E$19,0),MATCH(Z$1,'Key Metrics'!$E$16:$M$16,0)),0)</f>
        <v>0</v>
      </c>
      <c r="AA254" s="9">
        <f t="shared" si="38"/>
        <v>119677.5</v>
      </c>
      <c r="AB254" s="9">
        <f t="shared" si="39"/>
        <v>119678.76785</v>
      </c>
    </row>
    <row r="255" spans="1:28" x14ac:dyDescent="0.55000000000000004">
      <c r="A255" t="str">
        <f t="shared" si="30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COUNTIF(deals_closed!$D$2:$D$20001,Calculations!B530)</f>
        <v>15</v>
      </c>
      <c r="H255" s="7">
        <f>SUMIF(deals_closed!$D:$D,Calculations!B530,deals_closed!$C:$C)</f>
        <v>439483</v>
      </c>
      <c r="I255" s="5">
        <f>VLOOKUP(E255,'2018_commission_structure'!$A$1:$I$4,9,FALSE)</f>
        <v>600000</v>
      </c>
      <c r="J255" s="9">
        <f t="shared" si="31"/>
        <v>750000</v>
      </c>
      <c r="K255" s="10">
        <f t="shared" si="32"/>
        <v>900000</v>
      </c>
      <c r="L255" s="9">
        <f t="shared" si="33"/>
        <v>1200000</v>
      </c>
      <c r="M255" s="8">
        <f t="shared" si="34"/>
        <v>0.73247166666666663</v>
      </c>
      <c r="N255" t="str">
        <f t="shared" si="35"/>
        <v>0-100%</v>
      </c>
      <c r="O255" s="9">
        <f>MIN($H255,$I255)*INDEX('2018_commission_structure'!$A$1:$I$4,MATCH($E255,'2018_commission_structure'!$A$1:$A$4,0),MATCH(O$1,'2018_commission_structure'!$A$1:$I$1,0))</f>
        <v>57132.79</v>
      </c>
      <c r="P255" s="9">
        <f>IF(H255&gt;I255, MIN(H255-I255, J255-I255)*INDEX('2018_commission_structure'!$A$1:$I$4,MATCH($E255,'2018_commission_structure'!$A$1:$A$4,0),MATCH(P$1,'2018_commission_structure'!$A$1:$I$1,0)),0)</f>
        <v>0</v>
      </c>
      <c r="Q255" s="9">
        <f>IF($H255&gt;J255, MIN($H255-J255, K255-J255)*INDEX('2018_commission_structure'!$A$1:$I$4,MATCH($E255,'2018_commission_structure'!$A$1:$A$4,0),MATCH(Q$1,'2018_commission_structure'!$A$1:$I$1,0)),0)</f>
        <v>0</v>
      </c>
      <c r="R255" s="9">
        <f>IF($H255&gt;K255, MIN($H255-K255, L255-K255)*INDEX('2018_commission_structure'!$A$1:$I$4,MATCH($E255,'2018_commission_structure'!$A$1:$A$4,0),MATCH(R$1,'2018_commission_structure'!$A$1:$I$1,0)),0)</f>
        <v>0</v>
      </c>
      <c r="S255" s="9">
        <f>IF(H255&gt;L255,(H255-L255)*INDEX('2018_commission_structure'!$A$1:$I$4,MATCH($E255,'2018_commission_structure'!$A$1:$A$4,0),MATCH(S$1,'2018_commission_structure'!$A$1:$I$1,0)),0)</f>
        <v>0</v>
      </c>
      <c r="T255" s="9">
        <f t="shared" si="36"/>
        <v>57132.79</v>
      </c>
      <c r="U255" s="9">
        <f t="shared" si="37"/>
        <v>117052.79000000001</v>
      </c>
      <c r="V255" s="9">
        <f>MIN($I255,$H255)*INDEX('Key Metrics'!$E$16:$N$19,MATCH($E255,'Key Metrics'!$E$16:$E$19,0),MATCH(V$1,'Key Metrics'!$E$16:$M$16,0))</f>
        <v>65922.45</v>
      </c>
      <c r="W255" s="9">
        <f>IF($H255&gt;I255, MIN($H255-I255, J255-I255)*INDEX('Key Metrics'!$E$16:$N$19,MATCH($E255,'Key Metrics'!$E$16:$E$19,0),MATCH(W$1,'Key Metrics'!$E$16:$M$16,0)),0)</f>
        <v>0</v>
      </c>
      <c r="X255" s="9">
        <f>IF($H255&gt;J255, MIN($H255-J255, K255-J255)*INDEX('Key Metrics'!$E$16:$N$19,MATCH($E255,'Key Metrics'!$E$16:$E$19,0),MATCH(X$1,'Key Metrics'!$E$16:$M$16,0)),0)</f>
        <v>0</v>
      </c>
      <c r="Y255" s="9">
        <f>IF($H255&gt;K255, MIN($H255-K255, L255-K255)*INDEX('Key Metrics'!$E$16:$N$19,MATCH($E255,'Key Metrics'!$E$16:$E$19,0),MATCH(Y$1,'Key Metrics'!$E$16:$M$16,0)),0)</f>
        <v>0</v>
      </c>
      <c r="Z255" s="9">
        <f>IF($H255&gt;L255,($H255-L255)*INDEX('Key Metrics'!$E$16:$N$19,MATCH($E255,'Key Metrics'!$E$16:$E$19,0),MATCH(Z$1,'Key Metrics'!$E$16:$M$16,0)),0)</f>
        <v>0</v>
      </c>
      <c r="AA255" s="9">
        <f t="shared" si="38"/>
        <v>65922.45</v>
      </c>
      <c r="AB255" s="9">
        <f t="shared" si="39"/>
        <v>65923.18247166666</v>
      </c>
    </row>
    <row r="256" spans="1:28" x14ac:dyDescent="0.55000000000000004">
      <c r="A256" t="str">
        <f t="shared" si="30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COUNTIF(deals_closed!$D$2:$D$20001,Calculations!B387)</f>
        <v>19</v>
      </c>
      <c r="H256" s="7">
        <f>SUMIF(deals_closed!$D:$D,Calculations!B387,deals_closed!$C:$C)</f>
        <v>722389</v>
      </c>
      <c r="I256" s="5">
        <f>VLOOKUP(E256,'2018_commission_structure'!$A$1:$I$4,9,FALSE)</f>
        <v>600000</v>
      </c>
      <c r="J256" s="9">
        <f t="shared" si="31"/>
        <v>750000</v>
      </c>
      <c r="K256" s="10">
        <f t="shared" si="32"/>
        <v>900000</v>
      </c>
      <c r="L256" s="9">
        <f t="shared" si="33"/>
        <v>1200000</v>
      </c>
      <c r="M256" s="8">
        <f t="shared" si="34"/>
        <v>1.2039816666666667</v>
      </c>
      <c r="N256" t="str">
        <f t="shared" si="35"/>
        <v>100-125%</v>
      </c>
      <c r="O256" s="9">
        <f>MIN($H256,$I256)*INDEX('2018_commission_structure'!$A$1:$I$4,MATCH($E256,'2018_commission_structure'!$A$1:$A$4,0),MATCH(O$1,'2018_commission_structure'!$A$1:$I$1,0))</f>
        <v>78000</v>
      </c>
      <c r="P256" s="9">
        <f>IF(H256&gt;I256, MIN(H256-I256, J256-I256)*INDEX('2018_commission_structure'!$A$1:$I$4,MATCH($E256,'2018_commission_structure'!$A$1:$A$4,0),MATCH(P$1,'2018_commission_structure'!$A$1:$I$1,0)),0)</f>
        <v>20806.13</v>
      </c>
      <c r="Q256" s="9">
        <f>IF($H256&gt;J256, MIN($H256-J256, K256-J256)*INDEX('2018_commission_structure'!$A$1:$I$4,MATCH($E256,'2018_commission_structure'!$A$1:$A$4,0),MATCH(Q$1,'2018_commission_structure'!$A$1:$I$1,0)),0)</f>
        <v>0</v>
      </c>
      <c r="R256" s="9">
        <f>IF($H256&gt;K256, MIN($H256-K256, L256-K256)*INDEX('2018_commission_structure'!$A$1:$I$4,MATCH($E256,'2018_commission_structure'!$A$1:$A$4,0),MATCH(R$1,'2018_commission_structure'!$A$1:$I$1,0)),0)</f>
        <v>0</v>
      </c>
      <c r="S256" s="9">
        <f>IF(H256&gt;L256,(H256-L256)*INDEX('2018_commission_structure'!$A$1:$I$4,MATCH($E256,'2018_commission_structure'!$A$1:$A$4,0),MATCH(S$1,'2018_commission_structure'!$A$1:$I$1,0)),0)</f>
        <v>0</v>
      </c>
      <c r="T256" s="9">
        <f t="shared" si="36"/>
        <v>98806.13</v>
      </c>
      <c r="U256" s="9">
        <f t="shared" si="37"/>
        <v>177829.13</v>
      </c>
      <c r="V256" s="9">
        <f>MIN($I256,$H256)*INDEX('Key Metrics'!$E$16:$N$19,MATCH($E256,'Key Metrics'!$E$16:$E$19,0),MATCH(V$1,'Key Metrics'!$E$16:$M$16,0))</f>
        <v>90000</v>
      </c>
      <c r="W256" s="9">
        <f>IF($H256&gt;I256, MIN($H256-I256, J256-I256)*INDEX('Key Metrics'!$E$16:$N$19,MATCH($E256,'Key Metrics'!$E$16:$E$19,0),MATCH(W$1,'Key Metrics'!$E$16:$M$16,0)),0)</f>
        <v>22030.02</v>
      </c>
      <c r="X256" s="9">
        <f>IF($H256&gt;J256, MIN($H256-J256, K256-J256)*INDEX('Key Metrics'!$E$16:$N$19,MATCH($E256,'Key Metrics'!$E$16:$E$19,0),MATCH(X$1,'Key Metrics'!$E$16:$M$16,0)),0)</f>
        <v>0</v>
      </c>
      <c r="Y256" s="9">
        <f>IF($H256&gt;K256, MIN($H256-K256, L256-K256)*INDEX('Key Metrics'!$E$16:$N$19,MATCH($E256,'Key Metrics'!$E$16:$E$19,0),MATCH(Y$1,'Key Metrics'!$E$16:$M$16,0)),0)</f>
        <v>0</v>
      </c>
      <c r="Z256" s="9">
        <f>IF($H256&gt;L256,($H256-L256)*INDEX('Key Metrics'!$E$16:$N$19,MATCH($E256,'Key Metrics'!$E$16:$E$19,0),MATCH(Z$1,'Key Metrics'!$E$16:$M$16,0)),0)</f>
        <v>0</v>
      </c>
      <c r="AA256" s="9">
        <f t="shared" si="38"/>
        <v>112030.02</v>
      </c>
      <c r="AB256" s="9">
        <f t="shared" si="39"/>
        <v>112031.22398166667</v>
      </c>
    </row>
    <row r="257" spans="1:28" x14ac:dyDescent="0.55000000000000004">
      <c r="A257" t="str">
        <f t="shared" si="30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COUNTIF(deals_closed!$D$2:$D$20001,Calculations!B339)</f>
        <v>16</v>
      </c>
      <c r="H257" s="7">
        <f>SUMIF(deals_closed!$D:$D,Calculations!B339,deals_closed!$C:$C)</f>
        <v>464896</v>
      </c>
      <c r="I257" s="5">
        <f>VLOOKUP(E257,'2018_commission_structure'!$A$1:$I$4,9,FALSE)</f>
        <v>750000</v>
      </c>
      <c r="J257" s="9">
        <f t="shared" si="31"/>
        <v>937500</v>
      </c>
      <c r="K257" s="10">
        <f t="shared" si="32"/>
        <v>1125000</v>
      </c>
      <c r="L257" s="9">
        <f t="shared" si="33"/>
        <v>1500000</v>
      </c>
      <c r="M257" s="8">
        <f t="shared" si="34"/>
        <v>0.61986133333333338</v>
      </c>
      <c r="N257" t="str">
        <f t="shared" si="35"/>
        <v>0-100%</v>
      </c>
      <c r="O257" s="9">
        <f>MIN($H257,$I257)*INDEX('2018_commission_structure'!$A$1:$I$4,MATCH($E257,'2018_commission_structure'!$A$1:$A$4,0),MATCH(O$1,'2018_commission_structure'!$A$1:$I$1,0))</f>
        <v>69734.399999999994</v>
      </c>
      <c r="P257" s="9">
        <f>IF(H257&gt;I257, MIN(H257-I257, J257-I257)*INDEX('2018_commission_structure'!$A$1:$I$4,MATCH($E257,'2018_commission_structure'!$A$1:$A$4,0),MATCH(P$1,'2018_commission_structure'!$A$1:$I$1,0)),0)</f>
        <v>0</v>
      </c>
      <c r="Q257" s="9">
        <f>IF($H257&gt;J257, MIN($H257-J257, K257-J257)*INDEX('2018_commission_structure'!$A$1:$I$4,MATCH($E257,'2018_commission_structure'!$A$1:$A$4,0),MATCH(Q$1,'2018_commission_structure'!$A$1:$I$1,0)),0)</f>
        <v>0</v>
      </c>
      <c r="R257" s="9">
        <f>IF($H257&gt;K257, MIN($H257-K257, L257-K257)*INDEX('2018_commission_structure'!$A$1:$I$4,MATCH($E257,'2018_commission_structure'!$A$1:$A$4,0),MATCH(R$1,'2018_commission_structure'!$A$1:$I$1,0)),0)</f>
        <v>0</v>
      </c>
      <c r="S257" s="9">
        <f>IF(H257&gt;L257,(H257-L257)*INDEX('2018_commission_structure'!$A$1:$I$4,MATCH($E257,'2018_commission_structure'!$A$1:$A$4,0),MATCH(S$1,'2018_commission_structure'!$A$1:$I$1,0)),0)</f>
        <v>0</v>
      </c>
      <c r="T257" s="9">
        <f t="shared" si="36"/>
        <v>69734.399999999994</v>
      </c>
      <c r="U257" s="9">
        <f t="shared" si="37"/>
        <v>147330.4</v>
      </c>
      <c r="V257" s="9">
        <f>MIN($I257,$H257)*INDEX('Key Metrics'!$E$16:$N$19,MATCH($E257,'Key Metrics'!$E$16:$E$19,0),MATCH(V$1,'Key Metrics'!$E$16:$M$16,0))</f>
        <v>69734.399999999994</v>
      </c>
      <c r="W257" s="9">
        <f>IF($H257&gt;I257, MIN($H257-I257, J257-I257)*INDEX('Key Metrics'!$E$16:$N$19,MATCH($E257,'Key Metrics'!$E$16:$E$19,0),MATCH(W$1,'Key Metrics'!$E$16:$M$16,0)),0)</f>
        <v>0</v>
      </c>
      <c r="X257" s="9">
        <f>IF($H257&gt;J257, MIN($H257-J257, K257-J257)*INDEX('Key Metrics'!$E$16:$N$19,MATCH($E257,'Key Metrics'!$E$16:$E$19,0),MATCH(X$1,'Key Metrics'!$E$16:$M$16,0)),0)</f>
        <v>0</v>
      </c>
      <c r="Y257" s="9">
        <f>IF($H257&gt;K257, MIN($H257-K257, L257-K257)*INDEX('Key Metrics'!$E$16:$N$19,MATCH($E257,'Key Metrics'!$E$16:$E$19,0),MATCH(Y$1,'Key Metrics'!$E$16:$M$16,0)),0)</f>
        <v>0</v>
      </c>
      <c r="Z257" s="9">
        <f>IF($H257&gt;L257,($H257-L257)*INDEX('Key Metrics'!$E$16:$N$19,MATCH($E257,'Key Metrics'!$E$16:$E$19,0),MATCH(Z$1,'Key Metrics'!$E$16:$M$16,0)),0)</f>
        <v>0</v>
      </c>
      <c r="AA257" s="9">
        <f t="shared" si="38"/>
        <v>69734.399999999994</v>
      </c>
      <c r="AB257" s="9">
        <f t="shared" si="39"/>
        <v>69735.019861333334</v>
      </c>
    </row>
    <row r="258" spans="1:28" x14ac:dyDescent="0.55000000000000004">
      <c r="A258" t="str">
        <f t="shared" ref="A258:A321" si="40">CONCATENATE(C258," ",D258)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COUNTIF(deals_closed!$D$2:$D$20001,Calculations!B598)</f>
        <v>21</v>
      </c>
      <c r="H258" s="7">
        <f>SUMIF(deals_closed!$D:$D,Calculations!B598,deals_closed!$C:$C)</f>
        <v>732653</v>
      </c>
      <c r="I258" s="5">
        <f>VLOOKUP(E258,'2018_commission_structure'!$A$1:$I$4,9,FALSE)</f>
        <v>750000</v>
      </c>
      <c r="J258" s="9">
        <f t="shared" ref="J258:J321" si="41">I258*1.25</f>
        <v>937500</v>
      </c>
      <c r="K258" s="10">
        <f t="shared" ref="K258:K321" si="42">I258*1.5</f>
        <v>1125000</v>
      </c>
      <c r="L258" s="9">
        <f t="shared" ref="L258:L321" si="43">I258*2</f>
        <v>1500000</v>
      </c>
      <c r="M258" s="8">
        <f t="shared" ref="M258:M321" si="44">H258/I258</f>
        <v>0.97687066666666666</v>
      </c>
      <c r="N258" t="str">
        <f t="shared" ref="N258:N321" si="45">IF(M258&lt;=100%,"0-100%",IF(M258&lt;=125%,"100-125%",IF(M258&lt;=150%,"125-150%",IF(M258&lt;=200%,"150-200%","&gt;200%"))))</f>
        <v>0-100%</v>
      </c>
      <c r="O258" s="9">
        <f>MIN($H258,$I258)*INDEX('2018_commission_structure'!$A$1:$I$4,MATCH($E258,'2018_commission_structure'!$A$1:$A$4,0),MATCH(O$1,'2018_commission_structure'!$A$1:$I$1,0))</f>
        <v>109897.95</v>
      </c>
      <c r="P258" s="9">
        <f>IF(H258&gt;I258, MIN(H258-I258, J258-I258)*INDEX('2018_commission_structure'!$A$1:$I$4,MATCH($E258,'2018_commission_structure'!$A$1:$A$4,0),MATCH(P$1,'2018_commission_structure'!$A$1:$I$1,0)),0)</f>
        <v>0</v>
      </c>
      <c r="Q258" s="9">
        <f>IF($H258&gt;J258, MIN($H258-J258, K258-J258)*INDEX('2018_commission_structure'!$A$1:$I$4,MATCH($E258,'2018_commission_structure'!$A$1:$A$4,0),MATCH(Q$1,'2018_commission_structure'!$A$1:$I$1,0)),0)</f>
        <v>0</v>
      </c>
      <c r="R258" s="9">
        <f>IF($H258&gt;K258, MIN($H258-K258, L258-K258)*INDEX('2018_commission_structure'!$A$1:$I$4,MATCH($E258,'2018_commission_structure'!$A$1:$A$4,0),MATCH(R$1,'2018_commission_structure'!$A$1:$I$1,0)),0)</f>
        <v>0</v>
      </c>
      <c r="S258" s="9">
        <f>IF(H258&gt;L258,(H258-L258)*INDEX('2018_commission_structure'!$A$1:$I$4,MATCH($E258,'2018_commission_structure'!$A$1:$A$4,0),MATCH(S$1,'2018_commission_structure'!$A$1:$I$1,0)),0)</f>
        <v>0</v>
      </c>
      <c r="T258" s="9">
        <f t="shared" ref="T258:T321" si="46">SUM(O258:S258)</f>
        <v>109897.95</v>
      </c>
      <c r="U258" s="9">
        <f t="shared" ref="U258:U321" si="47">F258+T258</f>
        <v>225215.95</v>
      </c>
      <c r="V258" s="9">
        <f>MIN($I258,$H258)*INDEX('Key Metrics'!$E$16:$N$19,MATCH($E258,'Key Metrics'!$E$16:$E$19,0),MATCH(V$1,'Key Metrics'!$E$16:$M$16,0))</f>
        <v>109897.95</v>
      </c>
      <c r="W258" s="9">
        <f>IF($H258&gt;I258, MIN($H258-I258, J258-I258)*INDEX('Key Metrics'!$E$16:$N$19,MATCH($E258,'Key Metrics'!$E$16:$E$19,0),MATCH(W$1,'Key Metrics'!$E$16:$M$16,0)),0)</f>
        <v>0</v>
      </c>
      <c r="X258" s="9">
        <f>IF($H258&gt;J258, MIN($H258-J258, K258-J258)*INDEX('Key Metrics'!$E$16:$N$19,MATCH($E258,'Key Metrics'!$E$16:$E$19,0),MATCH(X$1,'Key Metrics'!$E$16:$M$16,0)),0)</f>
        <v>0</v>
      </c>
      <c r="Y258" s="9">
        <f>IF($H258&gt;K258, MIN($H258-K258, L258-K258)*INDEX('Key Metrics'!$E$16:$N$19,MATCH($E258,'Key Metrics'!$E$16:$E$19,0),MATCH(Y$1,'Key Metrics'!$E$16:$M$16,0)),0)</f>
        <v>0</v>
      </c>
      <c r="Z258" s="9">
        <f>IF($H258&gt;L258,($H258-L258)*INDEX('Key Metrics'!$E$16:$N$19,MATCH($E258,'Key Metrics'!$E$16:$E$19,0),MATCH(Z$1,'Key Metrics'!$E$16:$M$16,0)),0)</f>
        <v>0</v>
      </c>
      <c r="AA258" s="9">
        <f t="shared" ref="AA258:AA321" si="48">SUM(V258:Z258)</f>
        <v>109897.95</v>
      </c>
      <c r="AB258" s="9">
        <f t="shared" ref="AB258:AB321" si="49">M258+AA258</f>
        <v>109898.92687066666</v>
      </c>
    </row>
    <row r="259" spans="1:28" x14ac:dyDescent="0.55000000000000004">
      <c r="A259" t="str">
        <f t="shared" si="40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COUNTIF(deals_closed!$D$2:$D$20001,Calculations!B348)</f>
        <v>26</v>
      </c>
      <c r="H259" s="7">
        <f>SUMIF(deals_closed!$D:$D,Calculations!B348,deals_closed!$C:$C)</f>
        <v>867952</v>
      </c>
      <c r="I259" s="5">
        <f>VLOOKUP(E259,'2018_commission_structure'!$A$1:$I$4,9,FALSE)</f>
        <v>500000</v>
      </c>
      <c r="J259" s="9">
        <f t="shared" si="41"/>
        <v>625000</v>
      </c>
      <c r="K259" s="10">
        <f t="shared" si="42"/>
        <v>750000</v>
      </c>
      <c r="L259" s="9">
        <f t="shared" si="43"/>
        <v>1000000</v>
      </c>
      <c r="M259" s="8">
        <f t="shared" si="44"/>
        <v>1.7359039999999999</v>
      </c>
      <c r="N259" t="str">
        <f t="shared" si="45"/>
        <v>150-200%</v>
      </c>
      <c r="O259" s="9">
        <f>MIN($H259,$I259)*INDEX('2018_commission_structure'!$A$1:$I$4,MATCH($E259,'2018_commission_structure'!$A$1:$A$4,0),MATCH(O$1,'2018_commission_structure'!$A$1:$I$1,0))</f>
        <v>50000</v>
      </c>
      <c r="P259" s="9">
        <f>IF(H259&gt;I259, MIN(H259-I259, J259-I259)*INDEX('2018_commission_structure'!$A$1:$I$4,MATCH($E259,'2018_commission_structure'!$A$1:$A$4,0),MATCH(P$1,'2018_commission_structure'!$A$1:$I$1,0)),0)</f>
        <v>18750</v>
      </c>
      <c r="Q259" s="9">
        <f>IF($H259&gt;J259, MIN($H259-J259, K259-J259)*INDEX('2018_commission_structure'!$A$1:$I$4,MATCH($E259,'2018_commission_structure'!$A$1:$A$4,0),MATCH(Q$1,'2018_commission_structure'!$A$1:$I$1,0)),0)</f>
        <v>22500</v>
      </c>
      <c r="R259" s="9">
        <f>IF($H259&gt;K259, MIN($H259-K259, L259-K259)*INDEX('2018_commission_structure'!$A$1:$I$4,MATCH($E259,'2018_commission_structure'!$A$1:$A$4,0),MATCH(R$1,'2018_commission_structure'!$A$1:$I$1,0)),0)</f>
        <v>25949.439999999999</v>
      </c>
      <c r="S259" s="9">
        <f>IF(H259&gt;L259,(H259-L259)*INDEX('2018_commission_structure'!$A$1:$I$4,MATCH($E259,'2018_commission_structure'!$A$1:$A$4,0),MATCH(S$1,'2018_commission_structure'!$A$1:$I$1,0)),0)</f>
        <v>0</v>
      </c>
      <c r="T259" s="9">
        <f t="shared" si="46"/>
        <v>117199.44</v>
      </c>
      <c r="U259" s="9">
        <f t="shared" si="47"/>
        <v>167069.44</v>
      </c>
      <c r="V259" s="9">
        <f>MIN($I259,$H259)*INDEX('Key Metrics'!$E$16:$N$19,MATCH($E259,'Key Metrics'!$E$16:$E$19,0),MATCH(V$1,'Key Metrics'!$E$16:$M$16,0))</f>
        <v>60000</v>
      </c>
      <c r="W259" s="9">
        <f>IF($H259&gt;I259, MIN($H259-I259, J259-I259)*INDEX('Key Metrics'!$E$16:$N$19,MATCH($E259,'Key Metrics'!$E$16:$E$19,0),MATCH(W$1,'Key Metrics'!$E$16:$M$16,0)),0)</f>
        <v>21250</v>
      </c>
      <c r="X259" s="9">
        <f>IF($H259&gt;J259, MIN($H259-J259, K259-J259)*INDEX('Key Metrics'!$E$16:$N$19,MATCH($E259,'Key Metrics'!$E$16:$E$19,0),MATCH(X$1,'Key Metrics'!$E$16:$M$16,0)),0)</f>
        <v>25000</v>
      </c>
      <c r="Y259" s="9">
        <f>IF($H259&gt;K259, MIN($H259-K259, L259-K259)*INDEX('Key Metrics'!$E$16:$N$19,MATCH($E259,'Key Metrics'!$E$16:$E$19,0),MATCH(Y$1,'Key Metrics'!$E$16:$M$16,0)),0)</f>
        <v>25949.439999999999</v>
      </c>
      <c r="Z259" s="9">
        <f>IF($H259&gt;L259,($H259-L259)*INDEX('Key Metrics'!$E$16:$N$19,MATCH($E259,'Key Metrics'!$E$16:$E$19,0),MATCH(Z$1,'Key Metrics'!$E$16:$M$16,0)),0)</f>
        <v>0</v>
      </c>
      <c r="AA259" s="9">
        <f t="shared" si="48"/>
        <v>132199.44</v>
      </c>
      <c r="AB259" s="9">
        <f t="shared" si="49"/>
        <v>132201.175904</v>
      </c>
    </row>
    <row r="260" spans="1:28" x14ac:dyDescent="0.55000000000000004">
      <c r="A260" t="str">
        <f t="shared" si="40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COUNTIF(deals_closed!$D$2:$D$20001,Calculations!B700)</f>
        <v>20</v>
      </c>
      <c r="H260" s="7">
        <f>SUMIF(deals_closed!$D:$D,Calculations!B700,deals_closed!$C:$C)</f>
        <v>650341</v>
      </c>
      <c r="I260" s="5">
        <f>VLOOKUP(E260,'2018_commission_structure'!$A$1:$I$4,9,FALSE)</f>
        <v>500000</v>
      </c>
      <c r="J260" s="9">
        <f t="shared" si="41"/>
        <v>625000</v>
      </c>
      <c r="K260" s="10">
        <f t="shared" si="42"/>
        <v>750000</v>
      </c>
      <c r="L260" s="9">
        <f t="shared" si="43"/>
        <v>1000000</v>
      </c>
      <c r="M260" s="8">
        <f t="shared" si="44"/>
        <v>1.3006819999999999</v>
      </c>
      <c r="N260" t="str">
        <f t="shared" si="45"/>
        <v>125-150%</v>
      </c>
      <c r="O260" s="9">
        <f>MIN($H260,$I260)*INDEX('2018_commission_structure'!$A$1:$I$4,MATCH($E260,'2018_commission_structure'!$A$1:$A$4,0),MATCH(O$1,'2018_commission_structure'!$A$1:$I$1,0))</f>
        <v>50000</v>
      </c>
      <c r="P260" s="9">
        <f>IF(H260&gt;I260, MIN(H260-I260, J260-I260)*INDEX('2018_commission_structure'!$A$1:$I$4,MATCH($E260,'2018_commission_structure'!$A$1:$A$4,0),MATCH(P$1,'2018_commission_structure'!$A$1:$I$1,0)),0)</f>
        <v>18750</v>
      </c>
      <c r="Q260" s="9">
        <f>IF($H260&gt;J260, MIN($H260-J260, K260-J260)*INDEX('2018_commission_structure'!$A$1:$I$4,MATCH($E260,'2018_commission_structure'!$A$1:$A$4,0),MATCH(Q$1,'2018_commission_structure'!$A$1:$I$1,0)),0)</f>
        <v>4561.38</v>
      </c>
      <c r="R260" s="9">
        <f>IF($H260&gt;K260, MIN($H260-K260, L260-K260)*INDEX('2018_commission_structure'!$A$1:$I$4,MATCH($E260,'2018_commission_structure'!$A$1:$A$4,0),MATCH(R$1,'2018_commission_structure'!$A$1:$I$1,0)),0)</f>
        <v>0</v>
      </c>
      <c r="S260" s="9">
        <f>IF(H260&gt;L260,(H260-L260)*INDEX('2018_commission_structure'!$A$1:$I$4,MATCH($E260,'2018_commission_structure'!$A$1:$A$4,0),MATCH(S$1,'2018_commission_structure'!$A$1:$I$1,0)),0)</f>
        <v>0</v>
      </c>
      <c r="T260" s="9">
        <f t="shared" si="46"/>
        <v>73311.38</v>
      </c>
      <c r="U260" s="9">
        <f t="shared" si="47"/>
        <v>136380.38</v>
      </c>
      <c r="V260" s="9">
        <f>MIN($I260,$H260)*INDEX('Key Metrics'!$E$16:$N$19,MATCH($E260,'Key Metrics'!$E$16:$E$19,0),MATCH(V$1,'Key Metrics'!$E$16:$M$16,0))</f>
        <v>60000</v>
      </c>
      <c r="W260" s="9">
        <f>IF($H260&gt;I260, MIN($H260-I260, J260-I260)*INDEX('Key Metrics'!$E$16:$N$19,MATCH($E260,'Key Metrics'!$E$16:$E$19,0),MATCH(W$1,'Key Metrics'!$E$16:$M$16,0)),0)</f>
        <v>21250</v>
      </c>
      <c r="X260" s="9">
        <f>IF($H260&gt;J260, MIN($H260-J260, K260-J260)*INDEX('Key Metrics'!$E$16:$N$19,MATCH($E260,'Key Metrics'!$E$16:$E$19,0),MATCH(X$1,'Key Metrics'!$E$16:$M$16,0)),0)</f>
        <v>5068.2000000000007</v>
      </c>
      <c r="Y260" s="9">
        <f>IF($H260&gt;K260, MIN($H260-K260, L260-K260)*INDEX('Key Metrics'!$E$16:$N$19,MATCH($E260,'Key Metrics'!$E$16:$E$19,0),MATCH(Y$1,'Key Metrics'!$E$16:$M$16,0)),0)</f>
        <v>0</v>
      </c>
      <c r="Z260" s="9">
        <f>IF($H260&gt;L260,($H260-L260)*INDEX('Key Metrics'!$E$16:$N$19,MATCH($E260,'Key Metrics'!$E$16:$E$19,0),MATCH(Z$1,'Key Metrics'!$E$16:$M$16,0)),0)</f>
        <v>0</v>
      </c>
      <c r="AA260" s="9">
        <f t="shared" si="48"/>
        <v>86318.2</v>
      </c>
      <c r="AB260" s="9">
        <f t="shared" si="49"/>
        <v>86319.500681999998</v>
      </c>
    </row>
    <row r="261" spans="1:28" x14ac:dyDescent="0.55000000000000004">
      <c r="A261" t="str">
        <f t="shared" si="40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COUNTIF(deals_closed!$D$2:$D$20001,Calculations!B805)</f>
        <v>18</v>
      </c>
      <c r="H261" s="7">
        <f>SUMIF(deals_closed!$D:$D,Calculations!B805,deals_closed!$C:$C)</f>
        <v>704891</v>
      </c>
      <c r="I261" s="5">
        <f>VLOOKUP(E261,'2018_commission_structure'!$A$1:$I$4,9,FALSE)</f>
        <v>750000</v>
      </c>
      <c r="J261" s="9">
        <f t="shared" si="41"/>
        <v>937500</v>
      </c>
      <c r="K261" s="10">
        <f t="shared" si="42"/>
        <v>1125000</v>
      </c>
      <c r="L261" s="9">
        <f t="shared" si="43"/>
        <v>1500000</v>
      </c>
      <c r="M261" s="8">
        <f t="shared" si="44"/>
        <v>0.93985466666666662</v>
      </c>
      <c r="N261" t="str">
        <f t="shared" si="45"/>
        <v>0-100%</v>
      </c>
      <c r="O261" s="9">
        <f>MIN($H261,$I261)*INDEX('2018_commission_structure'!$A$1:$I$4,MATCH($E261,'2018_commission_structure'!$A$1:$A$4,0),MATCH(O$1,'2018_commission_structure'!$A$1:$I$1,0))</f>
        <v>105733.65</v>
      </c>
      <c r="P261" s="9">
        <f>IF(H261&gt;I261, MIN(H261-I261, J261-I261)*INDEX('2018_commission_structure'!$A$1:$I$4,MATCH($E261,'2018_commission_structure'!$A$1:$A$4,0),MATCH(P$1,'2018_commission_structure'!$A$1:$I$1,0)),0)</f>
        <v>0</v>
      </c>
      <c r="Q261" s="9">
        <f>IF($H261&gt;J261, MIN($H261-J261, K261-J261)*INDEX('2018_commission_structure'!$A$1:$I$4,MATCH($E261,'2018_commission_structure'!$A$1:$A$4,0),MATCH(Q$1,'2018_commission_structure'!$A$1:$I$1,0)),0)</f>
        <v>0</v>
      </c>
      <c r="R261" s="9">
        <f>IF($H261&gt;K261, MIN($H261-K261, L261-K261)*INDEX('2018_commission_structure'!$A$1:$I$4,MATCH($E261,'2018_commission_structure'!$A$1:$A$4,0),MATCH(R$1,'2018_commission_structure'!$A$1:$I$1,0)),0)</f>
        <v>0</v>
      </c>
      <c r="S261" s="9">
        <f>IF(H261&gt;L261,(H261-L261)*INDEX('2018_commission_structure'!$A$1:$I$4,MATCH($E261,'2018_commission_structure'!$A$1:$A$4,0),MATCH(S$1,'2018_commission_structure'!$A$1:$I$1,0)),0)</f>
        <v>0</v>
      </c>
      <c r="T261" s="9">
        <f t="shared" si="46"/>
        <v>105733.65</v>
      </c>
      <c r="U261" s="9">
        <f t="shared" si="47"/>
        <v>195397.65</v>
      </c>
      <c r="V261" s="9">
        <f>MIN($I261,$H261)*INDEX('Key Metrics'!$E$16:$N$19,MATCH($E261,'Key Metrics'!$E$16:$E$19,0),MATCH(V$1,'Key Metrics'!$E$16:$M$16,0))</f>
        <v>105733.65</v>
      </c>
      <c r="W261" s="9">
        <f>IF($H261&gt;I261, MIN($H261-I261, J261-I261)*INDEX('Key Metrics'!$E$16:$N$19,MATCH($E261,'Key Metrics'!$E$16:$E$19,0),MATCH(W$1,'Key Metrics'!$E$16:$M$16,0)),0)</f>
        <v>0</v>
      </c>
      <c r="X261" s="9">
        <f>IF($H261&gt;J261, MIN($H261-J261, K261-J261)*INDEX('Key Metrics'!$E$16:$N$19,MATCH($E261,'Key Metrics'!$E$16:$E$19,0),MATCH(X$1,'Key Metrics'!$E$16:$M$16,0)),0)</f>
        <v>0</v>
      </c>
      <c r="Y261" s="9">
        <f>IF($H261&gt;K261, MIN($H261-K261, L261-K261)*INDEX('Key Metrics'!$E$16:$N$19,MATCH($E261,'Key Metrics'!$E$16:$E$19,0),MATCH(Y$1,'Key Metrics'!$E$16:$M$16,0)),0)</f>
        <v>0</v>
      </c>
      <c r="Z261" s="9">
        <f>IF($H261&gt;L261,($H261-L261)*INDEX('Key Metrics'!$E$16:$N$19,MATCH($E261,'Key Metrics'!$E$16:$E$19,0),MATCH(Z$1,'Key Metrics'!$E$16:$M$16,0)),0)</f>
        <v>0</v>
      </c>
      <c r="AA261" s="9">
        <f t="shared" si="48"/>
        <v>105733.65</v>
      </c>
      <c r="AB261" s="9">
        <f t="shared" si="49"/>
        <v>105734.58985466666</v>
      </c>
    </row>
    <row r="262" spans="1:28" x14ac:dyDescent="0.55000000000000004">
      <c r="A262" t="str">
        <f t="shared" si="40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COUNTIF(deals_closed!$D$2:$D$20001,Calculations!B532)</f>
        <v>20</v>
      </c>
      <c r="H262" s="7">
        <f>SUMIF(deals_closed!$D:$D,Calculations!B532,deals_closed!$C:$C)</f>
        <v>844242</v>
      </c>
      <c r="I262" s="5">
        <f>VLOOKUP(E262,'2018_commission_structure'!$A$1:$I$4,9,FALSE)</f>
        <v>500000</v>
      </c>
      <c r="J262" s="9">
        <f t="shared" si="41"/>
        <v>625000</v>
      </c>
      <c r="K262" s="10">
        <f t="shared" si="42"/>
        <v>750000</v>
      </c>
      <c r="L262" s="9">
        <f t="shared" si="43"/>
        <v>1000000</v>
      </c>
      <c r="M262" s="8">
        <f t="shared" si="44"/>
        <v>1.6884840000000001</v>
      </c>
      <c r="N262" t="str">
        <f t="shared" si="45"/>
        <v>150-200%</v>
      </c>
      <c r="O262" s="9">
        <f>MIN($H262,$I262)*INDEX('2018_commission_structure'!$A$1:$I$4,MATCH($E262,'2018_commission_structure'!$A$1:$A$4,0),MATCH(O$1,'2018_commission_structure'!$A$1:$I$1,0))</f>
        <v>50000</v>
      </c>
      <c r="P262" s="9">
        <f>IF(H262&gt;I262, MIN(H262-I262, J262-I262)*INDEX('2018_commission_structure'!$A$1:$I$4,MATCH($E262,'2018_commission_structure'!$A$1:$A$4,0),MATCH(P$1,'2018_commission_structure'!$A$1:$I$1,0)),0)</f>
        <v>18750</v>
      </c>
      <c r="Q262" s="9">
        <f>IF($H262&gt;J262, MIN($H262-J262, K262-J262)*INDEX('2018_commission_structure'!$A$1:$I$4,MATCH($E262,'2018_commission_structure'!$A$1:$A$4,0),MATCH(Q$1,'2018_commission_structure'!$A$1:$I$1,0)),0)</f>
        <v>22500</v>
      </c>
      <c r="R262" s="9">
        <f>IF($H262&gt;K262, MIN($H262-K262, L262-K262)*INDEX('2018_commission_structure'!$A$1:$I$4,MATCH($E262,'2018_commission_structure'!$A$1:$A$4,0),MATCH(R$1,'2018_commission_structure'!$A$1:$I$1,0)),0)</f>
        <v>20733.240000000002</v>
      </c>
      <c r="S262" s="9">
        <f>IF(H262&gt;L262,(H262-L262)*INDEX('2018_commission_structure'!$A$1:$I$4,MATCH($E262,'2018_commission_structure'!$A$1:$A$4,0),MATCH(S$1,'2018_commission_structure'!$A$1:$I$1,0)),0)</f>
        <v>0</v>
      </c>
      <c r="T262" s="9">
        <f t="shared" si="46"/>
        <v>111983.24</v>
      </c>
      <c r="U262" s="9">
        <f t="shared" si="47"/>
        <v>145255.24</v>
      </c>
      <c r="V262" s="9">
        <f>MIN($I262,$H262)*INDEX('Key Metrics'!$E$16:$N$19,MATCH($E262,'Key Metrics'!$E$16:$E$19,0),MATCH(V$1,'Key Metrics'!$E$16:$M$16,0))</f>
        <v>60000</v>
      </c>
      <c r="W262" s="9">
        <f>IF($H262&gt;I262, MIN($H262-I262, J262-I262)*INDEX('Key Metrics'!$E$16:$N$19,MATCH($E262,'Key Metrics'!$E$16:$E$19,0),MATCH(W$1,'Key Metrics'!$E$16:$M$16,0)),0)</f>
        <v>21250</v>
      </c>
      <c r="X262" s="9">
        <f>IF($H262&gt;J262, MIN($H262-J262, K262-J262)*INDEX('Key Metrics'!$E$16:$N$19,MATCH($E262,'Key Metrics'!$E$16:$E$19,0),MATCH(X$1,'Key Metrics'!$E$16:$M$16,0)),0)</f>
        <v>25000</v>
      </c>
      <c r="Y262" s="9">
        <f>IF($H262&gt;K262, MIN($H262-K262, L262-K262)*INDEX('Key Metrics'!$E$16:$N$19,MATCH($E262,'Key Metrics'!$E$16:$E$19,0),MATCH(Y$1,'Key Metrics'!$E$16:$M$16,0)),0)</f>
        <v>20733.240000000002</v>
      </c>
      <c r="Z262" s="9">
        <f>IF($H262&gt;L262,($H262-L262)*INDEX('Key Metrics'!$E$16:$N$19,MATCH($E262,'Key Metrics'!$E$16:$E$19,0),MATCH(Z$1,'Key Metrics'!$E$16:$M$16,0)),0)</f>
        <v>0</v>
      </c>
      <c r="AA262" s="9">
        <f t="shared" si="48"/>
        <v>126983.24</v>
      </c>
      <c r="AB262" s="9">
        <f t="shared" si="49"/>
        <v>126984.928484</v>
      </c>
    </row>
    <row r="263" spans="1:28" x14ac:dyDescent="0.55000000000000004">
      <c r="A263" t="str">
        <f t="shared" si="40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COUNTIF(deals_closed!$D$2:$D$20001,Calculations!B525)</f>
        <v>19</v>
      </c>
      <c r="H263" s="7">
        <f>SUMIF(deals_closed!$D:$D,Calculations!B525,deals_closed!$C:$C)</f>
        <v>660630</v>
      </c>
      <c r="I263" s="5">
        <f>VLOOKUP(E263,'2018_commission_structure'!$A$1:$I$4,9,FALSE)</f>
        <v>750000</v>
      </c>
      <c r="J263" s="9">
        <f t="shared" si="41"/>
        <v>937500</v>
      </c>
      <c r="K263" s="10">
        <f t="shared" si="42"/>
        <v>1125000</v>
      </c>
      <c r="L263" s="9">
        <f t="shared" si="43"/>
        <v>1500000</v>
      </c>
      <c r="M263" s="8">
        <f t="shared" si="44"/>
        <v>0.88083999999999996</v>
      </c>
      <c r="N263" t="str">
        <f t="shared" si="45"/>
        <v>0-100%</v>
      </c>
      <c r="O263" s="9">
        <f>MIN($H263,$I263)*INDEX('2018_commission_structure'!$A$1:$I$4,MATCH($E263,'2018_commission_structure'!$A$1:$A$4,0),MATCH(O$1,'2018_commission_structure'!$A$1:$I$1,0))</f>
        <v>99094.5</v>
      </c>
      <c r="P263" s="9">
        <f>IF(H263&gt;I263, MIN(H263-I263, J263-I263)*INDEX('2018_commission_structure'!$A$1:$I$4,MATCH($E263,'2018_commission_structure'!$A$1:$A$4,0),MATCH(P$1,'2018_commission_structure'!$A$1:$I$1,0)),0)</f>
        <v>0</v>
      </c>
      <c r="Q263" s="9">
        <f>IF($H263&gt;J263, MIN($H263-J263, K263-J263)*INDEX('2018_commission_structure'!$A$1:$I$4,MATCH($E263,'2018_commission_structure'!$A$1:$A$4,0),MATCH(Q$1,'2018_commission_structure'!$A$1:$I$1,0)),0)</f>
        <v>0</v>
      </c>
      <c r="R263" s="9">
        <f>IF($H263&gt;K263, MIN($H263-K263, L263-K263)*INDEX('2018_commission_structure'!$A$1:$I$4,MATCH($E263,'2018_commission_structure'!$A$1:$A$4,0),MATCH(R$1,'2018_commission_structure'!$A$1:$I$1,0)),0)</f>
        <v>0</v>
      </c>
      <c r="S263" s="9">
        <f>IF(H263&gt;L263,(H263-L263)*INDEX('2018_commission_structure'!$A$1:$I$4,MATCH($E263,'2018_commission_structure'!$A$1:$A$4,0),MATCH(S$1,'2018_commission_structure'!$A$1:$I$1,0)),0)</f>
        <v>0</v>
      </c>
      <c r="T263" s="9">
        <f t="shared" si="46"/>
        <v>99094.5</v>
      </c>
      <c r="U263" s="9">
        <f t="shared" si="47"/>
        <v>201402.5</v>
      </c>
      <c r="V263" s="9">
        <f>MIN($I263,$H263)*INDEX('Key Metrics'!$E$16:$N$19,MATCH($E263,'Key Metrics'!$E$16:$E$19,0),MATCH(V$1,'Key Metrics'!$E$16:$M$16,0))</f>
        <v>99094.5</v>
      </c>
      <c r="W263" s="9">
        <f>IF($H263&gt;I263, MIN($H263-I263, J263-I263)*INDEX('Key Metrics'!$E$16:$N$19,MATCH($E263,'Key Metrics'!$E$16:$E$19,0),MATCH(W$1,'Key Metrics'!$E$16:$M$16,0)),0)</f>
        <v>0</v>
      </c>
      <c r="X263" s="9">
        <f>IF($H263&gt;J263, MIN($H263-J263, K263-J263)*INDEX('Key Metrics'!$E$16:$N$19,MATCH($E263,'Key Metrics'!$E$16:$E$19,0),MATCH(X$1,'Key Metrics'!$E$16:$M$16,0)),0)</f>
        <v>0</v>
      </c>
      <c r="Y263" s="9">
        <f>IF($H263&gt;K263, MIN($H263-K263, L263-K263)*INDEX('Key Metrics'!$E$16:$N$19,MATCH($E263,'Key Metrics'!$E$16:$E$19,0),MATCH(Y$1,'Key Metrics'!$E$16:$M$16,0)),0)</f>
        <v>0</v>
      </c>
      <c r="Z263" s="9">
        <f>IF($H263&gt;L263,($H263-L263)*INDEX('Key Metrics'!$E$16:$N$19,MATCH($E263,'Key Metrics'!$E$16:$E$19,0),MATCH(Z$1,'Key Metrics'!$E$16:$M$16,0)),0)</f>
        <v>0</v>
      </c>
      <c r="AA263" s="9">
        <f t="shared" si="48"/>
        <v>99094.5</v>
      </c>
      <c r="AB263" s="9">
        <f t="shared" si="49"/>
        <v>99095.380839999998</v>
      </c>
    </row>
    <row r="264" spans="1:28" x14ac:dyDescent="0.55000000000000004">
      <c r="A264" t="str">
        <f t="shared" si="40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COUNTIF(deals_closed!$D$2:$D$20001,Calculations!B504)</f>
        <v>14</v>
      </c>
      <c r="H264" s="7">
        <f>SUMIF(deals_closed!$D:$D,Calculations!B504,deals_closed!$C:$C)</f>
        <v>510949</v>
      </c>
      <c r="I264" s="5">
        <f>VLOOKUP(E264,'2018_commission_structure'!$A$1:$I$4,9,FALSE)</f>
        <v>600000</v>
      </c>
      <c r="J264" s="9">
        <f t="shared" si="41"/>
        <v>750000</v>
      </c>
      <c r="K264" s="10">
        <f t="shared" si="42"/>
        <v>900000</v>
      </c>
      <c r="L264" s="9">
        <f t="shared" si="43"/>
        <v>1200000</v>
      </c>
      <c r="M264" s="8">
        <f t="shared" si="44"/>
        <v>0.85158166666666668</v>
      </c>
      <c r="N264" t="str">
        <f t="shared" si="45"/>
        <v>0-100%</v>
      </c>
      <c r="O264" s="9">
        <f>MIN($H264,$I264)*INDEX('2018_commission_structure'!$A$1:$I$4,MATCH($E264,'2018_commission_structure'!$A$1:$A$4,0),MATCH(O$1,'2018_commission_structure'!$A$1:$I$1,0))</f>
        <v>66423.37</v>
      </c>
      <c r="P264" s="9">
        <f>IF(H264&gt;I264, MIN(H264-I264, J264-I264)*INDEX('2018_commission_structure'!$A$1:$I$4,MATCH($E264,'2018_commission_structure'!$A$1:$A$4,0),MATCH(P$1,'2018_commission_structure'!$A$1:$I$1,0)),0)</f>
        <v>0</v>
      </c>
      <c r="Q264" s="9">
        <f>IF($H264&gt;J264, MIN($H264-J264, K264-J264)*INDEX('2018_commission_structure'!$A$1:$I$4,MATCH($E264,'2018_commission_structure'!$A$1:$A$4,0),MATCH(Q$1,'2018_commission_structure'!$A$1:$I$1,0)),0)</f>
        <v>0</v>
      </c>
      <c r="R264" s="9">
        <f>IF($H264&gt;K264, MIN($H264-K264, L264-K264)*INDEX('2018_commission_structure'!$A$1:$I$4,MATCH($E264,'2018_commission_structure'!$A$1:$A$4,0),MATCH(R$1,'2018_commission_structure'!$A$1:$I$1,0)),0)</f>
        <v>0</v>
      </c>
      <c r="S264" s="9">
        <f>IF(H264&gt;L264,(H264-L264)*INDEX('2018_commission_structure'!$A$1:$I$4,MATCH($E264,'2018_commission_structure'!$A$1:$A$4,0),MATCH(S$1,'2018_commission_structure'!$A$1:$I$1,0)),0)</f>
        <v>0</v>
      </c>
      <c r="T264" s="9">
        <f t="shared" si="46"/>
        <v>66423.37</v>
      </c>
      <c r="U264" s="9">
        <f t="shared" si="47"/>
        <v>130116.37</v>
      </c>
      <c r="V264" s="9">
        <f>MIN($I264,$H264)*INDEX('Key Metrics'!$E$16:$N$19,MATCH($E264,'Key Metrics'!$E$16:$E$19,0),MATCH(V$1,'Key Metrics'!$E$16:$M$16,0))</f>
        <v>76642.349999999991</v>
      </c>
      <c r="W264" s="9">
        <f>IF($H264&gt;I264, MIN($H264-I264, J264-I264)*INDEX('Key Metrics'!$E$16:$N$19,MATCH($E264,'Key Metrics'!$E$16:$E$19,0),MATCH(W$1,'Key Metrics'!$E$16:$M$16,0)),0)</f>
        <v>0</v>
      </c>
      <c r="X264" s="9">
        <f>IF($H264&gt;J264, MIN($H264-J264, K264-J264)*INDEX('Key Metrics'!$E$16:$N$19,MATCH($E264,'Key Metrics'!$E$16:$E$19,0),MATCH(X$1,'Key Metrics'!$E$16:$M$16,0)),0)</f>
        <v>0</v>
      </c>
      <c r="Y264" s="9">
        <f>IF($H264&gt;K264, MIN($H264-K264, L264-K264)*INDEX('Key Metrics'!$E$16:$N$19,MATCH($E264,'Key Metrics'!$E$16:$E$19,0),MATCH(Y$1,'Key Metrics'!$E$16:$M$16,0)),0)</f>
        <v>0</v>
      </c>
      <c r="Z264" s="9">
        <f>IF($H264&gt;L264,($H264-L264)*INDEX('Key Metrics'!$E$16:$N$19,MATCH($E264,'Key Metrics'!$E$16:$E$19,0),MATCH(Z$1,'Key Metrics'!$E$16:$M$16,0)),0)</f>
        <v>0</v>
      </c>
      <c r="AA264" s="9">
        <f t="shared" si="48"/>
        <v>76642.349999999991</v>
      </c>
      <c r="AB264" s="9">
        <f t="shared" si="49"/>
        <v>76643.201581666654</v>
      </c>
    </row>
    <row r="265" spans="1:28" x14ac:dyDescent="0.55000000000000004">
      <c r="A265" t="str">
        <f t="shared" si="40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COUNTIF(deals_closed!$D$2:$D$20001,Calculations!B953)</f>
        <v>12</v>
      </c>
      <c r="H265" s="7">
        <f>SUMIF(deals_closed!$D:$D,Calculations!B953,deals_closed!$C:$C)</f>
        <v>417788</v>
      </c>
      <c r="I265" s="5">
        <f>VLOOKUP(E265,'2018_commission_structure'!$A$1:$I$4,9,FALSE)</f>
        <v>500000</v>
      </c>
      <c r="J265" s="9">
        <f t="shared" si="41"/>
        <v>625000</v>
      </c>
      <c r="K265" s="10">
        <f t="shared" si="42"/>
        <v>750000</v>
      </c>
      <c r="L265" s="9">
        <f t="shared" si="43"/>
        <v>1000000</v>
      </c>
      <c r="M265" s="8">
        <f t="shared" si="44"/>
        <v>0.83557599999999999</v>
      </c>
      <c r="N265" t="str">
        <f t="shared" si="45"/>
        <v>0-100%</v>
      </c>
      <c r="O265" s="9">
        <f>MIN($H265,$I265)*INDEX('2018_commission_structure'!$A$1:$I$4,MATCH($E265,'2018_commission_structure'!$A$1:$A$4,0),MATCH(O$1,'2018_commission_structure'!$A$1:$I$1,0))</f>
        <v>41778.800000000003</v>
      </c>
      <c r="P265" s="9">
        <f>IF(H265&gt;I265, MIN(H265-I265, J265-I265)*INDEX('2018_commission_structure'!$A$1:$I$4,MATCH($E265,'2018_commission_structure'!$A$1:$A$4,0),MATCH(P$1,'2018_commission_structure'!$A$1:$I$1,0)),0)</f>
        <v>0</v>
      </c>
      <c r="Q265" s="9">
        <f>IF($H265&gt;J265, MIN($H265-J265, K265-J265)*INDEX('2018_commission_structure'!$A$1:$I$4,MATCH($E265,'2018_commission_structure'!$A$1:$A$4,0),MATCH(Q$1,'2018_commission_structure'!$A$1:$I$1,0)),0)</f>
        <v>0</v>
      </c>
      <c r="R265" s="9">
        <f>IF($H265&gt;K265, MIN($H265-K265, L265-K265)*INDEX('2018_commission_structure'!$A$1:$I$4,MATCH($E265,'2018_commission_structure'!$A$1:$A$4,0),MATCH(R$1,'2018_commission_structure'!$A$1:$I$1,0)),0)</f>
        <v>0</v>
      </c>
      <c r="S265" s="9">
        <f>IF(H265&gt;L265,(H265-L265)*INDEX('2018_commission_structure'!$A$1:$I$4,MATCH($E265,'2018_commission_structure'!$A$1:$A$4,0),MATCH(S$1,'2018_commission_structure'!$A$1:$I$1,0)),0)</f>
        <v>0</v>
      </c>
      <c r="T265" s="9">
        <f t="shared" si="46"/>
        <v>41778.800000000003</v>
      </c>
      <c r="U265" s="9">
        <f t="shared" si="47"/>
        <v>88969.8</v>
      </c>
      <c r="V265" s="9">
        <f>MIN($I265,$H265)*INDEX('Key Metrics'!$E$16:$N$19,MATCH($E265,'Key Metrics'!$E$16:$E$19,0),MATCH(V$1,'Key Metrics'!$E$16:$M$16,0))</f>
        <v>50134.559999999998</v>
      </c>
      <c r="W265" s="9">
        <f>IF($H265&gt;I265, MIN($H265-I265, J265-I265)*INDEX('Key Metrics'!$E$16:$N$19,MATCH($E265,'Key Metrics'!$E$16:$E$19,0),MATCH(W$1,'Key Metrics'!$E$16:$M$16,0)),0)</f>
        <v>0</v>
      </c>
      <c r="X265" s="9">
        <f>IF($H265&gt;J265, MIN($H265-J265, K265-J265)*INDEX('Key Metrics'!$E$16:$N$19,MATCH($E265,'Key Metrics'!$E$16:$E$19,0),MATCH(X$1,'Key Metrics'!$E$16:$M$16,0)),0)</f>
        <v>0</v>
      </c>
      <c r="Y265" s="9">
        <f>IF($H265&gt;K265, MIN($H265-K265, L265-K265)*INDEX('Key Metrics'!$E$16:$N$19,MATCH($E265,'Key Metrics'!$E$16:$E$19,0),MATCH(Y$1,'Key Metrics'!$E$16:$M$16,0)),0)</f>
        <v>0</v>
      </c>
      <c r="Z265" s="9">
        <f>IF($H265&gt;L265,($H265-L265)*INDEX('Key Metrics'!$E$16:$N$19,MATCH($E265,'Key Metrics'!$E$16:$E$19,0),MATCH(Z$1,'Key Metrics'!$E$16:$M$16,0)),0)</f>
        <v>0</v>
      </c>
      <c r="AA265" s="9">
        <f t="shared" si="48"/>
        <v>50134.559999999998</v>
      </c>
      <c r="AB265" s="9">
        <f t="shared" si="49"/>
        <v>50135.395575999995</v>
      </c>
    </row>
    <row r="266" spans="1:28" x14ac:dyDescent="0.55000000000000004">
      <c r="A266" t="str">
        <f t="shared" si="40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COUNTIF(deals_closed!$D$2:$D$20001,Calculations!B164)</f>
        <v>21</v>
      </c>
      <c r="H266" s="7">
        <f>SUMIF(deals_closed!$D:$D,Calculations!B164,deals_closed!$C:$C)</f>
        <v>827946</v>
      </c>
      <c r="I266" s="5">
        <f>VLOOKUP(E266,'2018_commission_structure'!$A$1:$I$4,9,FALSE)</f>
        <v>750000</v>
      </c>
      <c r="J266" s="9">
        <f t="shared" si="41"/>
        <v>937500</v>
      </c>
      <c r="K266" s="10">
        <f t="shared" si="42"/>
        <v>1125000</v>
      </c>
      <c r="L266" s="9">
        <f t="shared" si="43"/>
        <v>1500000</v>
      </c>
      <c r="M266" s="8">
        <f t="shared" si="44"/>
        <v>1.103928</v>
      </c>
      <c r="N266" t="str">
        <f t="shared" si="45"/>
        <v>100-125%</v>
      </c>
      <c r="O266" s="9">
        <f>MIN($H266,$I266)*INDEX('2018_commission_structure'!$A$1:$I$4,MATCH($E266,'2018_commission_structure'!$A$1:$A$4,0),MATCH(O$1,'2018_commission_structure'!$A$1:$I$1,0))</f>
        <v>112500</v>
      </c>
      <c r="P266" s="9">
        <f>IF(H266&gt;I266, MIN(H266-I266, J266-I266)*INDEX('2018_commission_structure'!$A$1:$I$4,MATCH($E266,'2018_commission_structure'!$A$1:$A$4,0),MATCH(P$1,'2018_commission_structure'!$A$1:$I$1,0)),0)</f>
        <v>14809.74</v>
      </c>
      <c r="Q266" s="9">
        <f>IF($H266&gt;J266, MIN($H266-J266, K266-J266)*INDEX('2018_commission_structure'!$A$1:$I$4,MATCH($E266,'2018_commission_structure'!$A$1:$A$4,0),MATCH(Q$1,'2018_commission_structure'!$A$1:$I$1,0)),0)</f>
        <v>0</v>
      </c>
      <c r="R266" s="9">
        <f>IF($H266&gt;K266, MIN($H266-K266, L266-K266)*INDEX('2018_commission_structure'!$A$1:$I$4,MATCH($E266,'2018_commission_structure'!$A$1:$A$4,0),MATCH(R$1,'2018_commission_structure'!$A$1:$I$1,0)),0)</f>
        <v>0</v>
      </c>
      <c r="S266" s="9">
        <f>IF(H266&gt;L266,(H266-L266)*INDEX('2018_commission_structure'!$A$1:$I$4,MATCH($E266,'2018_commission_structure'!$A$1:$A$4,0),MATCH(S$1,'2018_commission_structure'!$A$1:$I$1,0)),0)</f>
        <v>0</v>
      </c>
      <c r="T266" s="9">
        <f t="shared" si="46"/>
        <v>127309.74</v>
      </c>
      <c r="U266" s="9">
        <f t="shared" si="47"/>
        <v>234190.74</v>
      </c>
      <c r="V266" s="9">
        <f>MIN($I266,$H266)*INDEX('Key Metrics'!$E$16:$N$19,MATCH($E266,'Key Metrics'!$E$16:$E$19,0),MATCH(V$1,'Key Metrics'!$E$16:$M$16,0))</f>
        <v>112500</v>
      </c>
      <c r="W266" s="9">
        <f>IF($H266&gt;I266, MIN($H266-I266, J266-I266)*INDEX('Key Metrics'!$E$16:$N$19,MATCH($E266,'Key Metrics'!$E$16:$E$19,0),MATCH(W$1,'Key Metrics'!$E$16:$M$16,0)),0)</f>
        <v>17148.12</v>
      </c>
      <c r="X266" s="9">
        <f>IF($H266&gt;J266, MIN($H266-J266, K266-J266)*INDEX('Key Metrics'!$E$16:$N$19,MATCH($E266,'Key Metrics'!$E$16:$E$19,0),MATCH(X$1,'Key Metrics'!$E$16:$M$16,0)),0)</f>
        <v>0</v>
      </c>
      <c r="Y266" s="9">
        <f>IF($H266&gt;K266, MIN($H266-K266, L266-K266)*INDEX('Key Metrics'!$E$16:$N$19,MATCH($E266,'Key Metrics'!$E$16:$E$19,0),MATCH(Y$1,'Key Metrics'!$E$16:$M$16,0)),0)</f>
        <v>0</v>
      </c>
      <c r="Z266" s="9">
        <f>IF($H266&gt;L266,($H266-L266)*INDEX('Key Metrics'!$E$16:$N$19,MATCH($E266,'Key Metrics'!$E$16:$E$19,0),MATCH(Z$1,'Key Metrics'!$E$16:$M$16,0)),0)</f>
        <v>0</v>
      </c>
      <c r="AA266" s="9">
        <f t="shared" si="48"/>
        <v>129648.12</v>
      </c>
      <c r="AB266" s="9">
        <f t="shared" si="49"/>
        <v>129649.22392799999</v>
      </c>
    </row>
    <row r="267" spans="1:28" x14ac:dyDescent="0.55000000000000004">
      <c r="A267" t="str">
        <f t="shared" si="40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COUNTIF(deals_closed!$D$2:$D$20001,Calculations!B729)</f>
        <v>16</v>
      </c>
      <c r="H267" s="7">
        <f>SUMIF(deals_closed!$D:$D,Calculations!B729,deals_closed!$C:$C)</f>
        <v>605237</v>
      </c>
      <c r="I267" s="5">
        <f>VLOOKUP(E267,'2018_commission_structure'!$A$1:$I$4,9,FALSE)</f>
        <v>500000</v>
      </c>
      <c r="J267" s="9">
        <f t="shared" si="41"/>
        <v>625000</v>
      </c>
      <c r="K267" s="10">
        <f t="shared" si="42"/>
        <v>750000</v>
      </c>
      <c r="L267" s="9">
        <f t="shared" si="43"/>
        <v>1000000</v>
      </c>
      <c r="M267" s="8">
        <f t="shared" si="44"/>
        <v>1.210474</v>
      </c>
      <c r="N267" t="str">
        <f t="shared" si="45"/>
        <v>100-125%</v>
      </c>
      <c r="O267" s="9">
        <f>MIN($H267,$I267)*INDEX('2018_commission_structure'!$A$1:$I$4,MATCH($E267,'2018_commission_structure'!$A$1:$A$4,0),MATCH(O$1,'2018_commission_structure'!$A$1:$I$1,0))</f>
        <v>50000</v>
      </c>
      <c r="P267" s="9">
        <f>IF(H267&gt;I267, MIN(H267-I267, J267-I267)*INDEX('2018_commission_structure'!$A$1:$I$4,MATCH($E267,'2018_commission_structure'!$A$1:$A$4,0),MATCH(P$1,'2018_commission_structure'!$A$1:$I$1,0)),0)</f>
        <v>15785.55</v>
      </c>
      <c r="Q267" s="9">
        <f>IF($H267&gt;J267, MIN($H267-J267, K267-J267)*INDEX('2018_commission_structure'!$A$1:$I$4,MATCH($E267,'2018_commission_structure'!$A$1:$A$4,0),MATCH(Q$1,'2018_commission_structure'!$A$1:$I$1,0)),0)</f>
        <v>0</v>
      </c>
      <c r="R267" s="9">
        <f>IF($H267&gt;K267, MIN($H267-K267, L267-K267)*INDEX('2018_commission_structure'!$A$1:$I$4,MATCH($E267,'2018_commission_structure'!$A$1:$A$4,0),MATCH(R$1,'2018_commission_structure'!$A$1:$I$1,0)),0)</f>
        <v>0</v>
      </c>
      <c r="S267" s="9">
        <f>IF(H267&gt;L267,(H267-L267)*INDEX('2018_commission_structure'!$A$1:$I$4,MATCH($E267,'2018_commission_structure'!$A$1:$A$4,0),MATCH(S$1,'2018_commission_structure'!$A$1:$I$1,0)),0)</f>
        <v>0</v>
      </c>
      <c r="T267" s="9">
        <f t="shared" si="46"/>
        <v>65785.55</v>
      </c>
      <c r="U267" s="9">
        <f t="shared" si="47"/>
        <v>114001.55</v>
      </c>
      <c r="V267" s="9">
        <f>MIN($I267,$H267)*INDEX('Key Metrics'!$E$16:$N$19,MATCH($E267,'Key Metrics'!$E$16:$E$19,0),MATCH(V$1,'Key Metrics'!$E$16:$M$16,0))</f>
        <v>60000</v>
      </c>
      <c r="W267" s="9">
        <f>IF($H267&gt;I267, MIN($H267-I267, J267-I267)*INDEX('Key Metrics'!$E$16:$N$19,MATCH($E267,'Key Metrics'!$E$16:$E$19,0),MATCH(W$1,'Key Metrics'!$E$16:$M$16,0)),0)</f>
        <v>17890.29</v>
      </c>
      <c r="X267" s="9">
        <f>IF($H267&gt;J267, MIN($H267-J267, K267-J267)*INDEX('Key Metrics'!$E$16:$N$19,MATCH($E267,'Key Metrics'!$E$16:$E$19,0),MATCH(X$1,'Key Metrics'!$E$16:$M$16,0)),0)</f>
        <v>0</v>
      </c>
      <c r="Y267" s="9">
        <f>IF($H267&gt;K267, MIN($H267-K267, L267-K267)*INDEX('Key Metrics'!$E$16:$N$19,MATCH($E267,'Key Metrics'!$E$16:$E$19,0),MATCH(Y$1,'Key Metrics'!$E$16:$M$16,0)),0)</f>
        <v>0</v>
      </c>
      <c r="Z267" s="9">
        <f>IF($H267&gt;L267,($H267-L267)*INDEX('Key Metrics'!$E$16:$N$19,MATCH($E267,'Key Metrics'!$E$16:$E$19,0),MATCH(Z$1,'Key Metrics'!$E$16:$M$16,0)),0)</f>
        <v>0</v>
      </c>
      <c r="AA267" s="9">
        <f t="shared" si="48"/>
        <v>77890.290000000008</v>
      </c>
      <c r="AB267" s="9">
        <f t="shared" si="49"/>
        <v>77891.500474000015</v>
      </c>
    </row>
    <row r="268" spans="1:28" x14ac:dyDescent="0.55000000000000004">
      <c r="A268" t="str">
        <f t="shared" si="40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COUNTIF(deals_closed!$D$2:$D$20001,Calculations!B301)</f>
        <v>19</v>
      </c>
      <c r="H268" s="7">
        <f>SUMIF(deals_closed!$D:$D,Calculations!B301,deals_closed!$C:$C)</f>
        <v>662396</v>
      </c>
      <c r="I268" s="5">
        <f>VLOOKUP(E268,'2018_commission_structure'!$A$1:$I$4,9,FALSE)</f>
        <v>600000</v>
      </c>
      <c r="J268" s="9">
        <f t="shared" si="41"/>
        <v>750000</v>
      </c>
      <c r="K268" s="10">
        <f t="shared" si="42"/>
        <v>900000</v>
      </c>
      <c r="L268" s="9">
        <f t="shared" si="43"/>
        <v>1200000</v>
      </c>
      <c r="M268" s="8">
        <f t="shared" si="44"/>
        <v>1.1039933333333334</v>
      </c>
      <c r="N268" t="str">
        <f t="shared" si="45"/>
        <v>100-125%</v>
      </c>
      <c r="O268" s="9">
        <f>MIN($H268,$I268)*INDEX('2018_commission_structure'!$A$1:$I$4,MATCH($E268,'2018_commission_structure'!$A$1:$A$4,0),MATCH(O$1,'2018_commission_structure'!$A$1:$I$1,0))</f>
        <v>78000</v>
      </c>
      <c r="P268" s="9">
        <f>IF(H268&gt;I268, MIN(H268-I268, J268-I268)*INDEX('2018_commission_structure'!$A$1:$I$4,MATCH($E268,'2018_commission_structure'!$A$1:$A$4,0),MATCH(P$1,'2018_commission_structure'!$A$1:$I$1,0)),0)</f>
        <v>10607.320000000002</v>
      </c>
      <c r="Q268" s="9">
        <f>IF($H268&gt;J268, MIN($H268-J268, K268-J268)*INDEX('2018_commission_structure'!$A$1:$I$4,MATCH($E268,'2018_commission_structure'!$A$1:$A$4,0),MATCH(Q$1,'2018_commission_structure'!$A$1:$I$1,0)),0)</f>
        <v>0</v>
      </c>
      <c r="R268" s="9">
        <f>IF($H268&gt;K268, MIN($H268-K268, L268-K268)*INDEX('2018_commission_structure'!$A$1:$I$4,MATCH($E268,'2018_commission_structure'!$A$1:$A$4,0),MATCH(R$1,'2018_commission_structure'!$A$1:$I$1,0)),0)</f>
        <v>0</v>
      </c>
      <c r="S268" s="9">
        <f>IF(H268&gt;L268,(H268-L268)*INDEX('2018_commission_structure'!$A$1:$I$4,MATCH($E268,'2018_commission_structure'!$A$1:$A$4,0),MATCH(S$1,'2018_commission_structure'!$A$1:$I$1,0)),0)</f>
        <v>0</v>
      </c>
      <c r="T268" s="9">
        <f t="shared" si="46"/>
        <v>88607.32</v>
      </c>
      <c r="U268" s="9">
        <f t="shared" si="47"/>
        <v>141998.32</v>
      </c>
      <c r="V268" s="9">
        <f>MIN($I268,$H268)*INDEX('Key Metrics'!$E$16:$N$19,MATCH($E268,'Key Metrics'!$E$16:$E$19,0),MATCH(V$1,'Key Metrics'!$E$16:$M$16,0))</f>
        <v>90000</v>
      </c>
      <c r="W268" s="9">
        <f>IF($H268&gt;I268, MIN($H268-I268, J268-I268)*INDEX('Key Metrics'!$E$16:$N$19,MATCH($E268,'Key Metrics'!$E$16:$E$19,0),MATCH(W$1,'Key Metrics'!$E$16:$M$16,0)),0)</f>
        <v>11231.279999999999</v>
      </c>
      <c r="X268" s="9">
        <f>IF($H268&gt;J268, MIN($H268-J268, K268-J268)*INDEX('Key Metrics'!$E$16:$N$19,MATCH($E268,'Key Metrics'!$E$16:$E$19,0),MATCH(X$1,'Key Metrics'!$E$16:$M$16,0)),0)</f>
        <v>0</v>
      </c>
      <c r="Y268" s="9">
        <f>IF($H268&gt;K268, MIN($H268-K268, L268-K268)*INDEX('Key Metrics'!$E$16:$N$19,MATCH($E268,'Key Metrics'!$E$16:$E$19,0),MATCH(Y$1,'Key Metrics'!$E$16:$M$16,0)),0)</f>
        <v>0</v>
      </c>
      <c r="Z268" s="9">
        <f>IF($H268&gt;L268,($H268-L268)*INDEX('Key Metrics'!$E$16:$N$19,MATCH($E268,'Key Metrics'!$E$16:$E$19,0),MATCH(Z$1,'Key Metrics'!$E$16:$M$16,0)),0)</f>
        <v>0</v>
      </c>
      <c r="AA268" s="9">
        <f t="shared" si="48"/>
        <v>101231.28</v>
      </c>
      <c r="AB268" s="9">
        <f t="shared" si="49"/>
        <v>101232.38399333334</v>
      </c>
    </row>
    <row r="269" spans="1:28" x14ac:dyDescent="0.55000000000000004">
      <c r="A269" t="str">
        <f t="shared" si="40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COUNTIF(deals_closed!$D$2:$D$20001,Calculations!B378)</f>
        <v>25</v>
      </c>
      <c r="H269" s="7">
        <f>SUMIF(deals_closed!$D:$D,Calculations!B378,deals_closed!$C:$C)</f>
        <v>983343</v>
      </c>
      <c r="I269" s="5">
        <f>VLOOKUP(E269,'2018_commission_structure'!$A$1:$I$4,9,FALSE)</f>
        <v>600000</v>
      </c>
      <c r="J269" s="9">
        <f t="shared" si="41"/>
        <v>750000</v>
      </c>
      <c r="K269" s="10">
        <f t="shared" si="42"/>
        <v>900000</v>
      </c>
      <c r="L269" s="9">
        <f t="shared" si="43"/>
        <v>1200000</v>
      </c>
      <c r="M269" s="8">
        <f t="shared" si="44"/>
        <v>1.6389050000000001</v>
      </c>
      <c r="N269" t="str">
        <f t="shared" si="45"/>
        <v>150-200%</v>
      </c>
      <c r="O269" s="9">
        <f>MIN($H269,$I269)*INDEX('2018_commission_structure'!$A$1:$I$4,MATCH($E269,'2018_commission_structure'!$A$1:$A$4,0),MATCH(O$1,'2018_commission_structure'!$A$1:$I$1,0))</f>
        <v>78000</v>
      </c>
      <c r="P269" s="9">
        <f>IF(H269&gt;I269, MIN(H269-I269, J269-I269)*INDEX('2018_commission_structure'!$A$1:$I$4,MATCH($E269,'2018_commission_structure'!$A$1:$A$4,0),MATCH(P$1,'2018_commission_structure'!$A$1:$I$1,0)),0)</f>
        <v>25500.000000000004</v>
      </c>
      <c r="Q269" s="9">
        <f>IF($H269&gt;J269, MIN($H269-J269, K269-J269)*INDEX('2018_commission_structure'!$A$1:$I$4,MATCH($E269,'2018_commission_structure'!$A$1:$A$4,0),MATCH(Q$1,'2018_commission_structure'!$A$1:$I$1,0)),0)</f>
        <v>31500</v>
      </c>
      <c r="R269" s="9">
        <f>IF($H269&gt;K269, MIN($H269-K269, L269-K269)*INDEX('2018_commission_structure'!$A$1:$I$4,MATCH($E269,'2018_commission_structure'!$A$1:$A$4,0),MATCH(R$1,'2018_commission_structure'!$A$1:$I$1,0)),0)</f>
        <v>21669.18</v>
      </c>
      <c r="S269" s="9">
        <f>IF(H269&gt;L269,(H269-L269)*INDEX('2018_commission_structure'!$A$1:$I$4,MATCH($E269,'2018_commission_structure'!$A$1:$A$4,0),MATCH(S$1,'2018_commission_structure'!$A$1:$I$1,0)),0)</f>
        <v>0</v>
      </c>
      <c r="T269" s="9">
        <f t="shared" si="46"/>
        <v>156669.18</v>
      </c>
      <c r="U269" s="9">
        <f t="shared" si="47"/>
        <v>231843.18</v>
      </c>
      <c r="V269" s="9">
        <f>MIN($I269,$H269)*INDEX('Key Metrics'!$E$16:$N$19,MATCH($E269,'Key Metrics'!$E$16:$E$19,0),MATCH(V$1,'Key Metrics'!$E$16:$M$16,0))</f>
        <v>90000</v>
      </c>
      <c r="W269" s="9">
        <f>IF($H269&gt;I269, MIN($H269-I269, J269-I269)*INDEX('Key Metrics'!$E$16:$N$19,MATCH($E269,'Key Metrics'!$E$16:$E$19,0),MATCH(W$1,'Key Metrics'!$E$16:$M$16,0)),0)</f>
        <v>27000</v>
      </c>
      <c r="X269" s="9">
        <f>IF($H269&gt;J269, MIN($H269-J269, K269-J269)*INDEX('Key Metrics'!$E$16:$N$19,MATCH($E269,'Key Metrics'!$E$16:$E$19,0),MATCH(X$1,'Key Metrics'!$E$16:$M$16,0)),0)</f>
        <v>37500</v>
      </c>
      <c r="Y269" s="9">
        <f>IF($H269&gt;K269, MIN($H269-K269, L269-K269)*INDEX('Key Metrics'!$E$16:$N$19,MATCH($E269,'Key Metrics'!$E$16:$E$19,0),MATCH(Y$1,'Key Metrics'!$E$16:$M$16,0)),0)</f>
        <v>25002.899999999998</v>
      </c>
      <c r="Z269" s="9">
        <f>IF($H269&gt;L269,($H269-L269)*INDEX('Key Metrics'!$E$16:$N$19,MATCH($E269,'Key Metrics'!$E$16:$E$19,0),MATCH(Z$1,'Key Metrics'!$E$16:$M$16,0)),0)</f>
        <v>0</v>
      </c>
      <c r="AA269" s="9">
        <f t="shared" si="48"/>
        <v>179502.9</v>
      </c>
      <c r="AB269" s="9">
        <f t="shared" si="49"/>
        <v>179504.53890499999</v>
      </c>
    </row>
    <row r="270" spans="1:28" x14ac:dyDescent="0.55000000000000004">
      <c r="A270" t="str">
        <f t="shared" si="40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COUNTIF(deals_closed!$D$2:$D$20001,Calculations!B984)</f>
        <v>21</v>
      </c>
      <c r="H270" s="7">
        <f>SUMIF(deals_closed!$D:$D,Calculations!B984,deals_closed!$C:$C)</f>
        <v>743782</v>
      </c>
      <c r="I270" s="5">
        <f>VLOOKUP(E270,'2018_commission_structure'!$A$1:$I$4,9,FALSE)</f>
        <v>600000</v>
      </c>
      <c r="J270" s="9">
        <f t="shared" si="41"/>
        <v>750000</v>
      </c>
      <c r="K270" s="10">
        <f t="shared" si="42"/>
        <v>900000</v>
      </c>
      <c r="L270" s="9">
        <f t="shared" si="43"/>
        <v>1200000</v>
      </c>
      <c r="M270" s="8">
        <f t="shared" si="44"/>
        <v>1.2396366666666667</v>
      </c>
      <c r="N270" t="str">
        <f t="shared" si="45"/>
        <v>100-125%</v>
      </c>
      <c r="O270" s="9">
        <f>MIN($H270,$I270)*INDEX('2018_commission_structure'!$A$1:$I$4,MATCH($E270,'2018_commission_structure'!$A$1:$A$4,0),MATCH(O$1,'2018_commission_structure'!$A$1:$I$1,0))</f>
        <v>78000</v>
      </c>
      <c r="P270" s="9">
        <f>IF(H270&gt;I270, MIN(H270-I270, J270-I270)*INDEX('2018_commission_structure'!$A$1:$I$4,MATCH($E270,'2018_commission_structure'!$A$1:$A$4,0),MATCH(P$1,'2018_commission_structure'!$A$1:$I$1,0)),0)</f>
        <v>24442.940000000002</v>
      </c>
      <c r="Q270" s="9">
        <f>IF($H270&gt;J270, MIN($H270-J270, K270-J270)*INDEX('2018_commission_structure'!$A$1:$I$4,MATCH($E270,'2018_commission_structure'!$A$1:$A$4,0),MATCH(Q$1,'2018_commission_structure'!$A$1:$I$1,0)),0)</f>
        <v>0</v>
      </c>
      <c r="R270" s="9">
        <f>IF($H270&gt;K270, MIN($H270-K270, L270-K270)*INDEX('2018_commission_structure'!$A$1:$I$4,MATCH($E270,'2018_commission_structure'!$A$1:$A$4,0),MATCH(R$1,'2018_commission_structure'!$A$1:$I$1,0)),0)</f>
        <v>0</v>
      </c>
      <c r="S270" s="9">
        <f>IF(H270&gt;L270,(H270-L270)*INDEX('2018_commission_structure'!$A$1:$I$4,MATCH($E270,'2018_commission_structure'!$A$1:$A$4,0),MATCH(S$1,'2018_commission_structure'!$A$1:$I$1,0)),0)</f>
        <v>0</v>
      </c>
      <c r="T270" s="9">
        <f t="shared" si="46"/>
        <v>102442.94</v>
      </c>
      <c r="U270" s="9">
        <f t="shared" si="47"/>
        <v>169395.94</v>
      </c>
      <c r="V270" s="9">
        <f>MIN($I270,$H270)*INDEX('Key Metrics'!$E$16:$N$19,MATCH($E270,'Key Metrics'!$E$16:$E$19,0),MATCH(V$1,'Key Metrics'!$E$16:$M$16,0))</f>
        <v>90000</v>
      </c>
      <c r="W270" s="9">
        <f>IF($H270&gt;I270, MIN($H270-I270, J270-I270)*INDEX('Key Metrics'!$E$16:$N$19,MATCH($E270,'Key Metrics'!$E$16:$E$19,0),MATCH(W$1,'Key Metrics'!$E$16:$M$16,0)),0)</f>
        <v>25880.76</v>
      </c>
      <c r="X270" s="9">
        <f>IF($H270&gt;J270, MIN($H270-J270, K270-J270)*INDEX('Key Metrics'!$E$16:$N$19,MATCH($E270,'Key Metrics'!$E$16:$E$19,0),MATCH(X$1,'Key Metrics'!$E$16:$M$16,0)),0)</f>
        <v>0</v>
      </c>
      <c r="Y270" s="9">
        <f>IF($H270&gt;K270, MIN($H270-K270, L270-K270)*INDEX('Key Metrics'!$E$16:$N$19,MATCH($E270,'Key Metrics'!$E$16:$E$19,0),MATCH(Y$1,'Key Metrics'!$E$16:$M$16,0)),0)</f>
        <v>0</v>
      </c>
      <c r="Z270" s="9">
        <f>IF($H270&gt;L270,($H270-L270)*INDEX('Key Metrics'!$E$16:$N$19,MATCH($E270,'Key Metrics'!$E$16:$E$19,0),MATCH(Z$1,'Key Metrics'!$E$16:$M$16,0)),0)</f>
        <v>0</v>
      </c>
      <c r="AA270" s="9">
        <f t="shared" si="48"/>
        <v>115880.76</v>
      </c>
      <c r="AB270" s="9">
        <f t="shared" si="49"/>
        <v>115881.99963666666</v>
      </c>
    </row>
    <row r="271" spans="1:28" x14ac:dyDescent="0.55000000000000004">
      <c r="A271" t="str">
        <f t="shared" si="40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COUNTIF(deals_closed!$D$2:$D$20001,Calculations!B226)</f>
        <v>17</v>
      </c>
      <c r="H271" s="7">
        <f>SUMIF(deals_closed!$D:$D,Calculations!B226,deals_closed!$C:$C)</f>
        <v>596801</v>
      </c>
      <c r="I271" s="5">
        <f>VLOOKUP(E271,'2018_commission_structure'!$A$1:$I$4,9,FALSE)</f>
        <v>600000</v>
      </c>
      <c r="J271" s="9">
        <f t="shared" si="41"/>
        <v>750000</v>
      </c>
      <c r="K271" s="10">
        <f t="shared" si="42"/>
        <v>900000</v>
      </c>
      <c r="L271" s="9">
        <f t="shared" si="43"/>
        <v>1200000</v>
      </c>
      <c r="M271" s="8">
        <f t="shared" si="44"/>
        <v>0.99466833333333338</v>
      </c>
      <c r="N271" t="str">
        <f t="shared" si="45"/>
        <v>0-100%</v>
      </c>
      <c r="O271" s="9">
        <f>MIN($H271,$I271)*INDEX('2018_commission_structure'!$A$1:$I$4,MATCH($E271,'2018_commission_structure'!$A$1:$A$4,0),MATCH(O$1,'2018_commission_structure'!$A$1:$I$1,0))</f>
        <v>77584.13</v>
      </c>
      <c r="P271" s="9">
        <f>IF(H271&gt;I271, MIN(H271-I271, J271-I271)*INDEX('2018_commission_structure'!$A$1:$I$4,MATCH($E271,'2018_commission_structure'!$A$1:$A$4,0),MATCH(P$1,'2018_commission_structure'!$A$1:$I$1,0)),0)</f>
        <v>0</v>
      </c>
      <c r="Q271" s="9">
        <f>IF($H271&gt;J271, MIN($H271-J271, K271-J271)*INDEX('2018_commission_structure'!$A$1:$I$4,MATCH($E271,'2018_commission_structure'!$A$1:$A$4,0),MATCH(Q$1,'2018_commission_structure'!$A$1:$I$1,0)),0)</f>
        <v>0</v>
      </c>
      <c r="R271" s="9">
        <f>IF($H271&gt;K271, MIN($H271-K271, L271-K271)*INDEX('2018_commission_structure'!$A$1:$I$4,MATCH($E271,'2018_commission_structure'!$A$1:$A$4,0),MATCH(R$1,'2018_commission_structure'!$A$1:$I$1,0)),0)</f>
        <v>0</v>
      </c>
      <c r="S271" s="9">
        <f>IF(H271&gt;L271,(H271-L271)*INDEX('2018_commission_structure'!$A$1:$I$4,MATCH($E271,'2018_commission_structure'!$A$1:$A$4,0),MATCH(S$1,'2018_commission_structure'!$A$1:$I$1,0)),0)</f>
        <v>0</v>
      </c>
      <c r="T271" s="9">
        <f t="shared" si="46"/>
        <v>77584.13</v>
      </c>
      <c r="U271" s="9">
        <f t="shared" si="47"/>
        <v>132848.13</v>
      </c>
      <c r="V271" s="9">
        <f>MIN($I271,$H271)*INDEX('Key Metrics'!$E$16:$N$19,MATCH($E271,'Key Metrics'!$E$16:$E$19,0),MATCH(V$1,'Key Metrics'!$E$16:$M$16,0))</f>
        <v>89520.15</v>
      </c>
      <c r="W271" s="9">
        <f>IF($H271&gt;I271, MIN($H271-I271, J271-I271)*INDEX('Key Metrics'!$E$16:$N$19,MATCH($E271,'Key Metrics'!$E$16:$E$19,0),MATCH(W$1,'Key Metrics'!$E$16:$M$16,0)),0)</f>
        <v>0</v>
      </c>
      <c r="X271" s="9">
        <f>IF($H271&gt;J271, MIN($H271-J271, K271-J271)*INDEX('Key Metrics'!$E$16:$N$19,MATCH($E271,'Key Metrics'!$E$16:$E$19,0),MATCH(X$1,'Key Metrics'!$E$16:$M$16,0)),0)</f>
        <v>0</v>
      </c>
      <c r="Y271" s="9">
        <f>IF($H271&gt;K271, MIN($H271-K271, L271-K271)*INDEX('Key Metrics'!$E$16:$N$19,MATCH($E271,'Key Metrics'!$E$16:$E$19,0),MATCH(Y$1,'Key Metrics'!$E$16:$M$16,0)),0)</f>
        <v>0</v>
      </c>
      <c r="Z271" s="9">
        <f>IF($H271&gt;L271,($H271-L271)*INDEX('Key Metrics'!$E$16:$N$19,MATCH($E271,'Key Metrics'!$E$16:$E$19,0),MATCH(Z$1,'Key Metrics'!$E$16:$M$16,0)),0)</f>
        <v>0</v>
      </c>
      <c r="AA271" s="9">
        <f t="shared" si="48"/>
        <v>89520.15</v>
      </c>
      <c r="AB271" s="9">
        <f t="shared" si="49"/>
        <v>89521.144668333334</v>
      </c>
    </row>
    <row r="272" spans="1:28" x14ac:dyDescent="0.55000000000000004">
      <c r="A272" t="str">
        <f t="shared" si="40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COUNTIF(deals_closed!$D$2:$D$20001,Calculations!B205)</f>
        <v>21</v>
      </c>
      <c r="H272" s="7">
        <f>SUMIF(deals_closed!$D:$D,Calculations!B205,deals_closed!$C:$C)</f>
        <v>682856</v>
      </c>
      <c r="I272" s="5">
        <f>VLOOKUP(E272,'2018_commission_structure'!$A$1:$I$4,9,FALSE)</f>
        <v>600000</v>
      </c>
      <c r="J272" s="9">
        <f t="shared" si="41"/>
        <v>750000</v>
      </c>
      <c r="K272" s="10">
        <f t="shared" si="42"/>
        <v>900000</v>
      </c>
      <c r="L272" s="9">
        <f t="shared" si="43"/>
        <v>1200000</v>
      </c>
      <c r="M272" s="8">
        <f t="shared" si="44"/>
        <v>1.1380933333333334</v>
      </c>
      <c r="N272" t="str">
        <f t="shared" si="45"/>
        <v>100-125%</v>
      </c>
      <c r="O272" s="9">
        <f>MIN($H272,$I272)*INDEX('2018_commission_structure'!$A$1:$I$4,MATCH($E272,'2018_commission_structure'!$A$1:$A$4,0),MATCH(O$1,'2018_commission_structure'!$A$1:$I$1,0))</f>
        <v>78000</v>
      </c>
      <c r="P272" s="9">
        <f>IF(H272&gt;I272, MIN(H272-I272, J272-I272)*INDEX('2018_commission_structure'!$A$1:$I$4,MATCH($E272,'2018_commission_structure'!$A$1:$A$4,0),MATCH(P$1,'2018_commission_structure'!$A$1:$I$1,0)),0)</f>
        <v>14085.52</v>
      </c>
      <c r="Q272" s="9">
        <f>IF($H272&gt;J272, MIN($H272-J272, K272-J272)*INDEX('2018_commission_structure'!$A$1:$I$4,MATCH($E272,'2018_commission_structure'!$A$1:$A$4,0),MATCH(Q$1,'2018_commission_structure'!$A$1:$I$1,0)),0)</f>
        <v>0</v>
      </c>
      <c r="R272" s="9">
        <f>IF($H272&gt;K272, MIN($H272-K272, L272-K272)*INDEX('2018_commission_structure'!$A$1:$I$4,MATCH($E272,'2018_commission_structure'!$A$1:$A$4,0),MATCH(R$1,'2018_commission_structure'!$A$1:$I$1,0)),0)</f>
        <v>0</v>
      </c>
      <c r="S272" s="9">
        <f>IF(H272&gt;L272,(H272-L272)*INDEX('2018_commission_structure'!$A$1:$I$4,MATCH($E272,'2018_commission_structure'!$A$1:$A$4,0),MATCH(S$1,'2018_commission_structure'!$A$1:$I$1,0)),0)</f>
        <v>0</v>
      </c>
      <c r="T272" s="9">
        <f t="shared" si="46"/>
        <v>92085.52</v>
      </c>
      <c r="U272" s="9">
        <f t="shared" si="47"/>
        <v>146143.52000000002</v>
      </c>
      <c r="V272" s="9">
        <f>MIN($I272,$H272)*INDEX('Key Metrics'!$E$16:$N$19,MATCH($E272,'Key Metrics'!$E$16:$E$19,0),MATCH(V$1,'Key Metrics'!$E$16:$M$16,0))</f>
        <v>90000</v>
      </c>
      <c r="W272" s="9">
        <f>IF($H272&gt;I272, MIN($H272-I272, J272-I272)*INDEX('Key Metrics'!$E$16:$N$19,MATCH($E272,'Key Metrics'!$E$16:$E$19,0),MATCH(W$1,'Key Metrics'!$E$16:$M$16,0)),0)</f>
        <v>14914.08</v>
      </c>
      <c r="X272" s="9">
        <f>IF($H272&gt;J272, MIN($H272-J272, K272-J272)*INDEX('Key Metrics'!$E$16:$N$19,MATCH($E272,'Key Metrics'!$E$16:$E$19,0),MATCH(X$1,'Key Metrics'!$E$16:$M$16,0)),0)</f>
        <v>0</v>
      </c>
      <c r="Y272" s="9">
        <f>IF($H272&gt;K272, MIN($H272-K272, L272-K272)*INDEX('Key Metrics'!$E$16:$N$19,MATCH($E272,'Key Metrics'!$E$16:$E$19,0),MATCH(Y$1,'Key Metrics'!$E$16:$M$16,0)),0)</f>
        <v>0</v>
      </c>
      <c r="Z272" s="9">
        <f>IF($H272&gt;L272,($H272-L272)*INDEX('Key Metrics'!$E$16:$N$19,MATCH($E272,'Key Metrics'!$E$16:$E$19,0),MATCH(Z$1,'Key Metrics'!$E$16:$M$16,0)),0)</f>
        <v>0</v>
      </c>
      <c r="AA272" s="9">
        <f t="shared" si="48"/>
        <v>104914.08</v>
      </c>
      <c r="AB272" s="9">
        <f t="shared" si="49"/>
        <v>104915.21809333333</v>
      </c>
    </row>
    <row r="273" spans="1:28" x14ac:dyDescent="0.55000000000000004">
      <c r="A273" t="str">
        <f t="shared" si="40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COUNTIF(deals_closed!$D$2:$D$20001,Calculations!B271)</f>
        <v>21</v>
      </c>
      <c r="H273" s="7">
        <f>SUMIF(deals_closed!$D:$D,Calculations!B271,deals_closed!$C:$C)</f>
        <v>735042</v>
      </c>
      <c r="I273" s="5">
        <f>VLOOKUP(E273,'2018_commission_structure'!$A$1:$I$4,9,FALSE)</f>
        <v>500000</v>
      </c>
      <c r="J273" s="9">
        <f t="shared" si="41"/>
        <v>625000</v>
      </c>
      <c r="K273" s="10">
        <f t="shared" si="42"/>
        <v>750000</v>
      </c>
      <c r="L273" s="9">
        <f t="shared" si="43"/>
        <v>1000000</v>
      </c>
      <c r="M273" s="8">
        <f t="shared" si="44"/>
        <v>1.4700839999999999</v>
      </c>
      <c r="N273" t="str">
        <f t="shared" si="45"/>
        <v>125-150%</v>
      </c>
      <c r="O273" s="9">
        <f>MIN($H273,$I273)*INDEX('2018_commission_structure'!$A$1:$I$4,MATCH($E273,'2018_commission_structure'!$A$1:$A$4,0),MATCH(O$1,'2018_commission_structure'!$A$1:$I$1,0))</f>
        <v>50000</v>
      </c>
      <c r="P273" s="9">
        <f>IF(H273&gt;I273, MIN(H273-I273, J273-I273)*INDEX('2018_commission_structure'!$A$1:$I$4,MATCH($E273,'2018_commission_structure'!$A$1:$A$4,0),MATCH(P$1,'2018_commission_structure'!$A$1:$I$1,0)),0)</f>
        <v>18750</v>
      </c>
      <c r="Q273" s="9">
        <f>IF($H273&gt;J273, MIN($H273-J273, K273-J273)*INDEX('2018_commission_structure'!$A$1:$I$4,MATCH($E273,'2018_commission_structure'!$A$1:$A$4,0),MATCH(Q$1,'2018_commission_structure'!$A$1:$I$1,0)),0)</f>
        <v>19807.559999999998</v>
      </c>
      <c r="R273" s="9">
        <f>IF($H273&gt;K273, MIN($H273-K273, L273-K273)*INDEX('2018_commission_structure'!$A$1:$I$4,MATCH($E273,'2018_commission_structure'!$A$1:$A$4,0),MATCH(R$1,'2018_commission_structure'!$A$1:$I$1,0)),0)</f>
        <v>0</v>
      </c>
      <c r="S273" s="9">
        <f>IF(H273&gt;L273,(H273-L273)*INDEX('2018_commission_structure'!$A$1:$I$4,MATCH($E273,'2018_commission_structure'!$A$1:$A$4,0),MATCH(S$1,'2018_commission_structure'!$A$1:$I$1,0)),0)</f>
        <v>0</v>
      </c>
      <c r="T273" s="9">
        <f t="shared" si="46"/>
        <v>88557.56</v>
      </c>
      <c r="U273" s="9">
        <f t="shared" si="47"/>
        <v>139239.56</v>
      </c>
      <c r="V273" s="9">
        <f>MIN($I273,$H273)*INDEX('Key Metrics'!$E$16:$N$19,MATCH($E273,'Key Metrics'!$E$16:$E$19,0),MATCH(V$1,'Key Metrics'!$E$16:$M$16,0))</f>
        <v>60000</v>
      </c>
      <c r="W273" s="9">
        <f>IF($H273&gt;I273, MIN($H273-I273, J273-I273)*INDEX('Key Metrics'!$E$16:$N$19,MATCH($E273,'Key Metrics'!$E$16:$E$19,0),MATCH(W$1,'Key Metrics'!$E$16:$M$16,0)),0)</f>
        <v>21250</v>
      </c>
      <c r="X273" s="9">
        <f>IF($H273&gt;J273, MIN($H273-J273, K273-J273)*INDEX('Key Metrics'!$E$16:$N$19,MATCH($E273,'Key Metrics'!$E$16:$E$19,0),MATCH(X$1,'Key Metrics'!$E$16:$M$16,0)),0)</f>
        <v>22008.400000000001</v>
      </c>
      <c r="Y273" s="9">
        <f>IF($H273&gt;K273, MIN($H273-K273, L273-K273)*INDEX('Key Metrics'!$E$16:$N$19,MATCH($E273,'Key Metrics'!$E$16:$E$19,0),MATCH(Y$1,'Key Metrics'!$E$16:$M$16,0)),0)</f>
        <v>0</v>
      </c>
      <c r="Z273" s="9">
        <f>IF($H273&gt;L273,($H273-L273)*INDEX('Key Metrics'!$E$16:$N$19,MATCH($E273,'Key Metrics'!$E$16:$E$19,0),MATCH(Z$1,'Key Metrics'!$E$16:$M$16,0)),0)</f>
        <v>0</v>
      </c>
      <c r="AA273" s="9">
        <f t="shared" si="48"/>
        <v>103258.4</v>
      </c>
      <c r="AB273" s="9">
        <f t="shared" si="49"/>
        <v>103259.87008399999</v>
      </c>
    </row>
    <row r="274" spans="1:28" x14ac:dyDescent="0.55000000000000004">
      <c r="A274" t="str">
        <f t="shared" si="40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COUNTIF(deals_closed!$D$2:$D$20001,Calculations!B877)</f>
        <v>22</v>
      </c>
      <c r="H274" s="7">
        <f>SUMIF(deals_closed!$D:$D,Calculations!B877,deals_closed!$C:$C)</f>
        <v>796327</v>
      </c>
      <c r="I274" s="5">
        <f>VLOOKUP(E274,'2018_commission_structure'!$A$1:$I$4,9,FALSE)</f>
        <v>750000</v>
      </c>
      <c r="J274" s="9">
        <f t="shared" si="41"/>
        <v>937500</v>
      </c>
      <c r="K274" s="10">
        <f t="shared" si="42"/>
        <v>1125000</v>
      </c>
      <c r="L274" s="9">
        <f t="shared" si="43"/>
        <v>1500000</v>
      </c>
      <c r="M274" s="8">
        <f t="shared" si="44"/>
        <v>1.0617693333333333</v>
      </c>
      <c r="N274" t="str">
        <f t="shared" si="45"/>
        <v>100-125%</v>
      </c>
      <c r="O274" s="9">
        <f>MIN($H274,$I274)*INDEX('2018_commission_structure'!$A$1:$I$4,MATCH($E274,'2018_commission_structure'!$A$1:$A$4,0),MATCH(O$1,'2018_commission_structure'!$A$1:$I$1,0))</f>
        <v>112500</v>
      </c>
      <c r="P274" s="9">
        <f>IF(H274&gt;I274, MIN(H274-I274, J274-I274)*INDEX('2018_commission_structure'!$A$1:$I$4,MATCH($E274,'2018_commission_structure'!$A$1:$A$4,0),MATCH(P$1,'2018_commission_structure'!$A$1:$I$1,0)),0)</f>
        <v>8802.1299999999992</v>
      </c>
      <c r="Q274" s="9">
        <f>IF($H274&gt;J274, MIN($H274-J274, K274-J274)*INDEX('2018_commission_structure'!$A$1:$I$4,MATCH($E274,'2018_commission_structure'!$A$1:$A$4,0),MATCH(Q$1,'2018_commission_structure'!$A$1:$I$1,0)),0)</f>
        <v>0</v>
      </c>
      <c r="R274" s="9">
        <f>IF($H274&gt;K274, MIN($H274-K274, L274-K274)*INDEX('2018_commission_structure'!$A$1:$I$4,MATCH($E274,'2018_commission_structure'!$A$1:$A$4,0),MATCH(R$1,'2018_commission_structure'!$A$1:$I$1,0)),0)</f>
        <v>0</v>
      </c>
      <c r="S274" s="9">
        <f>IF(H274&gt;L274,(H274-L274)*INDEX('2018_commission_structure'!$A$1:$I$4,MATCH($E274,'2018_commission_structure'!$A$1:$A$4,0),MATCH(S$1,'2018_commission_structure'!$A$1:$I$1,0)),0)</f>
        <v>0</v>
      </c>
      <c r="T274" s="9">
        <f t="shared" si="46"/>
        <v>121302.13</v>
      </c>
      <c r="U274" s="9">
        <f t="shared" si="47"/>
        <v>211721.13</v>
      </c>
      <c r="V274" s="9">
        <f>MIN($I274,$H274)*INDEX('Key Metrics'!$E$16:$N$19,MATCH($E274,'Key Metrics'!$E$16:$E$19,0),MATCH(V$1,'Key Metrics'!$E$16:$M$16,0))</f>
        <v>112500</v>
      </c>
      <c r="W274" s="9">
        <f>IF($H274&gt;I274, MIN($H274-I274, J274-I274)*INDEX('Key Metrics'!$E$16:$N$19,MATCH($E274,'Key Metrics'!$E$16:$E$19,0),MATCH(W$1,'Key Metrics'!$E$16:$M$16,0)),0)</f>
        <v>10191.94</v>
      </c>
      <c r="X274" s="9">
        <f>IF($H274&gt;J274, MIN($H274-J274, K274-J274)*INDEX('Key Metrics'!$E$16:$N$19,MATCH($E274,'Key Metrics'!$E$16:$E$19,0),MATCH(X$1,'Key Metrics'!$E$16:$M$16,0)),0)</f>
        <v>0</v>
      </c>
      <c r="Y274" s="9">
        <f>IF($H274&gt;K274, MIN($H274-K274, L274-K274)*INDEX('Key Metrics'!$E$16:$N$19,MATCH($E274,'Key Metrics'!$E$16:$E$19,0),MATCH(Y$1,'Key Metrics'!$E$16:$M$16,0)),0)</f>
        <v>0</v>
      </c>
      <c r="Z274" s="9">
        <f>IF($H274&gt;L274,($H274-L274)*INDEX('Key Metrics'!$E$16:$N$19,MATCH($E274,'Key Metrics'!$E$16:$E$19,0),MATCH(Z$1,'Key Metrics'!$E$16:$M$16,0)),0)</f>
        <v>0</v>
      </c>
      <c r="AA274" s="9">
        <f t="shared" si="48"/>
        <v>122691.94</v>
      </c>
      <c r="AB274" s="9">
        <f t="shared" si="49"/>
        <v>122693.00176933334</v>
      </c>
    </row>
    <row r="275" spans="1:28" x14ac:dyDescent="0.55000000000000004">
      <c r="A275" t="str">
        <f t="shared" si="40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COUNTIF(deals_closed!$D$2:$D$20001,Calculations!B296)</f>
        <v>17</v>
      </c>
      <c r="H275" s="7">
        <f>SUMIF(deals_closed!$D:$D,Calculations!B296,deals_closed!$C:$C)</f>
        <v>623150</v>
      </c>
      <c r="I275" s="5">
        <f>VLOOKUP(E275,'2018_commission_structure'!$A$1:$I$4,9,FALSE)</f>
        <v>750000</v>
      </c>
      <c r="J275" s="9">
        <f t="shared" si="41"/>
        <v>937500</v>
      </c>
      <c r="K275" s="10">
        <f t="shared" si="42"/>
        <v>1125000</v>
      </c>
      <c r="L275" s="9">
        <f t="shared" si="43"/>
        <v>1500000</v>
      </c>
      <c r="M275" s="8">
        <f t="shared" si="44"/>
        <v>0.83086666666666664</v>
      </c>
      <c r="N275" t="str">
        <f t="shared" si="45"/>
        <v>0-100%</v>
      </c>
      <c r="O275" s="9">
        <f>MIN($H275,$I275)*INDEX('2018_commission_structure'!$A$1:$I$4,MATCH($E275,'2018_commission_structure'!$A$1:$A$4,0),MATCH(O$1,'2018_commission_structure'!$A$1:$I$1,0))</f>
        <v>93472.5</v>
      </c>
      <c r="P275" s="9">
        <f>IF(H275&gt;I275, MIN(H275-I275, J275-I275)*INDEX('2018_commission_structure'!$A$1:$I$4,MATCH($E275,'2018_commission_structure'!$A$1:$A$4,0),MATCH(P$1,'2018_commission_structure'!$A$1:$I$1,0)),0)</f>
        <v>0</v>
      </c>
      <c r="Q275" s="9">
        <f>IF($H275&gt;J275, MIN($H275-J275, K275-J275)*INDEX('2018_commission_structure'!$A$1:$I$4,MATCH($E275,'2018_commission_structure'!$A$1:$A$4,0),MATCH(Q$1,'2018_commission_structure'!$A$1:$I$1,0)),0)</f>
        <v>0</v>
      </c>
      <c r="R275" s="9">
        <f>IF($H275&gt;K275, MIN($H275-K275, L275-K275)*INDEX('2018_commission_structure'!$A$1:$I$4,MATCH($E275,'2018_commission_structure'!$A$1:$A$4,0),MATCH(R$1,'2018_commission_structure'!$A$1:$I$1,0)),0)</f>
        <v>0</v>
      </c>
      <c r="S275" s="9">
        <f>IF(H275&gt;L275,(H275-L275)*INDEX('2018_commission_structure'!$A$1:$I$4,MATCH($E275,'2018_commission_structure'!$A$1:$A$4,0),MATCH(S$1,'2018_commission_structure'!$A$1:$I$1,0)),0)</f>
        <v>0</v>
      </c>
      <c r="T275" s="9">
        <f t="shared" si="46"/>
        <v>93472.5</v>
      </c>
      <c r="U275" s="9">
        <f t="shared" si="47"/>
        <v>188593.5</v>
      </c>
      <c r="V275" s="9">
        <f>MIN($I275,$H275)*INDEX('Key Metrics'!$E$16:$N$19,MATCH($E275,'Key Metrics'!$E$16:$E$19,0),MATCH(V$1,'Key Metrics'!$E$16:$M$16,0))</f>
        <v>93472.5</v>
      </c>
      <c r="W275" s="9">
        <f>IF($H275&gt;I275, MIN($H275-I275, J275-I275)*INDEX('Key Metrics'!$E$16:$N$19,MATCH($E275,'Key Metrics'!$E$16:$E$19,0),MATCH(W$1,'Key Metrics'!$E$16:$M$16,0)),0)</f>
        <v>0</v>
      </c>
      <c r="X275" s="9">
        <f>IF($H275&gt;J275, MIN($H275-J275, K275-J275)*INDEX('Key Metrics'!$E$16:$N$19,MATCH($E275,'Key Metrics'!$E$16:$E$19,0),MATCH(X$1,'Key Metrics'!$E$16:$M$16,0)),0)</f>
        <v>0</v>
      </c>
      <c r="Y275" s="9">
        <f>IF($H275&gt;K275, MIN($H275-K275, L275-K275)*INDEX('Key Metrics'!$E$16:$N$19,MATCH($E275,'Key Metrics'!$E$16:$E$19,0),MATCH(Y$1,'Key Metrics'!$E$16:$M$16,0)),0)</f>
        <v>0</v>
      </c>
      <c r="Z275" s="9">
        <f>IF($H275&gt;L275,($H275-L275)*INDEX('Key Metrics'!$E$16:$N$19,MATCH($E275,'Key Metrics'!$E$16:$E$19,0),MATCH(Z$1,'Key Metrics'!$E$16:$M$16,0)),0)</f>
        <v>0</v>
      </c>
      <c r="AA275" s="9">
        <f t="shared" si="48"/>
        <v>93472.5</v>
      </c>
      <c r="AB275" s="9">
        <f t="shared" si="49"/>
        <v>93473.330866666671</v>
      </c>
    </row>
    <row r="276" spans="1:28" x14ac:dyDescent="0.55000000000000004">
      <c r="A276" t="str">
        <f t="shared" si="40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COUNTIF(deals_closed!$D$2:$D$20001,Calculations!B128)</f>
        <v>17</v>
      </c>
      <c r="H276" s="7">
        <f>SUMIF(deals_closed!$D:$D,Calculations!B128,deals_closed!$C:$C)</f>
        <v>691255</v>
      </c>
      <c r="I276" s="5">
        <f>VLOOKUP(E276,'2018_commission_structure'!$A$1:$I$4,9,FALSE)</f>
        <v>600000</v>
      </c>
      <c r="J276" s="9">
        <f t="shared" si="41"/>
        <v>750000</v>
      </c>
      <c r="K276" s="10">
        <f t="shared" si="42"/>
        <v>900000</v>
      </c>
      <c r="L276" s="9">
        <f t="shared" si="43"/>
        <v>1200000</v>
      </c>
      <c r="M276" s="8">
        <f t="shared" si="44"/>
        <v>1.1520916666666667</v>
      </c>
      <c r="N276" t="str">
        <f t="shared" si="45"/>
        <v>100-125%</v>
      </c>
      <c r="O276" s="9">
        <f>MIN($H276,$I276)*INDEX('2018_commission_structure'!$A$1:$I$4,MATCH($E276,'2018_commission_structure'!$A$1:$A$4,0),MATCH(O$1,'2018_commission_structure'!$A$1:$I$1,0))</f>
        <v>78000</v>
      </c>
      <c r="P276" s="9">
        <f>IF(H276&gt;I276, MIN(H276-I276, J276-I276)*INDEX('2018_commission_structure'!$A$1:$I$4,MATCH($E276,'2018_commission_structure'!$A$1:$A$4,0),MATCH(P$1,'2018_commission_structure'!$A$1:$I$1,0)),0)</f>
        <v>15513.35</v>
      </c>
      <c r="Q276" s="9">
        <f>IF($H276&gt;J276, MIN($H276-J276, K276-J276)*INDEX('2018_commission_structure'!$A$1:$I$4,MATCH($E276,'2018_commission_structure'!$A$1:$A$4,0),MATCH(Q$1,'2018_commission_structure'!$A$1:$I$1,0)),0)</f>
        <v>0</v>
      </c>
      <c r="R276" s="9">
        <f>IF($H276&gt;K276, MIN($H276-K276, L276-K276)*INDEX('2018_commission_structure'!$A$1:$I$4,MATCH($E276,'2018_commission_structure'!$A$1:$A$4,0),MATCH(R$1,'2018_commission_structure'!$A$1:$I$1,0)),0)</f>
        <v>0</v>
      </c>
      <c r="S276" s="9">
        <f>IF(H276&gt;L276,(H276-L276)*INDEX('2018_commission_structure'!$A$1:$I$4,MATCH($E276,'2018_commission_structure'!$A$1:$A$4,0),MATCH(S$1,'2018_commission_structure'!$A$1:$I$1,0)),0)</f>
        <v>0</v>
      </c>
      <c r="T276" s="9">
        <f t="shared" si="46"/>
        <v>93513.35</v>
      </c>
      <c r="U276" s="9">
        <f t="shared" si="47"/>
        <v>170512.35</v>
      </c>
      <c r="V276" s="9">
        <f>MIN($I276,$H276)*INDEX('Key Metrics'!$E$16:$N$19,MATCH($E276,'Key Metrics'!$E$16:$E$19,0),MATCH(V$1,'Key Metrics'!$E$16:$M$16,0))</f>
        <v>90000</v>
      </c>
      <c r="W276" s="9">
        <f>IF($H276&gt;I276, MIN($H276-I276, J276-I276)*INDEX('Key Metrics'!$E$16:$N$19,MATCH($E276,'Key Metrics'!$E$16:$E$19,0),MATCH(W$1,'Key Metrics'!$E$16:$M$16,0)),0)</f>
        <v>16425.899999999998</v>
      </c>
      <c r="X276" s="9">
        <f>IF($H276&gt;J276, MIN($H276-J276, K276-J276)*INDEX('Key Metrics'!$E$16:$N$19,MATCH($E276,'Key Metrics'!$E$16:$E$19,0),MATCH(X$1,'Key Metrics'!$E$16:$M$16,0)),0)</f>
        <v>0</v>
      </c>
      <c r="Y276" s="9">
        <f>IF($H276&gt;K276, MIN($H276-K276, L276-K276)*INDEX('Key Metrics'!$E$16:$N$19,MATCH($E276,'Key Metrics'!$E$16:$E$19,0),MATCH(Y$1,'Key Metrics'!$E$16:$M$16,0)),0)</f>
        <v>0</v>
      </c>
      <c r="Z276" s="9">
        <f>IF($H276&gt;L276,($H276-L276)*INDEX('Key Metrics'!$E$16:$N$19,MATCH($E276,'Key Metrics'!$E$16:$E$19,0),MATCH(Z$1,'Key Metrics'!$E$16:$M$16,0)),0)</f>
        <v>0</v>
      </c>
      <c r="AA276" s="9">
        <f t="shared" si="48"/>
        <v>106425.9</v>
      </c>
      <c r="AB276" s="9">
        <f t="shared" si="49"/>
        <v>106427.05209166666</v>
      </c>
    </row>
    <row r="277" spans="1:28" x14ac:dyDescent="0.55000000000000004">
      <c r="A277" t="str">
        <f t="shared" si="40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COUNTIF(deals_closed!$D$2:$D$20001,Calculations!B134)</f>
        <v>18</v>
      </c>
      <c r="H277" s="7">
        <f>SUMIF(deals_closed!$D:$D,Calculations!B134,deals_closed!$C:$C)</f>
        <v>721356</v>
      </c>
      <c r="I277" s="5">
        <f>VLOOKUP(E277,'2018_commission_structure'!$A$1:$I$4,9,FALSE)</f>
        <v>750000</v>
      </c>
      <c r="J277" s="9">
        <f t="shared" si="41"/>
        <v>937500</v>
      </c>
      <c r="K277" s="10">
        <f t="shared" si="42"/>
        <v>1125000</v>
      </c>
      <c r="L277" s="9">
        <f t="shared" si="43"/>
        <v>1500000</v>
      </c>
      <c r="M277" s="8">
        <f t="shared" si="44"/>
        <v>0.961808</v>
      </c>
      <c r="N277" t="str">
        <f t="shared" si="45"/>
        <v>0-100%</v>
      </c>
      <c r="O277" s="9">
        <f>MIN($H277,$I277)*INDEX('2018_commission_structure'!$A$1:$I$4,MATCH($E277,'2018_commission_structure'!$A$1:$A$4,0),MATCH(O$1,'2018_commission_structure'!$A$1:$I$1,0))</f>
        <v>108203.4</v>
      </c>
      <c r="P277" s="9">
        <f>IF(H277&gt;I277, MIN(H277-I277, J277-I277)*INDEX('2018_commission_structure'!$A$1:$I$4,MATCH($E277,'2018_commission_structure'!$A$1:$A$4,0),MATCH(P$1,'2018_commission_structure'!$A$1:$I$1,0)),0)</f>
        <v>0</v>
      </c>
      <c r="Q277" s="9">
        <f>IF($H277&gt;J277, MIN($H277-J277, K277-J277)*INDEX('2018_commission_structure'!$A$1:$I$4,MATCH($E277,'2018_commission_structure'!$A$1:$A$4,0),MATCH(Q$1,'2018_commission_structure'!$A$1:$I$1,0)),0)</f>
        <v>0</v>
      </c>
      <c r="R277" s="9">
        <f>IF($H277&gt;K277, MIN($H277-K277, L277-K277)*INDEX('2018_commission_structure'!$A$1:$I$4,MATCH($E277,'2018_commission_structure'!$A$1:$A$4,0),MATCH(R$1,'2018_commission_structure'!$A$1:$I$1,0)),0)</f>
        <v>0</v>
      </c>
      <c r="S277" s="9">
        <f>IF(H277&gt;L277,(H277-L277)*INDEX('2018_commission_structure'!$A$1:$I$4,MATCH($E277,'2018_commission_structure'!$A$1:$A$4,0),MATCH(S$1,'2018_commission_structure'!$A$1:$I$1,0)),0)</f>
        <v>0</v>
      </c>
      <c r="T277" s="9">
        <f t="shared" si="46"/>
        <v>108203.4</v>
      </c>
      <c r="U277" s="9">
        <f t="shared" si="47"/>
        <v>231330.4</v>
      </c>
      <c r="V277" s="9">
        <f>MIN($I277,$H277)*INDEX('Key Metrics'!$E$16:$N$19,MATCH($E277,'Key Metrics'!$E$16:$E$19,0),MATCH(V$1,'Key Metrics'!$E$16:$M$16,0))</f>
        <v>108203.4</v>
      </c>
      <c r="W277" s="9">
        <f>IF($H277&gt;I277, MIN($H277-I277, J277-I277)*INDEX('Key Metrics'!$E$16:$N$19,MATCH($E277,'Key Metrics'!$E$16:$E$19,0),MATCH(W$1,'Key Metrics'!$E$16:$M$16,0)),0)</f>
        <v>0</v>
      </c>
      <c r="X277" s="9">
        <f>IF($H277&gt;J277, MIN($H277-J277, K277-J277)*INDEX('Key Metrics'!$E$16:$N$19,MATCH($E277,'Key Metrics'!$E$16:$E$19,0),MATCH(X$1,'Key Metrics'!$E$16:$M$16,0)),0)</f>
        <v>0</v>
      </c>
      <c r="Y277" s="9">
        <f>IF($H277&gt;K277, MIN($H277-K277, L277-K277)*INDEX('Key Metrics'!$E$16:$N$19,MATCH($E277,'Key Metrics'!$E$16:$E$19,0),MATCH(Y$1,'Key Metrics'!$E$16:$M$16,0)),0)</f>
        <v>0</v>
      </c>
      <c r="Z277" s="9">
        <f>IF($H277&gt;L277,($H277-L277)*INDEX('Key Metrics'!$E$16:$N$19,MATCH($E277,'Key Metrics'!$E$16:$E$19,0),MATCH(Z$1,'Key Metrics'!$E$16:$M$16,0)),0)</f>
        <v>0</v>
      </c>
      <c r="AA277" s="9">
        <f t="shared" si="48"/>
        <v>108203.4</v>
      </c>
      <c r="AB277" s="9">
        <f t="shared" si="49"/>
        <v>108204.36180799999</v>
      </c>
    </row>
    <row r="278" spans="1:28" x14ac:dyDescent="0.55000000000000004">
      <c r="A278" t="str">
        <f t="shared" si="40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COUNTIF(deals_closed!$D$2:$D$20001,Calculations!B892)</f>
        <v>8</v>
      </c>
      <c r="H278" s="7">
        <f>SUMIF(deals_closed!$D:$D,Calculations!B892,deals_closed!$C:$C)</f>
        <v>229737</v>
      </c>
      <c r="I278" s="5">
        <f>VLOOKUP(E278,'2018_commission_structure'!$A$1:$I$4,9,FALSE)</f>
        <v>500000</v>
      </c>
      <c r="J278" s="9">
        <f t="shared" si="41"/>
        <v>625000</v>
      </c>
      <c r="K278" s="10">
        <f t="shared" si="42"/>
        <v>750000</v>
      </c>
      <c r="L278" s="9">
        <f t="shared" si="43"/>
        <v>1000000</v>
      </c>
      <c r="M278" s="8">
        <f t="shared" si="44"/>
        <v>0.45947399999999999</v>
      </c>
      <c r="N278" t="str">
        <f t="shared" si="45"/>
        <v>0-100%</v>
      </c>
      <c r="O278" s="9">
        <f>MIN($H278,$I278)*INDEX('2018_commission_structure'!$A$1:$I$4,MATCH($E278,'2018_commission_structure'!$A$1:$A$4,0),MATCH(O$1,'2018_commission_structure'!$A$1:$I$1,0))</f>
        <v>22973.7</v>
      </c>
      <c r="P278" s="9">
        <f>IF(H278&gt;I278, MIN(H278-I278, J278-I278)*INDEX('2018_commission_structure'!$A$1:$I$4,MATCH($E278,'2018_commission_structure'!$A$1:$A$4,0),MATCH(P$1,'2018_commission_structure'!$A$1:$I$1,0)),0)</f>
        <v>0</v>
      </c>
      <c r="Q278" s="9">
        <f>IF($H278&gt;J278, MIN($H278-J278, K278-J278)*INDEX('2018_commission_structure'!$A$1:$I$4,MATCH($E278,'2018_commission_structure'!$A$1:$A$4,0),MATCH(Q$1,'2018_commission_structure'!$A$1:$I$1,0)),0)</f>
        <v>0</v>
      </c>
      <c r="R278" s="9">
        <f>IF($H278&gt;K278, MIN($H278-K278, L278-K278)*INDEX('2018_commission_structure'!$A$1:$I$4,MATCH($E278,'2018_commission_structure'!$A$1:$A$4,0),MATCH(R$1,'2018_commission_structure'!$A$1:$I$1,0)),0)</f>
        <v>0</v>
      </c>
      <c r="S278" s="9">
        <f>IF(H278&gt;L278,(H278-L278)*INDEX('2018_commission_structure'!$A$1:$I$4,MATCH($E278,'2018_commission_structure'!$A$1:$A$4,0),MATCH(S$1,'2018_commission_structure'!$A$1:$I$1,0)),0)</f>
        <v>0</v>
      </c>
      <c r="T278" s="9">
        <f t="shared" si="46"/>
        <v>22973.7</v>
      </c>
      <c r="U278" s="9">
        <f t="shared" si="47"/>
        <v>65068.7</v>
      </c>
      <c r="V278" s="9">
        <f>MIN($I278,$H278)*INDEX('Key Metrics'!$E$16:$N$19,MATCH($E278,'Key Metrics'!$E$16:$E$19,0),MATCH(V$1,'Key Metrics'!$E$16:$M$16,0))</f>
        <v>27568.44</v>
      </c>
      <c r="W278" s="9">
        <f>IF($H278&gt;I278, MIN($H278-I278, J278-I278)*INDEX('Key Metrics'!$E$16:$N$19,MATCH($E278,'Key Metrics'!$E$16:$E$19,0),MATCH(W$1,'Key Metrics'!$E$16:$M$16,0)),0)</f>
        <v>0</v>
      </c>
      <c r="X278" s="9">
        <f>IF($H278&gt;J278, MIN($H278-J278, K278-J278)*INDEX('Key Metrics'!$E$16:$N$19,MATCH($E278,'Key Metrics'!$E$16:$E$19,0),MATCH(X$1,'Key Metrics'!$E$16:$M$16,0)),0)</f>
        <v>0</v>
      </c>
      <c r="Y278" s="9">
        <f>IF($H278&gt;K278, MIN($H278-K278, L278-K278)*INDEX('Key Metrics'!$E$16:$N$19,MATCH($E278,'Key Metrics'!$E$16:$E$19,0),MATCH(Y$1,'Key Metrics'!$E$16:$M$16,0)),0)</f>
        <v>0</v>
      </c>
      <c r="Z278" s="9">
        <f>IF($H278&gt;L278,($H278-L278)*INDEX('Key Metrics'!$E$16:$N$19,MATCH($E278,'Key Metrics'!$E$16:$E$19,0),MATCH(Z$1,'Key Metrics'!$E$16:$M$16,0)),0)</f>
        <v>0</v>
      </c>
      <c r="AA278" s="9">
        <f t="shared" si="48"/>
        <v>27568.44</v>
      </c>
      <c r="AB278" s="9">
        <f t="shared" si="49"/>
        <v>27568.899473999998</v>
      </c>
    </row>
    <row r="279" spans="1:28" x14ac:dyDescent="0.55000000000000004">
      <c r="A279" t="str">
        <f t="shared" si="40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COUNTIF(deals_closed!$D$2:$D$20001,Calculations!B742)</f>
        <v>25</v>
      </c>
      <c r="H279" s="7">
        <f>SUMIF(deals_closed!$D:$D,Calculations!B742,deals_closed!$C:$C)</f>
        <v>935138</v>
      </c>
      <c r="I279" s="5">
        <f>VLOOKUP(E279,'2018_commission_structure'!$A$1:$I$4,9,FALSE)</f>
        <v>500000</v>
      </c>
      <c r="J279" s="9">
        <f t="shared" si="41"/>
        <v>625000</v>
      </c>
      <c r="K279" s="10">
        <f t="shared" si="42"/>
        <v>750000</v>
      </c>
      <c r="L279" s="9">
        <f t="shared" si="43"/>
        <v>1000000</v>
      </c>
      <c r="M279" s="8">
        <f t="shared" si="44"/>
        <v>1.870276</v>
      </c>
      <c r="N279" t="str">
        <f t="shared" si="45"/>
        <v>150-200%</v>
      </c>
      <c r="O279" s="9">
        <f>MIN($H279,$I279)*INDEX('2018_commission_structure'!$A$1:$I$4,MATCH($E279,'2018_commission_structure'!$A$1:$A$4,0),MATCH(O$1,'2018_commission_structure'!$A$1:$I$1,0))</f>
        <v>50000</v>
      </c>
      <c r="P279" s="9">
        <f>IF(H279&gt;I279, MIN(H279-I279, J279-I279)*INDEX('2018_commission_structure'!$A$1:$I$4,MATCH($E279,'2018_commission_structure'!$A$1:$A$4,0),MATCH(P$1,'2018_commission_structure'!$A$1:$I$1,0)),0)</f>
        <v>18750</v>
      </c>
      <c r="Q279" s="9">
        <f>IF($H279&gt;J279, MIN($H279-J279, K279-J279)*INDEX('2018_commission_structure'!$A$1:$I$4,MATCH($E279,'2018_commission_structure'!$A$1:$A$4,0),MATCH(Q$1,'2018_commission_structure'!$A$1:$I$1,0)),0)</f>
        <v>22500</v>
      </c>
      <c r="R279" s="9">
        <f>IF($H279&gt;K279, MIN($H279-K279, L279-K279)*INDEX('2018_commission_structure'!$A$1:$I$4,MATCH($E279,'2018_commission_structure'!$A$1:$A$4,0),MATCH(R$1,'2018_commission_structure'!$A$1:$I$1,0)),0)</f>
        <v>40730.36</v>
      </c>
      <c r="S279" s="9">
        <f>IF(H279&gt;L279,(H279-L279)*INDEX('2018_commission_structure'!$A$1:$I$4,MATCH($E279,'2018_commission_structure'!$A$1:$A$4,0),MATCH(S$1,'2018_commission_structure'!$A$1:$I$1,0)),0)</f>
        <v>0</v>
      </c>
      <c r="T279" s="9">
        <f t="shared" si="46"/>
        <v>131980.35999999999</v>
      </c>
      <c r="U279" s="9">
        <f t="shared" si="47"/>
        <v>179668.36</v>
      </c>
      <c r="V279" s="9">
        <f>MIN($I279,$H279)*INDEX('Key Metrics'!$E$16:$N$19,MATCH($E279,'Key Metrics'!$E$16:$E$19,0),MATCH(V$1,'Key Metrics'!$E$16:$M$16,0))</f>
        <v>60000</v>
      </c>
      <c r="W279" s="9">
        <f>IF($H279&gt;I279, MIN($H279-I279, J279-I279)*INDEX('Key Metrics'!$E$16:$N$19,MATCH($E279,'Key Metrics'!$E$16:$E$19,0),MATCH(W$1,'Key Metrics'!$E$16:$M$16,0)),0)</f>
        <v>21250</v>
      </c>
      <c r="X279" s="9">
        <f>IF($H279&gt;J279, MIN($H279-J279, K279-J279)*INDEX('Key Metrics'!$E$16:$N$19,MATCH($E279,'Key Metrics'!$E$16:$E$19,0),MATCH(X$1,'Key Metrics'!$E$16:$M$16,0)),0)</f>
        <v>25000</v>
      </c>
      <c r="Y279" s="9">
        <f>IF($H279&gt;K279, MIN($H279-K279, L279-K279)*INDEX('Key Metrics'!$E$16:$N$19,MATCH($E279,'Key Metrics'!$E$16:$E$19,0),MATCH(Y$1,'Key Metrics'!$E$16:$M$16,0)),0)</f>
        <v>40730.36</v>
      </c>
      <c r="Z279" s="9">
        <f>IF($H279&gt;L279,($H279-L279)*INDEX('Key Metrics'!$E$16:$N$19,MATCH($E279,'Key Metrics'!$E$16:$E$19,0),MATCH(Z$1,'Key Metrics'!$E$16:$M$16,0)),0)</f>
        <v>0</v>
      </c>
      <c r="AA279" s="9">
        <f t="shared" si="48"/>
        <v>146980.35999999999</v>
      </c>
      <c r="AB279" s="9">
        <f t="shared" si="49"/>
        <v>146982.23027599999</v>
      </c>
    </row>
    <row r="280" spans="1:28" x14ac:dyDescent="0.55000000000000004">
      <c r="A280" t="str">
        <f t="shared" si="40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COUNTIF(deals_closed!$D$2:$D$20001,Calculations!B176)</f>
        <v>15</v>
      </c>
      <c r="H280" s="7">
        <f>SUMIF(deals_closed!$D:$D,Calculations!B176,deals_closed!$C:$C)</f>
        <v>599656</v>
      </c>
      <c r="I280" s="5">
        <f>VLOOKUP(E280,'2018_commission_structure'!$A$1:$I$4,9,FALSE)</f>
        <v>750000</v>
      </c>
      <c r="J280" s="9">
        <f t="shared" si="41"/>
        <v>937500</v>
      </c>
      <c r="K280" s="10">
        <f t="shared" si="42"/>
        <v>1125000</v>
      </c>
      <c r="L280" s="9">
        <f t="shared" si="43"/>
        <v>1500000</v>
      </c>
      <c r="M280" s="8">
        <f t="shared" si="44"/>
        <v>0.79954133333333333</v>
      </c>
      <c r="N280" t="str">
        <f t="shared" si="45"/>
        <v>0-100%</v>
      </c>
      <c r="O280" s="9">
        <f>MIN($H280,$I280)*INDEX('2018_commission_structure'!$A$1:$I$4,MATCH($E280,'2018_commission_structure'!$A$1:$A$4,0),MATCH(O$1,'2018_commission_structure'!$A$1:$I$1,0))</f>
        <v>89948.4</v>
      </c>
      <c r="P280" s="9">
        <f>IF(H280&gt;I280, MIN(H280-I280, J280-I280)*INDEX('2018_commission_structure'!$A$1:$I$4,MATCH($E280,'2018_commission_structure'!$A$1:$A$4,0),MATCH(P$1,'2018_commission_structure'!$A$1:$I$1,0)),0)</f>
        <v>0</v>
      </c>
      <c r="Q280" s="9">
        <f>IF($H280&gt;J280, MIN($H280-J280, K280-J280)*INDEX('2018_commission_structure'!$A$1:$I$4,MATCH($E280,'2018_commission_structure'!$A$1:$A$4,0),MATCH(Q$1,'2018_commission_structure'!$A$1:$I$1,0)),0)</f>
        <v>0</v>
      </c>
      <c r="R280" s="9">
        <f>IF($H280&gt;K280, MIN($H280-K280, L280-K280)*INDEX('2018_commission_structure'!$A$1:$I$4,MATCH($E280,'2018_commission_structure'!$A$1:$A$4,0),MATCH(R$1,'2018_commission_structure'!$A$1:$I$1,0)),0)</f>
        <v>0</v>
      </c>
      <c r="S280" s="9">
        <f>IF(H280&gt;L280,(H280-L280)*INDEX('2018_commission_structure'!$A$1:$I$4,MATCH($E280,'2018_commission_structure'!$A$1:$A$4,0),MATCH(S$1,'2018_commission_structure'!$A$1:$I$1,0)),0)</f>
        <v>0</v>
      </c>
      <c r="T280" s="9">
        <f t="shared" si="46"/>
        <v>89948.4</v>
      </c>
      <c r="U280" s="9">
        <f t="shared" si="47"/>
        <v>179440.4</v>
      </c>
      <c r="V280" s="9">
        <f>MIN($I280,$H280)*INDEX('Key Metrics'!$E$16:$N$19,MATCH($E280,'Key Metrics'!$E$16:$E$19,0),MATCH(V$1,'Key Metrics'!$E$16:$M$16,0))</f>
        <v>89948.4</v>
      </c>
      <c r="W280" s="9">
        <f>IF($H280&gt;I280, MIN($H280-I280, J280-I280)*INDEX('Key Metrics'!$E$16:$N$19,MATCH($E280,'Key Metrics'!$E$16:$E$19,0),MATCH(W$1,'Key Metrics'!$E$16:$M$16,0)),0)</f>
        <v>0</v>
      </c>
      <c r="X280" s="9">
        <f>IF($H280&gt;J280, MIN($H280-J280, K280-J280)*INDEX('Key Metrics'!$E$16:$N$19,MATCH($E280,'Key Metrics'!$E$16:$E$19,0),MATCH(X$1,'Key Metrics'!$E$16:$M$16,0)),0)</f>
        <v>0</v>
      </c>
      <c r="Y280" s="9">
        <f>IF($H280&gt;K280, MIN($H280-K280, L280-K280)*INDEX('Key Metrics'!$E$16:$N$19,MATCH($E280,'Key Metrics'!$E$16:$E$19,0),MATCH(Y$1,'Key Metrics'!$E$16:$M$16,0)),0)</f>
        <v>0</v>
      </c>
      <c r="Z280" s="9">
        <f>IF($H280&gt;L280,($H280-L280)*INDEX('Key Metrics'!$E$16:$N$19,MATCH($E280,'Key Metrics'!$E$16:$E$19,0),MATCH(Z$1,'Key Metrics'!$E$16:$M$16,0)),0)</f>
        <v>0</v>
      </c>
      <c r="AA280" s="9">
        <f t="shared" si="48"/>
        <v>89948.4</v>
      </c>
      <c r="AB280" s="9">
        <f t="shared" si="49"/>
        <v>89949.199541333321</v>
      </c>
    </row>
    <row r="281" spans="1:28" x14ac:dyDescent="0.55000000000000004">
      <c r="A281" t="str">
        <f t="shared" si="40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COUNTIF(deals_closed!$D$2:$D$20001,Calculations!B115)</f>
        <v>15</v>
      </c>
      <c r="H281" s="7">
        <f>SUMIF(deals_closed!$D:$D,Calculations!B115,deals_closed!$C:$C)</f>
        <v>458353</v>
      </c>
      <c r="I281" s="5">
        <f>VLOOKUP(E281,'2018_commission_structure'!$A$1:$I$4,9,FALSE)</f>
        <v>500000</v>
      </c>
      <c r="J281" s="9">
        <f t="shared" si="41"/>
        <v>625000</v>
      </c>
      <c r="K281" s="10">
        <f t="shared" si="42"/>
        <v>750000</v>
      </c>
      <c r="L281" s="9">
        <f t="shared" si="43"/>
        <v>1000000</v>
      </c>
      <c r="M281" s="8">
        <f t="shared" si="44"/>
        <v>0.91670600000000002</v>
      </c>
      <c r="N281" t="str">
        <f t="shared" si="45"/>
        <v>0-100%</v>
      </c>
      <c r="O281" s="9">
        <f>MIN($H281,$I281)*INDEX('2018_commission_structure'!$A$1:$I$4,MATCH($E281,'2018_commission_structure'!$A$1:$A$4,0),MATCH(O$1,'2018_commission_structure'!$A$1:$I$1,0))</f>
        <v>45835.3</v>
      </c>
      <c r="P281" s="9">
        <f>IF(H281&gt;I281, MIN(H281-I281, J281-I281)*INDEX('2018_commission_structure'!$A$1:$I$4,MATCH($E281,'2018_commission_structure'!$A$1:$A$4,0),MATCH(P$1,'2018_commission_structure'!$A$1:$I$1,0)),0)</f>
        <v>0</v>
      </c>
      <c r="Q281" s="9">
        <f>IF($H281&gt;J281, MIN($H281-J281, K281-J281)*INDEX('2018_commission_structure'!$A$1:$I$4,MATCH($E281,'2018_commission_structure'!$A$1:$A$4,0),MATCH(Q$1,'2018_commission_structure'!$A$1:$I$1,0)),0)</f>
        <v>0</v>
      </c>
      <c r="R281" s="9">
        <f>IF($H281&gt;K281, MIN($H281-K281, L281-K281)*INDEX('2018_commission_structure'!$A$1:$I$4,MATCH($E281,'2018_commission_structure'!$A$1:$A$4,0),MATCH(R$1,'2018_commission_structure'!$A$1:$I$1,0)),0)</f>
        <v>0</v>
      </c>
      <c r="S281" s="9">
        <f>IF(H281&gt;L281,(H281-L281)*INDEX('2018_commission_structure'!$A$1:$I$4,MATCH($E281,'2018_commission_structure'!$A$1:$A$4,0),MATCH(S$1,'2018_commission_structure'!$A$1:$I$1,0)),0)</f>
        <v>0</v>
      </c>
      <c r="T281" s="9">
        <f t="shared" si="46"/>
        <v>45835.3</v>
      </c>
      <c r="U281" s="9">
        <f t="shared" si="47"/>
        <v>105278.3</v>
      </c>
      <c r="V281" s="9">
        <f>MIN($I281,$H281)*INDEX('Key Metrics'!$E$16:$N$19,MATCH($E281,'Key Metrics'!$E$16:$E$19,0),MATCH(V$1,'Key Metrics'!$E$16:$M$16,0))</f>
        <v>55002.36</v>
      </c>
      <c r="W281" s="9">
        <f>IF($H281&gt;I281, MIN($H281-I281, J281-I281)*INDEX('Key Metrics'!$E$16:$N$19,MATCH($E281,'Key Metrics'!$E$16:$E$19,0),MATCH(W$1,'Key Metrics'!$E$16:$M$16,0)),0)</f>
        <v>0</v>
      </c>
      <c r="X281" s="9">
        <f>IF($H281&gt;J281, MIN($H281-J281, K281-J281)*INDEX('Key Metrics'!$E$16:$N$19,MATCH($E281,'Key Metrics'!$E$16:$E$19,0),MATCH(X$1,'Key Metrics'!$E$16:$M$16,0)),0)</f>
        <v>0</v>
      </c>
      <c r="Y281" s="9">
        <f>IF($H281&gt;K281, MIN($H281-K281, L281-K281)*INDEX('Key Metrics'!$E$16:$N$19,MATCH($E281,'Key Metrics'!$E$16:$E$19,0),MATCH(Y$1,'Key Metrics'!$E$16:$M$16,0)),0)</f>
        <v>0</v>
      </c>
      <c r="Z281" s="9">
        <f>IF($H281&gt;L281,($H281-L281)*INDEX('Key Metrics'!$E$16:$N$19,MATCH($E281,'Key Metrics'!$E$16:$E$19,0),MATCH(Z$1,'Key Metrics'!$E$16:$M$16,0)),0)</f>
        <v>0</v>
      </c>
      <c r="AA281" s="9">
        <f t="shared" si="48"/>
        <v>55002.36</v>
      </c>
      <c r="AB281" s="9">
        <f t="shared" si="49"/>
        <v>55003.276706000004</v>
      </c>
    </row>
    <row r="282" spans="1:28" x14ac:dyDescent="0.55000000000000004">
      <c r="A282" t="str">
        <f t="shared" si="40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COUNTIF(deals_closed!$D$2:$D$20001,Calculations!B510)</f>
        <v>16</v>
      </c>
      <c r="H282" s="7">
        <f>SUMIF(deals_closed!$D:$D,Calculations!B510,deals_closed!$C:$C)</f>
        <v>519595</v>
      </c>
      <c r="I282" s="5">
        <f>VLOOKUP(E282,'2018_commission_structure'!$A$1:$I$4,9,FALSE)</f>
        <v>750000</v>
      </c>
      <c r="J282" s="9">
        <f t="shared" si="41"/>
        <v>937500</v>
      </c>
      <c r="K282" s="10">
        <f t="shared" si="42"/>
        <v>1125000</v>
      </c>
      <c r="L282" s="9">
        <f t="shared" si="43"/>
        <v>1500000</v>
      </c>
      <c r="M282" s="8">
        <f t="shared" si="44"/>
        <v>0.69279333333333337</v>
      </c>
      <c r="N282" t="str">
        <f t="shared" si="45"/>
        <v>0-100%</v>
      </c>
      <c r="O282" s="9">
        <f>MIN($H282,$I282)*INDEX('2018_commission_structure'!$A$1:$I$4,MATCH($E282,'2018_commission_structure'!$A$1:$A$4,0),MATCH(O$1,'2018_commission_structure'!$A$1:$I$1,0))</f>
        <v>77939.25</v>
      </c>
      <c r="P282" s="9">
        <f>IF(H282&gt;I282, MIN(H282-I282, J282-I282)*INDEX('2018_commission_structure'!$A$1:$I$4,MATCH($E282,'2018_commission_structure'!$A$1:$A$4,0),MATCH(P$1,'2018_commission_structure'!$A$1:$I$1,0)),0)</f>
        <v>0</v>
      </c>
      <c r="Q282" s="9">
        <f>IF($H282&gt;J282, MIN($H282-J282, K282-J282)*INDEX('2018_commission_structure'!$A$1:$I$4,MATCH($E282,'2018_commission_structure'!$A$1:$A$4,0),MATCH(Q$1,'2018_commission_structure'!$A$1:$I$1,0)),0)</f>
        <v>0</v>
      </c>
      <c r="R282" s="9">
        <f>IF($H282&gt;K282, MIN($H282-K282, L282-K282)*INDEX('2018_commission_structure'!$A$1:$I$4,MATCH($E282,'2018_commission_structure'!$A$1:$A$4,0),MATCH(R$1,'2018_commission_structure'!$A$1:$I$1,0)),0)</f>
        <v>0</v>
      </c>
      <c r="S282" s="9">
        <f>IF(H282&gt;L282,(H282-L282)*INDEX('2018_commission_structure'!$A$1:$I$4,MATCH($E282,'2018_commission_structure'!$A$1:$A$4,0),MATCH(S$1,'2018_commission_structure'!$A$1:$I$1,0)),0)</f>
        <v>0</v>
      </c>
      <c r="T282" s="9">
        <f t="shared" si="46"/>
        <v>77939.25</v>
      </c>
      <c r="U282" s="9">
        <f t="shared" si="47"/>
        <v>164642.25</v>
      </c>
      <c r="V282" s="9">
        <f>MIN($I282,$H282)*INDEX('Key Metrics'!$E$16:$N$19,MATCH($E282,'Key Metrics'!$E$16:$E$19,0),MATCH(V$1,'Key Metrics'!$E$16:$M$16,0))</f>
        <v>77939.25</v>
      </c>
      <c r="W282" s="9">
        <f>IF($H282&gt;I282, MIN($H282-I282, J282-I282)*INDEX('Key Metrics'!$E$16:$N$19,MATCH($E282,'Key Metrics'!$E$16:$E$19,0),MATCH(W$1,'Key Metrics'!$E$16:$M$16,0)),0)</f>
        <v>0</v>
      </c>
      <c r="X282" s="9">
        <f>IF($H282&gt;J282, MIN($H282-J282, K282-J282)*INDEX('Key Metrics'!$E$16:$N$19,MATCH($E282,'Key Metrics'!$E$16:$E$19,0),MATCH(X$1,'Key Metrics'!$E$16:$M$16,0)),0)</f>
        <v>0</v>
      </c>
      <c r="Y282" s="9">
        <f>IF($H282&gt;K282, MIN($H282-K282, L282-K282)*INDEX('Key Metrics'!$E$16:$N$19,MATCH($E282,'Key Metrics'!$E$16:$E$19,0),MATCH(Y$1,'Key Metrics'!$E$16:$M$16,0)),0)</f>
        <v>0</v>
      </c>
      <c r="Z282" s="9">
        <f>IF($H282&gt;L282,($H282-L282)*INDEX('Key Metrics'!$E$16:$N$19,MATCH($E282,'Key Metrics'!$E$16:$E$19,0),MATCH(Z$1,'Key Metrics'!$E$16:$M$16,0)),0)</f>
        <v>0</v>
      </c>
      <c r="AA282" s="9">
        <f t="shared" si="48"/>
        <v>77939.25</v>
      </c>
      <c r="AB282" s="9">
        <f t="shared" si="49"/>
        <v>77939.942793333335</v>
      </c>
    </row>
    <row r="283" spans="1:28" x14ac:dyDescent="0.55000000000000004">
      <c r="A283" t="str">
        <f t="shared" si="40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COUNTIF(deals_closed!$D$2:$D$20001,Calculations!B352)</f>
        <v>24</v>
      </c>
      <c r="H283" s="7">
        <f>SUMIF(deals_closed!$D:$D,Calculations!B352,deals_closed!$C:$C)</f>
        <v>878279</v>
      </c>
      <c r="I283" s="5">
        <f>VLOOKUP(E283,'2018_commission_structure'!$A$1:$I$4,9,FALSE)</f>
        <v>600000</v>
      </c>
      <c r="J283" s="9">
        <f t="shared" si="41"/>
        <v>750000</v>
      </c>
      <c r="K283" s="10">
        <f t="shared" si="42"/>
        <v>900000</v>
      </c>
      <c r="L283" s="9">
        <f t="shared" si="43"/>
        <v>1200000</v>
      </c>
      <c r="M283" s="8">
        <f t="shared" si="44"/>
        <v>1.4637983333333333</v>
      </c>
      <c r="N283" t="str">
        <f t="shared" si="45"/>
        <v>125-150%</v>
      </c>
      <c r="O283" s="9">
        <f>MIN($H283,$I283)*INDEX('2018_commission_structure'!$A$1:$I$4,MATCH($E283,'2018_commission_structure'!$A$1:$A$4,0),MATCH(O$1,'2018_commission_structure'!$A$1:$I$1,0))</f>
        <v>78000</v>
      </c>
      <c r="P283" s="9">
        <f>IF(H283&gt;I283, MIN(H283-I283, J283-I283)*INDEX('2018_commission_structure'!$A$1:$I$4,MATCH($E283,'2018_commission_structure'!$A$1:$A$4,0),MATCH(P$1,'2018_commission_structure'!$A$1:$I$1,0)),0)</f>
        <v>25500.000000000004</v>
      </c>
      <c r="Q283" s="9">
        <f>IF($H283&gt;J283, MIN($H283-J283, K283-J283)*INDEX('2018_commission_structure'!$A$1:$I$4,MATCH($E283,'2018_commission_structure'!$A$1:$A$4,0),MATCH(Q$1,'2018_commission_structure'!$A$1:$I$1,0)),0)</f>
        <v>26938.59</v>
      </c>
      <c r="R283" s="9">
        <f>IF($H283&gt;K283, MIN($H283-K283, L283-K283)*INDEX('2018_commission_structure'!$A$1:$I$4,MATCH($E283,'2018_commission_structure'!$A$1:$A$4,0),MATCH(R$1,'2018_commission_structure'!$A$1:$I$1,0)),0)</f>
        <v>0</v>
      </c>
      <c r="S283" s="9">
        <f>IF(H283&gt;L283,(H283-L283)*INDEX('2018_commission_structure'!$A$1:$I$4,MATCH($E283,'2018_commission_structure'!$A$1:$A$4,0),MATCH(S$1,'2018_commission_structure'!$A$1:$I$1,0)),0)</f>
        <v>0</v>
      </c>
      <c r="T283" s="9">
        <f t="shared" si="46"/>
        <v>130438.59</v>
      </c>
      <c r="U283" s="9">
        <f t="shared" si="47"/>
        <v>202865.59</v>
      </c>
      <c r="V283" s="9">
        <f>MIN($I283,$H283)*INDEX('Key Metrics'!$E$16:$N$19,MATCH($E283,'Key Metrics'!$E$16:$E$19,0),MATCH(V$1,'Key Metrics'!$E$16:$M$16,0))</f>
        <v>90000</v>
      </c>
      <c r="W283" s="9">
        <f>IF($H283&gt;I283, MIN($H283-I283, J283-I283)*INDEX('Key Metrics'!$E$16:$N$19,MATCH($E283,'Key Metrics'!$E$16:$E$19,0),MATCH(W$1,'Key Metrics'!$E$16:$M$16,0)),0)</f>
        <v>27000</v>
      </c>
      <c r="X283" s="9">
        <f>IF($H283&gt;J283, MIN($H283-J283, K283-J283)*INDEX('Key Metrics'!$E$16:$N$19,MATCH($E283,'Key Metrics'!$E$16:$E$19,0),MATCH(X$1,'Key Metrics'!$E$16:$M$16,0)),0)</f>
        <v>32069.75</v>
      </c>
      <c r="Y283" s="9">
        <f>IF($H283&gt;K283, MIN($H283-K283, L283-K283)*INDEX('Key Metrics'!$E$16:$N$19,MATCH($E283,'Key Metrics'!$E$16:$E$19,0),MATCH(Y$1,'Key Metrics'!$E$16:$M$16,0)),0)</f>
        <v>0</v>
      </c>
      <c r="Z283" s="9">
        <f>IF($H283&gt;L283,($H283-L283)*INDEX('Key Metrics'!$E$16:$N$19,MATCH($E283,'Key Metrics'!$E$16:$E$19,0),MATCH(Z$1,'Key Metrics'!$E$16:$M$16,0)),0)</f>
        <v>0</v>
      </c>
      <c r="AA283" s="9">
        <f t="shared" si="48"/>
        <v>149069.75</v>
      </c>
      <c r="AB283" s="9">
        <f t="shared" si="49"/>
        <v>149071.21379833334</v>
      </c>
    </row>
    <row r="284" spans="1:28" x14ac:dyDescent="0.55000000000000004">
      <c r="A284" t="str">
        <f t="shared" si="40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COUNTIF(deals_closed!$D$2:$D$20001,Calculations!B433)</f>
        <v>25</v>
      </c>
      <c r="H284" s="7">
        <f>SUMIF(deals_closed!$D:$D,Calculations!B433,deals_closed!$C:$C)</f>
        <v>860242</v>
      </c>
      <c r="I284" s="5">
        <f>VLOOKUP(E284,'2018_commission_structure'!$A$1:$I$4,9,FALSE)</f>
        <v>750000</v>
      </c>
      <c r="J284" s="9">
        <f t="shared" si="41"/>
        <v>937500</v>
      </c>
      <c r="K284" s="10">
        <f t="shared" si="42"/>
        <v>1125000</v>
      </c>
      <c r="L284" s="9">
        <f t="shared" si="43"/>
        <v>1500000</v>
      </c>
      <c r="M284" s="8">
        <f t="shared" si="44"/>
        <v>1.1469893333333334</v>
      </c>
      <c r="N284" t="str">
        <f t="shared" si="45"/>
        <v>100-125%</v>
      </c>
      <c r="O284" s="9">
        <f>MIN($H284,$I284)*INDEX('2018_commission_structure'!$A$1:$I$4,MATCH($E284,'2018_commission_structure'!$A$1:$A$4,0),MATCH(O$1,'2018_commission_structure'!$A$1:$I$1,0))</f>
        <v>112500</v>
      </c>
      <c r="P284" s="9">
        <f>IF(H284&gt;I284, MIN(H284-I284, J284-I284)*INDEX('2018_commission_structure'!$A$1:$I$4,MATCH($E284,'2018_commission_structure'!$A$1:$A$4,0),MATCH(P$1,'2018_commission_structure'!$A$1:$I$1,0)),0)</f>
        <v>20945.98</v>
      </c>
      <c r="Q284" s="9">
        <f>IF($H284&gt;J284, MIN($H284-J284, K284-J284)*INDEX('2018_commission_structure'!$A$1:$I$4,MATCH($E284,'2018_commission_structure'!$A$1:$A$4,0),MATCH(Q$1,'2018_commission_structure'!$A$1:$I$1,0)),0)</f>
        <v>0</v>
      </c>
      <c r="R284" s="9">
        <f>IF($H284&gt;K284, MIN($H284-K284, L284-K284)*INDEX('2018_commission_structure'!$A$1:$I$4,MATCH($E284,'2018_commission_structure'!$A$1:$A$4,0),MATCH(R$1,'2018_commission_structure'!$A$1:$I$1,0)),0)</f>
        <v>0</v>
      </c>
      <c r="S284" s="9">
        <f>IF(H284&gt;L284,(H284-L284)*INDEX('2018_commission_structure'!$A$1:$I$4,MATCH($E284,'2018_commission_structure'!$A$1:$A$4,0),MATCH(S$1,'2018_commission_structure'!$A$1:$I$1,0)),0)</f>
        <v>0</v>
      </c>
      <c r="T284" s="9">
        <f t="shared" si="46"/>
        <v>133445.98000000001</v>
      </c>
      <c r="U284" s="9">
        <f t="shared" si="47"/>
        <v>212481.98</v>
      </c>
      <c r="V284" s="9">
        <f>MIN($I284,$H284)*INDEX('Key Metrics'!$E$16:$N$19,MATCH($E284,'Key Metrics'!$E$16:$E$19,0),MATCH(V$1,'Key Metrics'!$E$16:$M$16,0))</f>
        <v>112500</v>
      </c>
      <c r="W284" s="9">
        <f>IF($H284&gt;I284, MIN($H284-I284, J284-I284)*INDEX('Key Metrics'!$E$16:$N$19,MATCH($E284,'Key Metrics'!$E$16:$E$19,0),MATCH(W$1,'Key Metrics'!$E$16:$M$16,0)),0)</f>
        <v>24253.24</v>
      </c>
      <c r="X284" s="9">
        <f>IF($H284&gt;J284, MIN($H284-J284, K284-J284)*INDEX('Key Metrics'!$E$16:$N$19,MATCH($E284,'Key Metrics'!$E$16:$E$19,0),MATCH(X$1,'Key Metrics'!$E$16:$M$16,0)),0)</f>
        <v>0</v>
      </c>
      <c r="Y284" s="9">
        <f>IF($H284&gt;K284, MIN($H284-K284, L284-K284)*INDEX('Key Metrics'!$E$16:$N$19,MATCH($E284,'Key Metrics'!$E$16:$E$19,0),MATCH(Y$1,'Key Metrics'!$E$16:$M$16,0)),0)</f>
        <v>0</v>
      </c>
      <c r="Z284" s="9">
        <f>IF($H284&gt;L284,($H284-L284)*INDEX('Key Metrics'!$E$16:$N$19,MATCH($E284,'Key Metrics'!$E$16:$E$19,0),MATCH(Z$1,'Key Metrics'!$E$16:$M$16,0)),0)</f>
        <v>0</v>
      </c>
      <c r="AA284" s="9">
        <f t="shared" si="48"/>
        <v>136753.24</v>
      </c>
      <c r="AB284" s="9">
        <f t="shared" si="49"/>
        <v>136754.38698933332</v>
      </c>
    </row>
    <row r="285" spans="1:28" x14ac:dyDescent="0.55000000000000004">
      <c r="A285" t="str">
        <f t="shared" si="40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COUNTIF(deals_closed!$D$2:$D$20001,Calculations!B373)</f>
        <v>23</v>
      </c>
      <c r="H285" s="7">
        <f>SUMIF(deals_closed!$D:$D,Calculations!B373,deals_closed!$C:$C)</f>
        <v>767064</v>
      </c>
      <c r="I285" s="5">
        <f>VLOOKUP(E285,'2018_commission_structure'!$A$1:$I$4,9,FALSE)</f>
        <v>500000</v>
      </c>
      <c r="J285" s="9">
        <f t="shared" si="41"/>
        <v>625000</v>
      </c>
      <c r="K285" s="10">
        <f t="shared" si="42"/>
        <v>750000</v>
      </c>
      <c r="L285" s="9">
        <f t="shared" si="43"/>
        <v>1000000</v>
      </c>
      <c r="M285" s="8">
        <f t="shared" si="44"/>
        <v>1.5341279999999999</v>
      </c>
      <c r="N285" t="str">
        <f t="shared" si="45"/>
        <v>150-200%</v>
      </c>
      <c r="O285" s="9">
        <f>MIN($H285,$I285)*INDEX('2018_commission_structure'!$A$1:$I$4,MATCH($E285,'2018_commission_structure'!$A$1:$A$4,0),MATCH(O$1,'2018_commission_structure'!$A$1:$I$1,0))</f>
        <v>50000</v>
      </c>
      <c r="P285" s="9">
        <f>IF(H285&gt;I285, MIN(H285-I285, J285-I285)*INDEX('2018_commission_structure'!$A$1:$I$4,MATCH($E285,'2018_commission_structure'!$A$1:$A$4,0),MATCH(P$1,'2018_commission_structure'!$A$1:$I$1,0)),0)</f>
        <v>18750</v>
      </c>
      <c r="Q285" s="9">
        <f>IF($H285&gt;J285, MIN($H285-J285, K285-J285)*INDEX('2018_commission_structure'!$A$1:$I$4,MATCH($E285,'2018_commission_structure'!$A$1:$A$4,0),MATCH(Q$1,'2018_commission_structure'!$A$1:$I$1,0)),0)</f>
        <v>22500</v>
      </c>
      <c r="R285" s="9">
        <f>IF($H285&gt;K285, MIN($H285-K285, L285-K285)*INDEX('2018_commission_structure'!$A$1:$I$4,MATCH($E285,'2018_commission_structure'!$A$1:$A$4,0),MATCH(R$1,'2018_commission_structure'!$A$1:$I$1,0)),0)</f>
        <v>3754.08</v>
      </c>
      <c r="S285" s="9">
        <f>IF(H285&gt;L285,(H285-L285)*INDEX('2018_commission_structure'!$A$1:$I$4,MATCH($E285,'2018_commission_structure'!$A$1:$A$4,0),MATCH(S$1,'2018_commission_structure'!$A$1:$I$1,0)),0)</f>
        <v>0</v>
      </c>
      <c r="T285" s="9">
        <f t="shared" si="46"/>
        <v>95004.08</v>
      </c>
      <c r="U285" s="9">
        <f t="shared" si="47"/>
        <v>132044.08000000002</v>
      </c>
      <c r="V285" s="9">
        <f>MIN($I285,$H285)*INDEX('Key Metrics'!$E$16:$N$19,MATCH($E285,'Key Metrics'!$E$16:$E$19,0),MATCH(V$1,'Key Metrics'!$E$16:$M$16,0))</f>
        <v>60000</v>
      </c>
      <c r="W285" s="9">
        <f>IF($H285&gt;I285, MIN($H285-I285, J285-I285)*INDEX('Key Metrics'!$E$16:$N$19,MATCH($E285,'Key Metrics'!$E$16:$E$19,0),MATCH(W$1,'Key Metrics'!$E$16:$M$16,0)),0)</f>
        <v>21250</v>
      </c>
      <c r="X285" s="9">
        <f>IF($H285&gt;J285, MIN($H285-J285, K285-J285)*INDEX('Key Metrics'!$E$16:$N$19,MATCH($E285,'Key Metrics'!$E$16:$E$19,0),MATCH(X$1,'Key Metrics'!$E$16:$M$16,0)),0)</f>
        <v>25000</v>
      </c>
      <c r="Y285" s="9">
        <f>IF($H285&gt;K285, MIN($H285-K285, L285-K285)*INDEX('Key Metrics'!$E$16:$N$19,MATCH($E285,'Key Metrics'!$E$16:$E$19,0),MATCH(Y$1,'Key Metrics'!$E$16:$M$16,0)),0)</f>
        <v>3754.08</v>
      </c>
      <c r="Z285" s="9">
        <f>IF($H285&gt;L285,($H285-L285)*INDEX('Key Metrics'!$E$16:$N$19,MATCH($E285,'Key Metrics'!$E$16:$E$19,0),MATCH(Z$1,'Key Metrics'!$E$16:$M$16,0)),0)</f>
        <v>0</v>
      </c>
      <c r="AA285" s="9">
        <f t="shared" si="48"/>
        <v>110004.08</v>
      </c>
      <c r="AB285" s="9">
        <f t="shared" si="49"/>
        <v>110005.614128</v>
      </c>
    </row>
    <row r="286" spans="1:28" x14ac:dyDescent="0.55000000000000004">
      <c r="A286" t="str">
        <f t="shared" si="40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COUNTIF(deals_closed!$D$2:$D$20001,Calculations!B740)</f>
        <v>17</v>
      </c>
      <c r="H286" s="7">
        <f>SUMIF(deals_closed!$D:$D,Calculations!B740,deals_closed!$C:$C)</f>
        <v>563706</v>
      </c>
      <c r="I286" s="5">
        <f>VLOOKUP(E286,'2018_commission_structure'!$A$1:$I$4,9,FALSE)</f>
        <v>600000</v>
      </c>
      <c r="J286" s="9">
        <f t="shared" si="41"/>
        <v>750000</v>
      </c>
      <c r="K286" s="10">
        <f t="shared" si="42"/>
        <v>900000</v>
      </c>
      <c r="L286" s="9">
        <f t="shared" si="43"/>
        <v>1200000</v>
      </c>
      <c r="M286" s="8">
        <f t="shared" si="44"/>
        <v>0.93950999999999996</v>
      </c>
      <c r="N286" t="str">
        <f t="shared" si="45"/>
        <v>0-100%</v>
      </c>
      <c r="O286" s="9">
        <f>MIN($H286,$I286)*INDEX('2018_commission_structure'!$A$1:$I$4,MATCH($E286,'2018_commission_structure'!$A$1:$A$4,0),MATCH(O$1,'2018_commission_structure'!$A$1:$I$1,0))</f>
        <v>73281.78</v>
      </c>
      <c r="P286" s="9">
        <f>IF(H286&gt;I286, MIN(H286-I286, J286-I286)*INDEX('2018_commission_structure'!$A$1:$I$4,MATCH($E286,'2018_commission_structure'!$A$1:$A$4,0),MATCH(P$1,'2018_commission_structure'!$A$1:$I$1,0)),0)</f>
        <v>0</v>
      </c>
      <c r="Q286" s="9">
        <f>IF($H286&gt;J286, MIN($H286-J286, K286-J286)*INDEX('2018_commission_structure'!$A$1:$I$4,MATCH($E286,'2018_commission_structure'!$A$1:$A$4,0),MATCH(Q$1,'2018_commission_structure'!$A$1:$I$1,0)),0)</f>
        <v>0</v>
      </c>
      <c r="R286" s="9">
        <f>IF($H286&gt;K286, MIN($H286-K286, L286-K286)*INDEX('2018_commission_structure'!$A$1:$I$4,MATCH($E286,'2018_commission_structure'!$A$1:$A$4,0),MATCH(R$1,'2018_commission_structure'!$A$1:$I$1,0)),0)</f>
        <v>0</v>
      </c>
      <c r="S286" s="9">
        <f>IF(H286&gt;L286,(H286-L286)*INDEX('2018_commission_structure'!$A$1:$I$4,MATCH($E286,'2018_commission_structure'!$A$1:$A$4,0),MATCH(S$1,'2018_commission_structure'!$A$1:$I$1,0)),0)</f>
        <v>0</v>
      </c>
      <c r="T286" s="9">
        <f t="shared" si="46"/>
        <v>73281.78</v>
      </c>
      <c r="U286" s="9">
        <f t="shared" si="47"/>
        <v>152324.78</v>
      </c>
      <c r="V286" s="9">
        <f>MIN($I286,$H286)*INDEX('Key Metrics'!$E$16:$N$19,MATCH($E286,'Key Metrics'!$E$16:$E$19,0),MATCH(V$1,'Key Metrics'!$E$16:$M$16,0))</f>
        <v>84555.9</v>
      </c>
      <c r="W286" s="9">
        <f>IF($H286&gt;I286, MIN($H286-I286, J286-I286)*INDEX('Key Metrics'!$E$16:$N$19,MATCH($E286,'Key Metrics'!$E$16:$E$19,0),MATCH(W$1,'Key Metrics'!$E$16:$M$16,0)),0)</f>
        <v>0</v>
      </c>
      <c r="X286" s="9">
        <f>IF($H286&gt;J286, MIN($H286-J286, K286-J286)*INDEX('Key Metrics'!$E$16:$N$19,MATCH($E286,'Key Metrics'!$E$16:$E$19,0),MATCH(X$1,'Key Metrics'!$E$16:$M$16,0)),0)</f>
        <v>0</v>
      </c>
      <c r="Y286" s="9">
        <f>IF($H286&gt;K286, MIN($H286-K286, L286-K286)*INDEX('Key Metrics'!$E$16:$N$19,MATCH($E286,'Key Metrics'!$E$16:$E$19,0),MATCH(Y$1,'Key Metrics'!$E$16:$M$16,0)),0)</f>
        <v>0</v>
      </c>
      <c r="Z286" s="9">
        <f>IF($H286&gt;L286,($H286-L286)*INDEX('Key Metrics'!$E$16:$N$19,MATCH($E286,'Key Metrics'!$E$16:$E$19,0),MATCH(Z$1,'Key Metrics'!$E$16:$M$16,0)),0)</f>
        <v>0</v>
      </c>
      <c r="AA286" s="9">
        <f t="shared" si="48"/>
        <v>84555.9</v>
      </c>
      <c r="AB286" s="9">
        <f t="shared" si="49"/>
        <v>84556.839509999991</v>
      </c>
    </row>
    <row r="287" spans="1:28" x14ac:dyDescent="0.55000000000000004">
      <c r="A287" t="str">
        <f t="shared" si="40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COUNTIF(deals_closed!$D$2:$D$20001,Calculations!B638)</f>
        <v>21</v>
      </c>
      <c r="H287" s="7">
        <f>SUMIF(deals_closed!$D:$D,Calculations!B638,deals_closed!$C:$C)</f>
        <v>721970</v>
      </c>
      <c r="I287" s="5">
        <f>VLOOKUP(E287,'2018_commission_structure'!$A$1:$I$4,9,FALSE)</f>
        <v>750000</v>
      </c>
      <c r="J287" s="9">
        <f t="shared" si="41"/>
        <v>937500</v>
      </c>
      <c r="K287" s="10">
        <f t="shared" si="42"/>
        <v>1125000</v>
      </c>
      <c r="L287" s="9">
        <f t="shared" si="43"/>
        <v>1500000</v>
      </c>
      <c r="M287" s="8">
        <f t="shared" si="44"/>
        <v>0.96262666666666663</v>
      </c>
      <c r="N287" t="str">
        <f t="shared" si="45"/>
        <v>0-100%</v>
      </c>
      <c r="O287" s="9">
        <f>MIN($H287,$I287)*INDEX('2018_commission_structure'!$A$1:$I$4,MATCH($E287,'2018_commission_structure'!$A$1:$A$4,0),MATCH(O$1,'2018_commission_structure'!$A$1:$I$1,0))</f>
        <v>108295.5</v>
      </c>
      <c r="P287" s="9">
        <f>IF(H287&gt;I287, MIN(H287-I287, J287-I287)*INDEX('2018_commission_structure'!$A$1:$I$4,MATCH($E287,'2018_commission_structure'!$A$1:$A$4,0),MATCH(P$1,'2018_commission_structure'!$A$1:$I$1,0)),0)</f>
        <v>0</v>
      </c>
      <c r="Q287" s="9">
        <f>IF($H287&gt;J287, MIN($H287-J287, K287-J287)*INDEX('2018_commission_structure'!$A$1:$I$4,MATCH($E287,'2018_commission_structure'!$A$1:$A$4,0),MATCH(Q$1,'2018_commission_structure'!$A$1:$I$1,0)),0)</f>
        <v>0</v>
      </c>
      <c r="R287" s="9">
        <f>IF($H287&gt;K287, MIN($H287-K287, L287-K287)*INDEX('2018_commission_structure'!$A$1:$I$4,MATCH($E287,'2018_commission_structure'!$A$1:$A$4,0),MATCH(R$1,'2018_commission_structure'!$A$1:$I$1,0)),0)</f>
        <v>0</v>
      </c>
      <c r="S287" s="9">
        <f>IF(H287&gt;L287,(H287-L287)*INDEX('2018_commission_structure'!$A$1:$I$4,MATCH($E287,'2018_commission_structure'!$A$1:$A$4,0),MATCH(S$1,'2018_commission_structure'!$A$1:$I$1,0)),0)</f>
        <v>0</v>
      </c>
      <c r="T287" s="9">
        <f t="shared" si="46"/>
        <v>108295.5</v>
      </c>
      <c r="U287" s="9">
        <f t="shared" si="47"/>
        <v>207641.5</v>
      </c>
      <c r="V287" s="9">
        <f>MIN($I287,$H287)*INDEX('Key Metrics'!$E$16:$N$19,MATCH($E287,'Key Metrics'!$E$16:$E$19,0),MATCH(V$1,'Key Metrics'!$E$16:$M$16,0))</f>
        <v>108295.5</v>
      </c>
      <c r="W287" s="9">
        <f>IF($H287&gt;I287, MIN($H287-I287, J287-I287)*INDEX('Key Metrics'!$E$16:$N$19,MATCH($E287,'Key Metrics'!$E$16:$E$19,0),MATCH(W$1,'Key Metrics'!$E$16:$M$16,0)),0)</f>
        <v>0</v>
      </c>
      <c r="X287" s="9">
        <f>IF($H287&gt;J287, MIN($H287-J287, K287-J287)*INDEX('Key Metrics'!$E$16:$N$19,MATCH($E287,'Key Metrics'!$E$16:$E$19,0),MATCH(X$1,'Key Metrics'!$E$16:$M$16,0)),0)</f>
        <v>0</v>
      </c>
      <c r="Y287" s="9">
        <f>IF($H287&gt;K287, MIN($H287-K287, L287-K287)*INDEX('Key Metrics'!$E$16:$N$19,MATCH($E287,'Key Metrics'!$E$16:$E$19,0),MATCH(Y$1,'Key Metrics'!$E$16:$M$16,0)),0)</f>
        <v>0</v>
      </c>
      <c r="Z287" s="9">
        <f>IF($H287&gt;L287,($H287-L287)*INDEX('Key Metrics'!$E$16:$N$19,MATCH($E287,'Key Metrics'!$E$16:$E$19,0),MATCH(Z$1,'Key Metrics'!$E$16:$M$16,0)),0)</f>
        <v>0</v>
      </c>
      <c r="AA287" s="9">
        <f t="shared" si="48"/>
        <v>108295.5</v>
      </c>
      <c r="AB287" s="9">
        <f t="shared" si="49"/>
        <v>108296.46262666666</v>
      </c>
    </row>
    <row r="288" spans="1:28" x14ac:dyDescent="0.55000000000000004">
      <c r="A288" t="str">
        <f t="shared" si="40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COUNTIF(deals_closed!$D$2:$D$20001,Calculations!B281)</f>
        <v>25</v>
      </c>
      <c r="H288" s="7">
        <f>SUMIF(deals_closed!$D:$D,Calculations!B281,deals_closed!$C:$C)</f>
        <v>914251</v>
      </c>
      <c r="I288" s="5">
        <f>VLOOKUP(E288,'2018_commission_structure'!$A$1:$I$4,9,FALSE)</f>
        <v>600000</v>
      </c>
      <c r="J288" s="9">
        <f t="shared" si="41"/>
        <v>750000</v>
      </c>
      <c r="K288" s="10">
        <f t="shared" si="42"/>
        <v>900000</v>
      </c>
      <c r="L288" s="9">
        <f t="shared" si="43"/>
        <v>1200000</v>
      </c>
      <c r="M288" s="8">
        <f t="shared" si="44"/>
        <v>1.5237516666666666</v>
      </c>
      <c r="N288" t="str">
        <f t="shared" si="45"/>
        <v>150-200%</v>
      </c>
      <c r="O288" s="9">
        <f>MIN($H288,$I288)*INDEX('2018_commission_structure'!$A$1:$I$4,MATCH($E288,'2018_commission_structure'!$A$1:$A$4,0),MATCH(O$1,'2018_commission_structure'!$A$1:$I$1,0))</f>
        <v>78000</v>
      </c>
      <c r="P288" s="9">
        <f>IF(H288&gt;I288, MIN(H288-I288, J288-I288)*INDEX('2018_commission_structure'!$A$1:$I$4,MATCH($E288,'2018_commission_structure'!$A$1:$A$4,0),MATCH(P$1,'2018_commission_structure'!$A$1:$I$1,0)),0)</f>
        <v>25500.000000000004</v>
      </c>
      <c r="Q288" s="9">
        <f>IF($H288&gt;J288, MIN($H288-J288, K288-J288)*INDEX('2018_commission_structure'!$A$1:$I$4,MATCH($E288,'2018_commission_structure'!$A$1:$A$4,0),MATCH(Q$1,'2018_commission_structure'!$A$1:$I$1,0)),0)</f>
        <v>31500</v>
      </c>
      <c r="R288" s="9">
        <f>IF($H288&gt;K288, MIN($H288-K288, L288-K288)*INDEX('2018_commission_structure'!$A$1:$I$4,MATCH($E288,'2018_commission_structure'!$A$1:$A$4,0),MATCH(R$1,'2018_commission_structure'!$A$1:$I$1,0)),0)</f>
        <v>3705.26</v>
      </c>
      <c r="S288" s="9">
        <f>IF(H288&gt;L288,(H288-L288)*INDEX('2018_commission_structure'!$A$1:$I$4,MATCH($E288,'2018_commission_structure'!$A$1:$A$4,0),MATCH(S$1,'2018_commission_structure'!$A$1:$I$1,0)),0)</f>
        <v>0</v>
      </c>
      <c r="T288" s="9">
        <f t="shared" si="46"/>
        <v>138705.26</v>
      </c>
      <c r="U288" s="9">
        <f t="shared" si="47"/>
        <v>211238.26</v>
      </c>
      <c r="V288" s="9">
        <f>MIN($I288,$H288)*INDEX('Key Metrics'!$E$16:$N$19,MATCH($E288,'Key Metrics'!$E$16:$E$19,0),MATCH(V$1,'Key Metrics'!$E$16:$M$16,0))</f>
        <v>90000</v>
      </c>
      <c r="W288" s="9">
        <f>IF($H288&gt;I288, MIN($H288-I288, J288-I288)*INDEX('Key Metrics'!$E$16:$N$19,MATCH($E288,'Key Metrics'!$E$16:$E$19,0),MATCH(W$1,'Key Metrics'!$E$16:$M$16,0)),0)</f>
        <v>27000</v>
      </c>
      <c r="X288" s="9">
        <f>IF($H288&gt;J288, MIN($H288-J288, K288-J288)*INDEX('Key Metrics'!$E$16:$N$19,MATCH($E288,'Key Metrics'!$E$16:$E$19,0),MATCH(X$1,'Key Metrics'!$E$16:$M$16,0)),0)</f>
        <v>37500</v>
      </c>
      <c r="Y288" s="9">
        <f>IF($H288&gt;K288, MIN($H288-K288, L288-K288)*INDEX('Key Metrics'!$E$16:$N$19,MATCH($E288,'Key Metrics'!$E$16:$E$19,0),MATCH(Y$1,'Key Metrics'!$E$16:$M$16,0)),0)</f>
        <v>4275.3</v>
      </c>
      <c r="Z288" s="9">
        <f>IF($H288&gt;L288,($H288-L288)*INDEX('Key Metrics'!$E$16:$N$19,MATCH($E288,'Key Metrics'!$E$16:$E$19,0),MATCH(Z$1,'Key Metrics'!$E$16:$M$16,0)),0)</f>
        <v>0</v>
      </c>
      <c r="AA288" s="9">
        <f t="shared" si="48"/>
        <v>158775.29999999999</v>
      </c>
      <c r="AB288" s="9">
        <f t="shared" si="49"/>
        <v>158776.82375166664</v>
      </c>
    </row>
    <row r="289" spans="1:28" x14ac:dyDescent="0.55000000000000004">
      <c r="A289" t="str">
        <f t="shared" si="40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COUNTIF(deals_closed!$D$2:$D$20001,Calculations!B580)</f>
        <v>24</v>
      </c>
      <c r="H289" s="7">
        <f>SUMIF(deals_closed!$D:$D,Calculations!B580,deals_closed!$C:$C)</f>
        <v>833601</v>
      </c>
      <c r="I289" s="5">
        <f>VLOOKUP(E289,'2018_commission_structure'!$A$1:$I$4,9,FALSE)</f>
        <v>750000</v>
      </c>
      <c r="J289" s="9">
        <f t="shared" si="41"/>
        <v>937500</v>
      </c>
      <c r="K289" s="10">
        <f t="shared" si="42"/>
        <v>1125000</v>
      </c>
      <c r="L289" s="9">
        <f t="shared" si="43"/>
        <v>1500000</v>
      </c>
      <c r="M289" s="8">
        <f t="shared" si="44"/>
        <v>1.1114679999999999</v>
      </c>
      <c r="N289" t="str">
        <f t="shared" si="45"/>
        <v>100-125%</v>
      </c>
      <c r="O289" s="9">
        <f>MIN($H289,$I289)*INDEX('2018_commission_structure'!$A$1:$I$4,MATCH($E289,'2018_commission_structure'!$A$1:$A$4,0),MATCH(O$1,'2018_commission_structure'!$A$1:$I$1,0))</f>
        <v>112500</v>
      </c>
      <c r="P289" s="9">
        <f>IF(H289&gt;I289, MIN(H289-I289, J289-I289)*INDEX('2018_commission_structure'!$A$1:$I$4,MATCH($E289,'2018_commission_structure'!$A$1:$A$4,0),MATCH(P$1,'2018_commission_structure'!$A$1:$I$1,0)),0)</f>
        <v>15884.19</v>
      </c>
      <c r="Q289" s="9">
        <f>IF($H289&gt;J289, MIN($H289-J289, K289-J289)*INDEX('2018_commission_structure'!$A$1:$I$4,MATCH($E289,'2018_commission_structure'!$A$1:$A$4,0),MATCH(Q$1,'2018_commission_structure'!$A$1:$I$1,0)),0)</f>
        <v>0</v>
      </c>
      <c r="R289" s="9">
        <f>IF($H289&gt;K289, MIN($H289-K289, L289-K289)*INDEX('2018_commission_structure'!$A$1:$I$4,MATCH($E289,'2018_commission_structure'!$A$1:$A$4,0),MATCH(R$1,'2018_commission_structure'!$A$1:$I$1,0)),0)</f>
        <v>0</v>
      </c>
      <c r="S289" s="9">
        <f>IF(H289&gt;L289,(H289-L289)*INDEX('2018_commission_structure'!$A$1:$I$4,MATCH($E289,'2018_commission_structure'!$A$1:$A$4,0),MATCH(S$1,'2018_commission_structure'!$A$1:$I$1,0)),0)</f>
        <v>0</v>
      </c>
      <c r="T289" s="9">
        <f t="shared" si="46"/>
        <v>128384.19</v>
      </c>
      <c r="U289" s="9">
        <f t="shared" si="47"/>
        <v>215252.19</v>
      </c>
      <c r="V289" s="9">
        <f>MIN($I289,$H289)*INDEX('Key Metrics'!$E$16:$N$19,MATCH($E289,'Key Metrics'!$E$16:$E$19,0),MATCH(V$1,'Key Metrics'!$E$16:$M$16,0))</f>
        <v>112500</v>
      </c>
      <c r="W289" s="9">
        <f>IF($H289&gt;I289, MIN($H289-I289, J289-I289)*INDEX('Key Metrics'!$E$16:$N$19,MATCH($E289,'Key Metrics'!$E$16:$E$19,0),MATCH(W$1,'Key Metrics'!$E$16:$M$16,0)),0)</f>
        <v>18392.22</v>
      </c>
      <c r="X289" s="9">
        <f>IF($H289&gt;J289, MIN($H289-J289, K289-J289)*INDEX('Key Metrics'!$E$16:$N$19,MATCH($E289,'Key Metrics'!$E$16:$E$19,0),MATCH(X$1,'Key Metrics'!$E$16:$M$16,0)),0)</f>
        <v>0</v>
      </c>
      <c r="Y289" s="9">
        <f>IF($H289&gt;K289, MIN($H289-K289, L289-K289)*INDEX('Key Metrics'!$E$16:$N$19,MATCH($E289,'Key Metrics'!$E$16:$E$19,0),MATCH(Y$1,'Key Metrics'!$E$16:$M$16,0)),0)</f>
        <v>0</v>
      </c>
      <c r="Z289" s="9">
        <f>IF($H289&gt;L289,($H289-L289)*INDEX('Key Metrics'!$E$16:$N$19,MATCH($E289,'Key Metrics'!$E$16:$E$19,0),MATCH(Z$1,'Key Metrics'!$E$16:$M$16,0)),0)</f>
        <v>0</v>
      </c>
      <c r="AA289" s="9">
        <f t="shared" si="48"/>
        <v>130892.22</v>
      </c>
      <c r="AB289" s="9">
        <f t="shared" si="49"/>
        <v>130893.331468</v>
      </c>
    </row>
    <row r="290" spans="1:28" x14ac:dyDescent="0.55000000000000004">
      <c r="A290" t="str">
        <f t="shared" si="40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COUNTIF(deals_closed!$D$2:$D$20001,Calculations!B928)</f>
        <v>24</v>
      </c>
      <c r="H290" s="7">
        <f>SUMIF(deals_closed!$D:$D,Calculations!B928,deals_closed!$C:$C)</f>
        <v>923269</v>
      </c>
      <c r="I290" s="5">
        <f>VLOOKUP(E290,'2018_commission_structure'!$A$1:$I$4,9,FALSE)</f>
        <v>750000</v>
      </c>
      <c r="J290" s="9">
        <f t="shared" si="41"/>
        <v>937500</v>
      </c>
      <c r="K290" s="10">
        <f t="shared" si="42"/>
        <v>1125000</v>
      </c>
      <c r="L290" s="9">
        <f t="shared" si="43"/>
        <v>1500000</v>
      </c>
      <c r="M290" s="8">
        <f t="shared" si="44"/>
        <v>1.2310253333333334</v>
      </c>
      <c r="N290" t="str">
        <f t="shared" si="45"/>
        <v>100-125%</v>
      </c>
      <c r="O290" s="9">
        <f>MIN($H290,$I290)*INDEX('2018_commission_structure'!$A$1:$I$4,MATCH($E290,'2018_commission_structure'!$A$1:$A$4,0),MATCH(O$1,'2018_commission_structure'!$A$1:$I$1,0))</f>
        <v>112500</v>
      </c>
      <c r="P290" s="9">
        <f>IF(H290&gt;I290, MIN(H290-I290, J290-I290)*INDEX('2018_commission_structure'!$A$1:$I$4,MATCH($E290,'2018_commission_structure'!$A$1:$A$4,0),MATCH(P$1,'2018_commission_structure'!$A$1:$I$1,0)),0)</f>
        <v>32921.11</v>
      </c>
      <c r="Q290" s="9">
        <f>IF($H290&gt;J290, MIN($H290-J290, K290-J290)*INDEX('2018_commission_structure'!$A$1:$I$4,MATCH($E290,'2018_commission_structure'!$A$1:$A$4,0),MATCH(Q$1,'2018_commission_structure'!$A$1:$I$1,0)),0)</f>
        <v>0</v>
      </c>
      <c r="R290" s="9">
        <f>IF($H290&gt;K290, MIN($H290-K290, L290-K290)*INDEX('2018_commission_structure'!$A$1:$I$4,MATCH($E290,'2018_commission_structure'!$A$1:$A$4,0),MATCH(R$1,'2018_commission_structure'!$A$1:$I$1,0)),0)</f>
        <v>0</v>
      </c>
      <c r="S290" s="9">
        <f>IF(H290&gt;L290,(H290-L290)*INDEX('2018_commission_structure'!$A$1:$I$4,MATCH($E290,'2018_commission_structure'!$A$1:$A$4,0),MATCH(S$1,'2018_commission_structure'!$A$1:$I$1,0)),0)</f>
        <v>0</v>
      </c>
      <c r="T290" s="9">
        <f t="shared" si="46"/>
        <v>145421.10999999999</v>
      </c>
      <c r="U290" s="9">
        <f t="shared" si="47"/>
        <v>258785.11</v>
      </c>
      <c r="V290" s="9">
        <f>MIN($I290,$H290)*INDEX('Key Metrics'!$E$16:$N$19,MATCH($E290,'Key Metrics'!$E$16:$E$19,0),MATCH(V$1,'Key Metrics'!$E$16:$M$16,0))</f>
        <v>112500</v>
      </c>
      <c r="W290" s="9">
        <f>IF($H290&gt;I290, MIN($H290-I290, J290-I290)*INDEX('Key Metrics'!$E$16:$N$19,MATCH($E290,'Key Metrics'!$E$16:$E$19,0),MATCH(W$1,'Key Metrics'!$E$16:$M$16,0)),0)</f>
        <v>38119.18</v>
      </c>
      <c r="X290" s="9">
        <f>IF($H290&gt;J290, MIN($H290-J290, K290-J290)*INDEX('Key Metrics'!$E$16:$N$19,MATCH($E290,'Key Metrics'!$E$16:$E$19,0),MATCH(X$1,'Key Metrics'!$E$16:$M$16,0)),0)</f>
        <v>0</v>
      </c>
      <c r="Y290" s="9">
        <f>IF($H290&gt;K290, MIN($H290-K290, L290-K290)*INDEX('Key Metrics'!$E$16:$N$19,MATCH($E290,'Key Metrics'!$E$16:$E$19,0),MATCH(Y$1,'Key Metrics'!$E$16:$M$16,0)),0)</f>
        <v>0</v>
      </c>
      <c r="Z290" s="9">
        <f>IF($H290&gt;L290,($H290-L290)*INDEX('Key Metrics'!$E$16:$N$19,MATCH($E290,'Key Metrics'!$E$16:$E$19,0),MATCH(Z$1,'Key Metrics'!$E$16:$M$16,0)),0)</f>
        <v>0</v>
      </c>
      <c r="AA290" s="9">
        <f t="shared" si="48"/>
        <v>150619.18</v>
      </c>
      <c r="AB290" s="9">
        <f t="shared" si="49"/>
        <v>150620.41102533333</v>
      </c>
    </row>
    <row r="291" spans="1:28" x14ac:dyDescent="0.55000000000000004">
      <c r="A291" t="str">
        <f t="shared" si="40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COUNTIF(deals_closed!$D$2:$D$20001,Calculations!B185)</f>
        <v>22</v>
      </c>
      <c r="H291" s="7">
        <f>SUMIF(deals_closed!$D:$D,Calculations!B185,deals_closed!$C:$C)</f>
        <v>783210</v>
      </c>
      <c r="I291" s="5">
        <f>VLOOKUP(E291,'2018_commission_structure'!$A$1:$I$4,9,FALSE)</f>
        <v>750000</v>
      </c>
      <c r="J291" s="9">
        <f t="shared" si="41"/>
        <v>937500</v>
      </c>
      <c r="K291" s="10">
        <f t="shared" si="42"/>
        <v>1125000</v>
      </c>
      <c r="L291" s="9">
        <f t="shared" si="43"/>
        <v>1500000</v>
      </c>
      <c r="M291" s="8">
        <f t="shared" si="44"/>
        <v>1.0442800000000001</v>
      </c>
      <c r="N291" t="str">
        <f t="shared" si="45"/>
        <v>100-125%</v>
      </c>
      <c r="O291" s="9">
        <f>MIN($H291,$I291)*INDEX('2018_commission_structure'!$A$1:$I$4,MATCH($E291,'2018_commission_structure'!$A$1:$A$4,0),MATCH(O$1,'2018_commission_structure'!$A$1:$I$1,0))</f>
        <v>112500</v>
      </c>
      <c r="P291" s="9">
        <f>IF(H291&gt;I291, MIN(H291-I291, J291-I291)*INDEX('2018_commission_structure'!$A$1:$I$4,MATCH($E291,'2018_commission_structure'!$A$1:$A$4,0),MATCH(P$1,'2018_commission_structure'!$A$1:$I$1,0)),0)</f>
        <v>6309.9</v>
      </c>
      <c r="Q291" s="9">
        <f>IF($H291&gt;J291, MIN($H291-J291, K291-J291)*INDEX('2018_commission_structure'!$A$1:$I$4,MATCH($E291,'2018_commission_structure'!$A$1:$A$4,0),MATCH(Q$1,'2018_commission_structure'!$A$1:$I$1,0)),0)</f>
        <v>0</v>
      </c>
      <c r="R291" s="9">
        <f>IF($H291&gt;K291, MIN($H291-K291, L291-K291)*INDEX('2018_commission_structure'!$A$1:$I$4,MATCH($E291,'2018_commission_structure'!$A$1:$A$4,0),MATCH(R$1,'2018_commission_structure'!$A$1:$I$1,0)),0)</f>
        <v>0</v>
      </c>
      <c r="S291" s="9">
        <f>IF(H291&gt;L291,(H291-L291)*INDEX('2018_commission_structure'!$A$1:$I$4,MATCH($E291,'2018_commission_structure'!$A$1:$A$4,0),MATCH(S$1,'2018_commission_structure'!$A$1:$I$1,0)),0)</f>
        <v>0</v>
      </c>
      <c r="T291" s="9">
        <f t="shared" si="46"/>
        <v>118809.9</v>
      </c>
      <c r="U291" s="9">
        <f t="shared" si="47"/>
        <v>220633.9</v>
      </c>
      <c r="V291" s="9">
        <f>MIN($I291,$H291)*INDEX('Key Metrics'!$E$16:$N$19,MATCH($E291,'Key Metrics'!$E$16:$E$19,0),MATCH(V$1,'Key Metrics'!$E$16:$M$16,0))</f>
        <v>112500</v>
      </c>
      <c r="W291" s="9">
        <f>IF($H291&gt;I291, MIN($H291-I291, J291-I291)*INDEX('Key Metrics'!$E$16:$N$19,MATCH($E291,'Key Metrics'!$E$16:$E$19,0),MATCH(W$1,'Key Metrics'!$E$16:$M$16,0)),0)</f>
        <v>7306.2</v>
      </c>
      <c r="X291" s="9">
        <f>IF($H291&gt;J291, MIN($H291-J291, K291-J291)*INDEX('Key Metrics'!$E$16:$N$19,MATCH($E291,'Key Metrics'!$E$16:$E$19,0),MATCH(X$1,'Key Metrics'!$E$16:$M$16,0)),0)</f>
        <v>0</v>
      </c>
      <c r="Y291" s="9">
        <f>IF($H291&gt;K291, MIN($H291-K291, L291-K291)*INDEX('Key Metrics'!$E$16:$N$19,MATCH($E291,'Key Metrics'!$E$16:$E$19,0),MATCH(Y$1,'Key Metrics'!$E$16:$M$16,0)),0)</f>
        <v>0</v>
      </c>
      <c r="Z291" s="9">
        <f>IF($H291&gt;L291,($H291-L291)*INDEX('Key Metrics'!$E$16:$N$19,MATCH($E291,'Key Metrics'!$E$16:$E$19,0),MATCH(Z$1,'Key Metrics'!$E$16:$M$16,0)),0)</f>
        <v>0</v>
      </c>
      <c r="AA291" s="9">
        <f t="shared" si="48"/>
        <v>119806.2</v>
      </c>
      <c r="AB291" s="9">
        <f t="shared" si="49"/>
        <v>119807.24428</v>
      </c>
    </row>
    <row r="292" spans="1:28" x14ac:dyDescent="0.55000000000000004">
      <c r="A292" t="str">
        <f t="shared" si="40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COUNTIF(deals_closed!$D$2:$D$20001,Calculations!B565)</f>
        <v>28</v>
      </c>
      <c r="H292" s="7">
        <f>SUMIF(deals_closed!$D:$D,Calculations!B565,deals_closed!$C:$C)</f>
        <v>1057474</v>
      </c>
      <c r="I292" s="5">
        <f>VLOOKUP(E292,'2018_commission_structure'!$A$1:$I$4,9,FALSE)</f>
        <v>600000</v>
      </c>
      <c r="J292" s="9">
        <f t="shared" si="41"/>
        <v>750000</v>
      </c>
      <c r="K292" s="10">
        <f t="shared" si="42"/>
        <v>900000</v>
      </c>
      <c r="L292" s="9">
        <f t="shared" si="43"/>
        <v>1200000</v>
      </c>
      <c r="M292" s="8">
        <f t="shared" si="44"/>
        <v>1.7624566666666666</v>
      </c>
      <c r="N292" t="str">
        <f t="shared" si="45"/>
        <v>150-200%</v>
      </c>
      <c r="O292" s="9">
        <f>MIN($H292,$I292)*INDEX('2018_commission_structure'!$A$1:$I$4,MATCH($E292,'2018_commission_structure'!$A$1:$A$4,0),MATCH(O$1,'2018_commission_structure'!$A$1:$I$1,0))</f>
        <v>78000</v>
      </c>
      <c r="P292" s="9">
        <f>IF(H292&gt;I292, MIN(H292-I292, J292-I292)*INDEX('2018_commission_structure'!$A$1:$I$4,MATCH($E292,'2018_commission_structure'!$A$1:$A$4,0),MATCH(P$1,'2018_commission_structure'!$A$1:$I$1,0)),0)</f>
        <v>25500.000000000004</v>
      </c>
      <c r="Q292" s="9">
        <f>IF($H292&gt;J292, MIN($H292-J292, K292-J292)*INDEX('2018_commission_structure'!$A$1:$I$4,MATCH($E292,'2018_commission_structure'!$A$1:$A$4,0),MATCH(Q$1,'2018_commission_structure'!$A$1:$I$1,0)),0)</f>
        <v>31500</v>
      </c>
      <c r="R292" s="9">
        <f>IF($H292&gt;K292, MIN($H292-K292, L292-K292)*INDEX('2018_commission_structure'!$A$1:$I$4,MATCH($E292,'2018_commission_structure'!$A$1:$A$4,0),MATCH(R$1,'2018_commission_structure'!$A$1:$I$1,0)),0)</f>
        <v>40943.24</v>
      </c>
      <c r="S292" s="9">
        <f>IF(H292&gt;L292,(H292-L292)*INDEX('2018_commission_structure'!$A$1:$I$4,MATCH($E292,'2018_commission_structure'!$A$1:$A$4,0),MATCH(S$1,'2018_commission_structure'!$A$1:$I$1,0)),0)</f>
        <v>0</v>
      </c>
      <c r="T292" s="9">
        <f t="shared" si="46"/>
        <v>175943.24</v>
      </c>
      <c r="U292" s="9">
        <f t="shared" si="47"/>
        <v>252670.24</v>
      </c>
      <c r="V292" s="9">
        <f>MIN($I292,$H292)*INDEX('Key Metrics'!$E$16:$N$19,MATCH($E292,'Key Metrics'!$E$16:$E$19,0),MATCH(V$1,'Key Metrics'!$E$16:$M$16,0))</f>
        <v>90000</v>
      </c>
      <c r="W292" s="9">
        <f>IF($H292&gt;I292, MIN($H292-I292, J292-I292)*INDEX('Key Metrics'!$E$16:$N$19,MATCH($E292,'Key Metrics'!$E$16:$E$19,0),MATCH(W$1,'Key Metrics'!$E$16:$M$16,0)),0)</f>
        <v>27000</v>
      </c>
      <c r="X292" s="9">
        <f>IF($H292&gt;J292, MIN($H292-J292, K292-J292)*INDEX('Key Metrics'!$E$16:$N$19,MATCH($E292,'Key Metrics'!$E$16:$E$19,0),MATCH(X$1,'Key Metrics'!$E$16:$M$16,0)),0)</f>
        <v>37500</v>
      </c>
      <c r="Y292" s="9">
        <f>IF($H292&gt;K292, MIN($H292-K292, L292-K292)*INDEX('Key Metrics'!$E$16:$N$19,MATCH($E292,'Key Metrics'!$E$16:$E$19,0),MATCH(Y$1,'Key Metrics'!$E$16:$M$16,0)),0)</f>
        <v>47242.2</v>
      </c>
      <c r="Z292" s="9">
        <f>IF($H292&gt;L292,($H292-L292)*INDEX('Key Metrics'!$E$16:$N$19,MATCH($E292,'Key Metrics'!$E$16:$E$19,0),MATCH(Z$1,'Key Metrics'!$E$16:$M$16,0)),0)</f>
        <v>0</v>
      </c>
      <c r="AA292" s="9">
        <f t="shared" si="48"/>
        <v>201742.2</v>
      </c>
      <c r="AB292" s="9">
        <f t="shared" si="49"/>
        <v>201743.96245666669</v>
      </c>
    </row>
    <row r="293" spans="1:28" x14ac:dyDescent="0.55000000000000004">
      <c r="A293" t="str">
        <f t="shared" si="40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COUNTIF(deals_closed!$D$2:$D$20001,Calculations!B812)</f>
        <v>30</v>
      </c>
      <c r="H293" s="7">
        <f>SUMIF(deals_closed!$D:$D,Calculations!B812,deals_closed!$C:$C)</f>
        <v>892426</v>
      </c>
      <c r="I293" s="5">
        <f>VLOOKUP(E293,'2018_commission_structure'!$A$1:$I$4,9,FALSE)</f>
        <v>600000</v>
      </c>
      <c r="J293" s="9">
        <f t="shared" si="41"/>
        <v>750000</v>
      </c>
      <c r="K293" s="10">
        <f t="shared" si="42"/>
        <v>900000</v>
      </c>
      <c r="L293" s="9">
        <f t="shared" si="43"/>
        <v>1200000</v>
      </c>
      <c r="M293" s="8">
        <f t="shared" si="44"/>
        <v>1.4873766666666666</v>
      </c>
      <c r="N293" t="str">
        <f t="shared" si="45"/>
        <v>125-150%</v>
      </c>
      <c r="O293" s="9">
        <f>MIN($H293,$I293)*INDEX('2018_commission_structure'!$A$1:$I$4,MATCH($E293,'2018_commission_structure'!$A$1:$A$4,0),MATCH(O$1,'2018_commission_structure'!$A$1:$I$1,0))</f>
        <v>78000</v>
      </c>
      <c r="P293" s="9">
        <f>IF(H293&gt;I293, MIN(H293-I293, J293-I293)*INDEX('2018_commission_structure'!$A$1:$I$4,MATCH($E293,'2018_commission_structure'!$A$1:$A$4,0),MATCH(P$1,'2018_commission_structure'!$A$1:$I$1,0)),0)</f>
        <v>25500.000000000004</v>
      </c>
      <c r="Q293" s="9">
        <f>IF($H293&gt;J293, MIN($H293-J293, K293-J293)*INDEX('2018_commission_structure'!$A$1:$I$4,MATCH($E293,'2018_commission_structure'!$A$1:$A$4,0),MATCH(Q$1,'2018_commission_structure'!$A$1:$I$1,0)),0)</f>
        <v>29909.46</v>
      </c>
      <c r="R293" s="9">
        <f>IF($H293&gt;K293, MIN($H293-K293, L293-K293)*INDEX('2018_commission_structure'!$A$1:$I$4,MATCH($E293,'2018_commission_structure'!$A$1:$A$4,0),MATCH(R$1,'2018_commission_structure'!$A$1:$I$1,0)),0)</f>
        <v>0</v>
      </c>
      <c r="S293" s="9">
        <f>IF(H293&gt;L293,(H293-L293)*INDEX('2018_commission_structure'!$A$1:$I$4,MATCH($E293,'2018_commission_structure'!$A$1:$A$4,0),MATCH(S$1,'2018_commission_structure'!$A$1:$I$1,0)),0)</f>
        <v>0</v>
      </c>
      <c r="T293" s="9">
        <f t="shared" si="46"/>
        <v>133409.46</v>
      </c>
      <c r="U293" s="9">
        <f t="shared" si="47"/>
        <v>192662.46</v>
      </c>
      <c r="V293" s="9">
        <f>MIN($I293,$H293)*INDEX('Key Metrics'!$E$16:$N$19,MATCH($E293,'Key Metrics'!$E$16:$E$19,0),MATCH(V$1,'Key Metrics'!$E$16:$M$16,0))</f>
        <v>90000</v>
      </c>
      <c r="W293" s="9">
        <f>IF($H293&gt;I293, MIN($H293-I293, J293-I293)*INDEX('Key Metrics'!$E$16:$N$19,MATCH($E293,'Key Metrics'!$E$16:$E$19,0),MATCH(W$1,'Key Metrics'!$E$16:$M$16,0)),0)</f>
        <v>27000</v>
      </c>
      <c r="X293" s="9">
        <f>IF($H293&gt;J293, MIN($H293-J293, K293-J293)*INDEX('Key Metrics'!$E$16:$N$19,MATCH($E293,'Key Metrics'!$E$16:$E$19,0),MATCH(X$1,'Key Metrics'!$E$16:$M$16,0)),0)</f>
        <v>35606.5</v>
      </c>
      <c r="Y293" s="9">
        <f>IF($H293&gt;K293, MIN($H293-K293, L293-K293)*INDEX('Key Metrics'!$E$16:$N$19,MATCH($E293,'Key Metrics'!$E$16:$E$19,0),MATCH(Y$1,'Key Metrics'!$E$16:$M$16,0)),0)</f>
        <v>0</v>
      </c>
      <c r="Z293" s="9">
        <f>IF($H293&gt;L293,($H293-L293)*INDEX('Key Metrics'!$E$16:$N$19,MATCH($E293,'Key Metrics'!$E$16:$E$19,0),MATCH(Z$1,'Key Metrics'!$E$16:$M$16,0)),0)</f>
        <v>0</v>
      </c>
      <c r="AA293" s="9">
        <f t="shared" si="48"/>
        <v>152606.5</v>
      </c>
      <c r="AB293" s="9">
        <f t="shared" si="49"/>
        <v>152607.98737666666</v>
      </c>
    </row>
    <row r="294" spans="1:28" x14ac:dyDescent="0.55000000000000004">
      <c r="A294" t="str">
        <f t="shared" si="40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COUNTIF(deals_closed!$D$2:$D$20001,Calculations!B674)</f>
        <v>24</v>
      </c>
      <c r="H294" s="7">
        <f>SUMIF(deals_closed!$D:$D,Calculations!B674,deals_closed!$C:$C)</f>
        <v>772322</v>
      </c>
      <c r="I294" s="5">
        <f>VLOOKUP(E294,'2018_commission_structure'!$A$1:$I$4,9,FALSE)</f>
        <v>500000</v>
      </c>
      <c r="J294" s="9">
        <f t="shared" si="41"/>
        <v>625000</v>
      </c>
      <c r="K294" s="10">
        <f t="shared" si="42"/>
        <v>750000</v>
      </c>
      <c r="L294" s="9">
        <f t="shared" si="43"/>
        <v>1000000</v>
      </c>
      <c r="M294" s="8">
        <f t="shared" si="44"/>
        <v>1.5446439999999999</v>
      </c>
      <c r="N294" t="str">
        <f t="shared" si="45"/>
        <v>150-200%</v>
      </c>
      <c r="O294" s="9">
        <f>MIN($H294,$I294)*INDEX('2018_commission_structure'!$A$1:$I$4,MATCH($E294,'2018_commission_structure'!$A$1:$A$4,0),MATCH(O$1,'2018_commission_structure'!$A$1:$I$1,0))</f>
        <v>50000</v>
      </c>
      <c r="P294" s="9">
        <f>IF(H294&gt;I294, MIN(H294-I294, J294-I294)*INDEX('2018_commission_structure'!$A$1:$I$4,MATCH($E294,'2018_commission_structure'!$A$1:$A$4,0),MATCH(P$1,'2018_commission_structure'!$A$1:$I$1,0)),0)</f>
        <v>18750</v>
      </c>
      <c r="Q294" s="9">
        <f>IF($H294&gt;J294, MIN($H294-J294, K294-J294)*INDEX('2018_commission_structure'!$A$1:$I$4,MATCH($E294,'2018_commission_structure'!$A$1:$A$4,0),MATCH(Q$1,'2018_commission_structure'!$A$1:$I$1,0)),0)</f>
        <v>22500</v>
      </c>
      <c r="R294" s="9">
        <f>IF($H294&gt;K294, MIN($H294-K294, L294-K294)*INDEX('2018_commission_structure'!$A$1:$I$4,MATCH($E294,'2018_commission_structure'!$A$1:$A$4,0),MATCH(R$1,'2018_commission_structure'!$A$1:$I$1,0)),0)</f>
        <v>4910.84</v>
      </c>
      <c r="S294" s="9">
        <f>IF(H294&gt;L294,(H294-L294)*INDEX('2018_commission_structure'!$A$1:$I$4,MATCH($E294,'2018_commission_structure'!$A$1:$A$4,0),MATCH(S$1,'2018_commission_structure'!$A$1:$I$1,0)),0)</f>
        <v>0</v>
      </c>
      <c r="T294" s="9">
        <f t="shared" si="46"/>
        <v>96160.84</v>
      </c>
      <c r="U294" s="9">
        <f t="shared" si="47"/>
        <v>138411.84</v>
      </c>
      <c r="V294" s="9">
        <f>MIN($I294,$H294)*INDEX('Key Metrics'!$E$16:$N$19,MATCH($E294,'Key Metrics'!$E$16:$E$19,0),MATCH(V$1,'Key Metrics'!$E$16:$M$16,0))</f>
        <v>60000</v>
      </c>
      <c r="W294" s="9">
        <f>IF($H294&gt;I294, MIN($H294-I294, J294-I294)*INDEX('Key Metrics'!$E$16:$N$19,MATCH($E294,'Key Metrics'!$E$16:$E$19,0),MATCH(W$1,'Key Metrics'!$E$16:$M$16,0)),0)</f>
        <v>21250</v>
      </c>
      <c r="X294" s="9">
        <f>IF($H294&gt;J294, MIN($H294-J294, K294-J294)*INDEX('Key Metrics'!$E$16:$N$19,MATCH($E294,'Key Metrics'!$E$16:$E$19,0),MATCH(X$1,'Key Metrics'!$E$16:$M$16,0)),0)</f>
        <v>25000</v>
      </c>
      <c r="Y294" s="9">
        <f>IF($H294&gt;K294, MIN($H294-K294, L294-K294)*INDEX('Key Metrics'!$E$16:$N$19,MATCH($E294,'Key Metrics'!$E$16:$E$19,0),MATCH(Y$1,'Key Metrics'!$E$16:$M$16,0)),0)</f>
        <v>4910.84</v>
      </c>
      <c r="Z294" s="9">
        <f>IF($H294&gt;L294,($H294-L294)*INDEX('Key Metrics'!$E$16:$N$19,MATCH($E294,'Key Metrics'!$E$16:$E$19,0),MATCH(Z$1,'Key Metrics'!$E$16:$M$16,0)),0)</f>
        <v>0</v>
      </c>
      <c r="AA294" s="9">
        <f t="shared" si="48"/>
        <v>111160.84</v>
      </c>
      <c r="AB294" s="9">
        <f t="shared" si="49"/>
        <v>111162.38464399999</v>
      </c>
    </row>
    <row r="295" spans="1:28" x14ac:dyDescent="0.55000000000000004">
      <c r="A295" t="str">
        <f t="shared" si="40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COUNTIF(deals_closed!$D$2:$D$20001,Calculations!B118)</f>
        <v>20</v>
      </c>
      <c r="H295" s="7">
        <f>SUMIF(deals_closed!$D:$D,Calculations!B118,deals_closed!$C:$C)</f>
        <v>668595</v>
      </c>
      <c r="I295" s="5">
        <f>VLOOKUP(E295,'2018_commission_structure'!$A$1:$I$4,9,FALSE)</f>
        <v>750000</v>
      </c>
      <c r="J295" s="9">
        <f t="shared" si="41"/>
        <v>937500</v>
      </c>
      <c r="K295" s="10">
        <f t="shared" si="42"/>
        <v>1125000</v>
      </c>
      <c r="L295" s="9">
        <f t="shared" si="43"/>
        <v>1500000</v>
      </c>
      <c r="M295" s="8">
        <f t="shared" si="44"/>
        <v>0.89146000000000003</v>
      </c>
      <c r="N295" t="str">
        <f t="shared" si="45"/>
        <v>0-100%</v>
      </c>
      <c r="O295" s="9">
        <f>MIN($H295,$I295)*INDEX('2018_commission_structure'!$A$1:$I$4,MATCH($E295,'2018_commission_structure'!$A$1:$A$4,0),MATCH(O$1,'2018_commission_structure'!$A$1:$I$1,0))</f>
        <v>100289.25</v>
      </c>
      <c r="P295" s="9">
        <f>IF(H295&gt;I295, MIN(H295-I295, J295-I295)*INDEX('2018_commission_structure'!$A$1:$I$4,MATCH($E295,'2018_commission_structure'!$A$1:$A$4,0),MATCH(P$1,'2018_commission_structure'!$A$1:$I$1,0)),0)</f>
        <v>0</v>
      </c>
      <c r="Q295" s="9">
        <f>IF($H295&gt;J295, MIN($H295-J295, K295-J295)*INDEX('2018_commission_structure'!$A$1:$I$4,MATCH($E295,'2018_commission_structure'!$A$1:$A$4,0),MATCH(Q$1,'2018_commission_structure'!$A$1:$I$1,0)),0)</f>
        <v>0</v>
      </c>
      <c r="R295" s="9">
        <f>IF($H295&gt;K295, MIN($H295-K295, L295-K295)*INDEX('2018_commission_structure'!$A$1:$I$4,MATCH($E295,'2018_commission_structure'!$A$1:$A$4,0),MATCH(R$1,'2018_commission_structure'!$A$1:$I$1,0)),0)</f>
        <v>0</v>
      </c>
      <c r="S295" s="9">
        <f>IF(H295&gt;L295,(H295-L295)*INDEX('2018_commission_structure'!$A$1:$I$4,MATCH($E295,'2018_commission_structure'!$A$1:$A$4,0),MATCH(S$1,'2018_commission_structure'!$A$1:$I$1,0)),0)</f>
        <v>0</v>
      </c>
      <c r="T295" s="9">
        <f t="shared" si="46"/>
        <v>100289.25</v>
      </c>
      <c r="U295" s="9">
        <f t="shared" si="47"/>
        <v>213947.25</v>
      </c>
      <c r="V295" s="9">
        <f>MIN($I295,$H295)*INDEX('Key Metrics'!$E$16:$N$19,MATCH($E295,'Key Metrics'!$E$16:$E$19,0),MATCH(V$1,'Key Metrics'!$E$16:$M$16,0))</f>
        <v>100289.25</v>
      </c>
      <c r="W295" s="9">
        <f>IF($H295&gt;I295, MIN($H295-I295, J295-I295)*INDEX('Key Metrics'!$E$16:$N$19,MATCH($E295,'Key Metrics'!$E$16:$E$19,0),MATCH(W$1,'Key Metrics'!$E$16:$M$16,0)),0)</f>
        <v>0</v>
      </c>
      <c r="X295" s="9">
        <f>IF($H295&gt;J295, MIN($H295-J295, K295-J295)*INDEX('Key Metrics'!$E$16:$N$19,MATCH($E295,'Key Metrics'!$E$16:$E$19,0),MATCH(X$1,'Key Metrics'!$E$16:$M$16,0)),0)</f>
        <v>0</v>
      </c>
      <c r="Y295" s="9">
        <f>IF($H295&gt;K295, MIN($H295-K295, L295-K295)*INDEX('Key Metrics'!$E$16:$N$19,MATCH($E295,'Key Metrics'!$E$16:$E$19,0),MATCH(Y$1,'Key Metrics'!$E$16:$M$16,0)),0)</f>
        <v>0</v>
      </c>
      <c r="Z295" s="9">
        <f>IF($H295&gt;L295,($H295-L295)*INDEX('Key Metrics'!$E$16:$N$19,MATCH($E295,'Key Metrics'!$E$16:$E$19,0),MATCH(Z$1,'Key Metrics'!$E$16:$M$16,0)),0)</f>
        <v>0</v>
      </c>
      <c r="AA295" s="9">
        <f t="shared" si="48"/>
        <v>100289.25</v>
      </c>
      <c r="AB295" s="9">
        <f t="shared" si="49"/>
        <v>100290.14146</v>
      </c>
    </row>
    <row r="296" spans="1:28" x14ac:dyDescent="0.55000000000000004">
      <c r="A296" t="str">
        <f t="shared" si="40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COUNTIF(deals_closed!$D$2:$D$20001,Calculations!B698)</f>
        <v>23</v>
      </c>
      <c r="H296" s="7">
        <f>SUMIF(deals_closed!$D:$D,Calculations!B698,deals_closed!$C:$C)</f>
        <v>834217</v>
      </c>
      <c r="I296" s="5">
        <f>VLOOKUP(E296,'2018_commission_structure'!$A$1:$I$4,9,FALSE)</f>
        <v>600000</v>
      </c>
      <c r="J296" s="9">
        <f t="shared" si="41"/>
        <v>750000</v>
      </c>
      <c r="K296" s="10">
        <f t="shared" si="42"/>
        <v>900000</v>
      </c>
      <c r="L296" s="9">
        <f t="shared" si="43"/>
        <v>1200000</v>
      </c>
      <c r="M296" s="8">
        <f t="shared" si="44"/>
        <v>1.3903616666666667</v>
      </c>
      <c r="N296" t="str">
        <f t="shared" si="45"/>
        <v>125-150%</v>
      </c>
      <c r="O296" s="9">
        <f>MIN($H296,$I296)*INDEX('2018_commission_structure'!$A$1:$I$4,MATCH($E296,'2018_commission_structure'!$A$1:$A$4,0),MATCH(O$1,'2018_commission_structure'!$A$1:$I$1,0))</f>
        <v>78000</v>
      </c>
      <c r="P296" s="9">
        <f>IF(H296&gt;I296, MIN(H296-I296, J296-I296)*INDEX('2018_commission_structure'!$A$1:$I$4,MATCH($E296,'2018_commission_structure'!$A$1:$A$4,0),MATCH(P$1,'2018_commission_structure'!$A$1:$I$1,0)),0)</f>
        <v>25500.000000000004</v>
      </c>
      <c r="Q296" s="9">
        <f>IF($H296&gt;J296, MIN($H296-J296, K296-J296)*INDEX('2018_commission_structure'!$A$1:$I$4,MATCH($E296,'2018_commission_structure'!$A$1:$A$4,0),MATCH(Q$1,'2018_commission_structure'!$A$1:$I$1,0)),0)</f>
        <v>17685.57</v>
      </c>
      <c r="R296" s="9">
        <f>IF($H296&gt;K296, MIN($H296-K296, L296-K296)*INDEX('2018_commission_structure'!$A$1:$I$4,MATCH($E296,'2018_commission_structure'!$A$1:$A$4,0),MATCH(R$1,'2018_commission_structure'!$A$1:$I$1,0)),0)</f>
        <v>0</v>
      </c>
      <c r="S296" s="9">
        <f>IF(H296&gt;L296,(H296-L296)*INDEX('2018_commission_structure'!$A$1:$I$4,MATCH($E296,'2018_commission_structure'!$A$1:$A$4,0),MATCH(S$1,'2018_commission_structure'!$A$1:$I$1,0)),0)</f>
        <v>0</v>
      </c>
      <c r="T296" s="9">
        <f t="shared" si="46"/>
        <v>121185.57</v>
      </c>
      <c r="U296" s="9">
        <f t="shared" si="47"/>
        <v>175667.57</v>
      </c>
      <c r="V296" s="9">
        <f>MIN($I296,$H296)*INDEX('Key Metrics'!$E$16:$N$19,MATCH($E296,'Key Metrics'!$E$16:$E$19,0),MATCH(V$1,'Key Metrics'!$E$16:$M$16,0))</f>
        <v>90000</v>
      </c>
      <c r="W296" s="9">
        <f>IF($H296&gt;I296, MIN($H296-I296, J296-I296)*INDEX('Key Metrics'!$E$16:$N$19,MATCH($E296,'Key Metrics'!$E$16:$E$19,0),MATCH(W$1,'Key Metrics'!$E$16:$M$16,0)),0)</f>
        <v>27000</v>
      </c>
      <c r="X296" s="9">
        <f>IF($H296&gt;J296, MIN($H296-J296, K296-J296)*INDEX('Key Metrics'!$E$16:$N$19,MATCH($E296,'Key Metrics'!$E$16:$E$19,0),MATCH(X$1,'Key Metrics'!$E$16:$M$16,0)),0)</f>
        <v>21054.25</v>
      </c>
      <c r="Y296" s="9">
        <f>IF($H296&gt;K296, MIN($H296-K296, L296-K296)*INDEX('Key Metrics'!$E$16:$N$19,MATCH($E296,'Key Metrics'!$E$16:$E$19,0),MATCH(Y$1,'Key Metrics'!$E$16:$M$16,0)),0)</f>
        <v>0</v>
      </c>
      <c r="Z296" s="9">
        <f>IF($H296&gt;L296,($H296-L296)*INDEX('Key Metrics'!$E$16:$N$19,MATCH($E296,'Key Metrics'!$E$16:$E$19,0),MATCH(Z$1,'Key Metrics'!$E$16:$M$16,0)),0)</f>
        <v>0</v>
      </c>
      <c r="AA296" s="9">
        <f t="shared" si="48"/>
        <v>138054.25</v>
      </c>
      <c r="AB296" s="9">
        <f t="shared" si="49"/>
        <v>138055.64036166668</v>
      </c>
    </row>
    <row r="297" spans="1:28" x14ac:dyDescent="0.55000000000000004">
      <c r="A297" t="str">
        <f t="shared" si="40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COUNTIF(deals_closed!$D$2:$D$20001,Calculations!B744)</f>
        <v>18</v>
      </c>
      <c r="H297" s="7">
        <f>SUMIF(deals_closed!$D:$D,Calculations!B744,deals_closed!$C:$C)</f>
        <v>687708</v>
      </c>
      <c r="I297" s="5">
        <f>VLOOKUP(E297,'2018_commission_structure'!$A$1:$I$4,9,FALSE)</f>
        <v>600000</v>
      </c>
      <c r="J297" s="9">
        <f t="shared" si="41"/>
        <v>750000</v>
      </c>
      <c r="K297" s="10">
        <f t="shared" si="42"/>
        <v>900000</v>
      </c>
      <c r="L297" s="9">
        <f t="shared" si="43"/>
        <v>1200000</v>
      </c>
      <c r="M297" s="8">
        <f t="shared" si="44"/>
        <v>1.14618</v>
      </c>
      <c r="N297" t="str">
        <f t="shared" si="45"/>
        <v>100-125%</v>
      </c>
      <c r="O297" s="9">
        <f>MIN($H297,$I297)*INDEX('2018_commission_structure'!$A$1:$I$4,MATCH($E297,'2018_commission_structure'!$A$1:$A$4,0),MATCH(O$1,'2018_commission_structure'!$A$1:$I$1,0))</f>
        <v>78000</v>
      </c>
      <c r="P297" s="9">
        <f>IF(H297&gt;I297, MIN(H297-I297, J297-I297)*INDEX('2018_commission_structure'!$A$1:$I$4,MATCH($E297,'2018_commission_structure'!$A$1:$A$4,0),MATCH(P$1,'2018_commission_structure'!$A$1:$I$1,0)),0)</f>
        <v>14910.36</v>
      </c>
      <c r="Q297" s="9">
        <f>IF($H297&gt;J297, MIN($H297-J297, K297-J297)*INDEX('2018_commission_structure'!$A$1:$I$4,MATCH($E297,'2018_commission_structure'!$A$1:$A$4,0),MATCH(Q$1,'2018_commission_structure'!$A$1:$I$1,0)),0)</f>
        <v>0</v>
      </c>
      <c r="R297" s="9">
        <f>IF($H297&gt;K297, MIN($H297-K297, L297-K297)*INDEX('2018_commission_structure'!$A$1:$I$4,MATCH($E297,'2018_commission_structure'!$A$1:$A$4,0),MATCH(R$1,'2018_commission_structure'!$A$1:$I$1,0)),0)</f>
        <v>0</v>
      </c>
      <c r="S297" s="9">
        <f>IF(H297&gt;L297,(H297-L297)*INDEX('2018_commission_structure'!$A$1:$I$4,MATCH($E297,'2018_commission_structure'!$A$1:$A$4,0),MATCH(S$1,'2018_commission_structure'!$A$1:$I$1,0)),0)</f>
        <v>0</v>
      </c>
      <c r="T297" s="9">
        <f t="shared" si="46"/>
        <v>92910.36</v>
      </c>
      <c r="U297" s="9">
        <f t="shared" si="47"/>
        <v>157942.35999999999</v>
      </c>
      <c r="V297" s="9">
        <f>MIN($I297,$H297)*INDEX('Key Metrics'!$E$16:$N$19,MATCH($E297,'Key Metrics'!$E$16:$E$19,0),MATCH(V$1,'Key Metrics'!$E$16:$M$16,0))</f>
        <v>90000</v>
      </c>
      <c r="W297" s="9">
        <f>IF($H297&gt;I297, MIN($H297-I297, J297-I297)*INDEX('Key Metrics'!$E$16:$N$19,MATCH($E297,'Key Metrics'!$E$16:$E$19,0),MATCH(W$1,'Key Metrics'!$E$16:$M$16,0)),0)</f>
        <v>15787.439999999999</v>
      </c>
      <c r="X297" s="9">
        <f>IF($H297&gt;J297, MIN($H297-J297, K297-J297)*INDEX('Key Metrics'!$E$16:$N$19,MATCH($E297,'Key Metrics'!$E$16:$E$19,0),MATCH(X$1,'Key Metrics'!$E$16:$M$16,0)),0)</f>
        <v>0</v>
      </c>
      <c r="Y297" s="9">
        <f>IF($H297&gt;K297, MIN($H297-K297, L297-K297)*INDEX('Key Metrics'!$E$16:$N$19,MATCH($E297,'Key Metrics'!$E$16:$E$19,0),MATCH(Y$1,'Key Metrics'!$E$16:$M$16,0)),0)</f>
        <v>0</v>
      </c>
      <c r="Z297" s="9">
        <f>IF($H297&gt;L297,($H297-L297)*INDEX('Key Metrics'!$E$16:$N$19,MATCH($E297,'Key Metrics'!$E$16:$E$19,0),MATCH(Z$1,'Key Metrics'!$E$16:$M$16,0)),0)</f>
        <v>0</v>
      </c>
      <c r="AA297" s="9">
        <f t="shared" si="48"/>
        <v>105787.44</v>
      </c>
      <c r="AB297" s="9">
        <f t="shared" si="49"/>
        <v>105788.58618</v>
      </c>
    </row>
    <row r="298" spans="1:28" x14ac:dyDescent="0.55000000000000004">
      <c r="A298" t="str">
        <f t="shared" si="40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COUNTIF(deals_closed!$D$2:$D$20001,Calculations!B980)</f>
        <v>29</v>
      </c>
      <c r="H298" s="7">
        <f>SUMIF(deals_closed!$D:$D,Calculations!B980,deals_closed!$C:$C)</f>
        <v>1055102</v>
      </c>
      <c r="I298" s="5">
        <f>VLOOKUP(E298,'2018_commission_structure'!$A$1:$I$4,9,FALSE)</f>
        <v>750000</v>
      </c>
      <c r="J298" s="9">
        <f t="shared" si="41"/>
        <v>937500</v>
      </c>
      <c r="K298" s="10">
        <f t="shared" si="42"/>
        <v>1125000</v>
      </c>
      <c r="L298" s="9">
        <f t="shared" si="43"/>
        <v>1500000</v>
      </c>
      <c r="M298" s="8">
        <f t="shared" si="44"/>
        <v>1.4068026666666666</v>
      </c>
      <c r="N298" t="str">
        <f t="shared" si="45"/>
        <v>125-150%</v>
      </c>
      <c r="O298" s="9">
        <f>MIN($H298,$I298)*INDEX('2018_commission_structure'!$A$1:$I$4,MATCH($E298,'2018_commission_structure'!$A$1:$A$4,0),MATCH(O$1,'2018_commission_structure'!$A$1:$I$1,0))</f>
        <v>112500</v>
      </c>
      <c r="P298" s="9">
        <f>IF(H298&gt;I298, MIN(H298-I298, J298-I298)*INDEX('2018_commission_structure'!$A$1:$I$4,MATCH($E298,'2018_commission_structure'!$A$1:$A$4,0),MATCH(P$1,'2018_commission_structure'!$A$1:$I$1,0)),0)</f>
        <v>35625</v>
      </c>
      <c r="Q298" s="9">
        <f>IF($H298&gt;J298, MIN($H298-J298, K298-J298)*INDEX('2018_commission_structure'!$A$1:$I$4,MATCH($E298,'2018_commission_structure'!$A$1:$A$4,0),MATCH(Q$1,'2018_commission_structure'!$A$1:$I$1,0)),0)</f>
        <v>27048.460000000003</v>
      </c>
      <c r="R298" s="9">
        <f>IF($H298&gt;K298, MIN($H298-K298, L298-K298)*INDEX('2018_commission_structure'!$A$1:$I$4,MATCH($E298,'2018_commission_structure'!$A$1:$A$4,0),MATCH(R$1,'2018_commission_structure'!$A$1:$I$1,0)),0)</f>
        <v>0</v>
      </c>
      <c r="S298" s="9">
        <f>IF(H298&gt;L298,(H298-L298)*INDEX('2018_commission_structure'!$A$1:$I$4,MATCH($E298,'2018_commission_structure'!$A$1:$A$4,0),MATCH(S$1,'2018_commission_structure'!$A$1:$I$1,0)),0)</f>
        <v>0</v>
      </c>
      <c r="T298" s="9">
        <f t="shared" si="46"/>
        <v>175173.46</v>
      </c>
      <c r="U298" s="9">
        <f t="shared" si="47"/>
        <v>288510.45999999996</v>
      </c>
      <c r="V298" s="9">
        <f>MIN($I298,$H298)*INDEX('Key Metrics'!$E$16:$N$19,MATCH($E298,'Key Metrics'!$E$16:$E$19,0),MATCH(V$1,'Key Metrics'!$E$16:$M$16,0))</f>
        <v>112500</v>
      </c>
      <c r="W298" s="9">
        <f>IF($H298&gt;I298, MIN($H298-I298, J298-I298)*INDEX('Key Metrics'!$E$16:$N$19,MATCH($E298,'Key Metrics'!$E$16:$E$19,0),MATCH(W$1,'Key Metrics'!$E$16:$M$16,0)),0)</f>
        <v>41250</v>
      </c>
      <c r="X298" s="9">
        <f>IF($H298&gt;J298, MIN($H298-J298, K298-J298)*INDEX('Key Metrics'!$E$16:$N$19,MATCH($E298,'Key Metrics'!$E$16:$E$19,0),MATCH(X$1,'Key Metrics'!$E$16:$M$16,0)),0)</f>
        <v>29400.5</v>
      </c>
      <c r="Y298" s="9">
        <f>IF($H298&gt;K298, MIN($H298-K298, L298-K298)*INDEX('Key Metrics'!$E$16:$N$19,MATCH($E298,'Key Metrics'!$E$16:$E$19,0),MATCH(Y$1,'Key Metrics'!$E$16:$M$16,0)),0)</f>
        <v>0</v>
      </c>
      <c r="Z298" s="9">
        <f>IF($H298&gt;L298,($H298-L298)*INDEX('Key Metrics'!$E$16:$N$19,MATCH($E298,'Key Metrics'!$E$16:$E$19,0),MATCH(Z$1,'Key Metrics'!$E$16:$M$16,0)),0)</f>
        <v>0</v>
      </c>
      <c r="AA298" s="9">
        <f t="shared" si="48"/>
        <v>183150.5</v>
      </c>
      <c r="AB298" s="9">
        <f t="shared" si="49"/>
        <v>183151.90680266666</v>
      </c>
    </row>
    <row r="299" spans="1:28" x14ac:dyDescent="0.55000000000000004">
      <c r="A299" t="str">
        <f t="shared" si="40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COUNTIF(deals_closed!$D$2:$D$20001,Calculations!B21)</f>
        <v>18</v>
      </c>
      <c r="H299" s="7">
        <f>SUMIF(deals_closed!$D:$D,Calculations!B21,deals_closed!$C:$C)</f>
        <v>688820</v>
      </c>
      <c r="I299" s="5">
        <f>VLOOKUP(E299,'2018_commission_structure'!$A$1:$I$4,9,FALSE)</f>
        <v>500000</v>
      </c>
      <c r="J299" s="9">
        <f t="shared" si="41"/>
        <v>625000</v>
      </c>
      <c r="K299" s="10">
        <f t="shared" si="42"/>
        <v>750000</v>
      </c>
      <c r="L299" s="9">
        <f t="shared" si="43"/>
        <v>1000000</v>
      </c>
      <c r="M299" s="8">
        <f t="shared" si="44"/>
        <v>1.37764</v>
      </c>
      <c r="N299" t="str">
        <f t="shared" si="45"/>
        <v>125-150%</v>
      </c>
      <c r="O299" s="9">
        <f>MIN($H299,$I299)*INDEX('2018_commission_structure'!$A$1:$I$4,MATCH($E299,'2018_commission_structure'!$A$1:$A$4,0),MATCH(O$1,'2018_commission_structure'!$A$1:$I$1,0))</f>
        <v>50000</v>
      </c>
      <c r="P299" s="9">
        <f>IF(H299&gt;I299, MIN(H299-I299, J299-I299)*INDEX('2018_commission_structure'!$A$1:$I$4,MATCH($E299,'2018_commission_structure'!$A$1:$A$4,0),MATCH(P$1,'2018_commission_structure'!$A$1:$I$1,0)),0)</f>
        <v>18750</v>
      </c>
      <c r="Q299" s="9">
        <f>IF($H299&gt;J299, MIN($H299-J299, K299-J299)*INDEX('2018_commission_structure'!$A$1:$I$4,MATCH($E299,'2018_commission_structure'!$A$1:$A$4,0),MATCH(Q$1,'2018_commission_structure'!$A$1:$I$1,0)),0)</f>
        <v>11487.6</v>
      </c>
      <c r="R299" s="9">
        <f>IF($H299&gt;K299, MIN($H299-K299, L299-K299)*INDEX('2018_commission_structure'!$A$1:$I$4,MATCH($E299,'2018_commission_structure'!$A$1:$A$4,0),MATCH(R$1,'2018_commission_structure'!$A$1:$I$1,0)),0)</f>
        <v>0</v>
      </c>
      <c r="S299" s="9">
        <f>IF(H299&gt;L299,(H299-L299)*INDEX('2018_commission_structure'!$A$1:$I$4,MATCH($E299,'2018_commission_structure'!$A$1:$A$4,0),MATCH(S$1,'2018_commission_structure'!$A$1:$I$1,0)),0)</f>
        <v>0</v>
      </c>
      <c r="T299" s="9">
        <f t="shared" si="46"/>
        <v>80237.600000000006</v>
      </c>
      <c r="U299" s="9">
        <f t="shared" si="47"/>
        <v>139421.6</v>
      </c>
      <c r="V299" s="9">
        <f>MIN($I299,$H299)*INDEX('Key Metrics'!$E$16:$N$19,MATCH($E299,'Key Metrics'!$E$16:$E$19,0),MATCH(V$1,'Key Metrics'!$E$16:$M$16,0))</f>
        <v>60000</v>
      </c>
      <c r="W299" s="9">
        <f>IF($H299&gt;I299, MIN($H299-I299, J299-I299)*INDEX('Key Metrics'!$E$16:$N$19,MATCH($E299,'Key Metrics'!$E$16:$E$19,0),MATCH(W$1,'Key Metrics'!$E$16:$M$16,0)),0)</f>
        <v>21250</v>
      </c>
      <c r="X299" s="9">
        <f>IF($H299&gt;J299, MIN($H299-J299, K299-J299)*INDEX('Key Metrics'!$E$16:$N$19,MATCH($E299,'Key Metrics'!$E$16:$E$19,0),MATCH(X$1,'Key Metrics'!$E$16:$M$16,0)),0)</f>
        <v>12764</v>
      </c>
      <c r="Y299" s="9">
        <f>IF($H299&gt;K299, MIN($H299-K299, L299-K299)*INDEX('Key Metrics'!$E$16:$N$19,MATCH($E299,'Key Metrics'!$E$16:$E$19,0),MATCH(Y$1,'Key Metrics'!$E$16:$M$16,0)),0)</f>
        <v>0</v>
      </c>
      <c r="Z299" s="9">
        <f>IF($H299&gt;L299,($H299-L299)*INDEX('Key Metrics'!$E$16:$N$19,MATCH($E299,'Key Metrics'!$E$16:$E$19,0),MATCH(Z$1,'Key Metrics'!$E$16:$M$16,0)),0)</f>
        <v>0</v>
      </c>
      <c r="AA299" s="9">
        <f t="shared" si="48"/>
        <v>94014</v>
      </c>
      <c r="AB299" s="9">
        <f t="shared" si="49"/>
        <v>94015.377640000006</v>
      </c>
    </row>
    <row r="300" spans="1:28" x14ac:dyDescent="0.55000000000000004">
      <c r="A300" t="str">
        <f t="shared" si="40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COUNTIF(deals_closed!$D$2:$D$20001,Calculations!B506)</f>
        <v>15</v>
      </c>
      <c r="H300" s="7">
        <f>SUMIF(deals_closed!$D:$D,Calculations!B506,deals_closed!$C:$C)</f>
        <v>618982</v>
      </c>
      <c r="I300" s="5">
        <f>VLOOKUP(E300,'2018_commission_structure'!$A$1:$I$4,9,FALSE)</f>
        <v>750000</v>
      </c>
      <c r="J300" s="9">
        <f t="shared" si="41"/>
        <v>937500</v>
      </c>
      <c r="K300" s="10">
        <f t="shared" si="42"/>
        <v>1125000</v>
      </c>
      <c r="L300" s="9">
        <f t="shared" si="43"/>
        <v>1500000</v>
      </c>
      <c r="M300" s="8">
        <f t="shared" si="44"/>
        <v>0.82530933333333334</v>
      </c>
      <c r="N300" t="str">
        <f t="shared" si="45"/>
        <v>0-100%</v>
      </c>
      <c r="O300" s="9">
        <f>MIN($H300,$I300)*INDEX('2018_commission_structure'!$A$1:$I$4,MATCH($E300,'2018_commission_structure'!$A$1:$A$4,0),MATCH(O$1,'2018_commission_structure'!$A$1:$I$1,0))</f>
        <v>92847.3</v>
      </c>
      <c r="P300" s="9">
        <f>IF(H300&gt;I300, MIN(H300-I300, J300-I300)*INDEX('2018_commission_structure'!$A$1:$I$4,MATCH($E300,'2018_commission_structure'!$A$1:$A$4,0),MATCH(P$1,'2018_commission_structure'!$A$1:$I$1,0)),0)</f>
        <v>0</v>
      </c>
      <c r="Q300" s="9">
        <f>IF($H300&gt;J300, MIN($H300-J300, K300-J300)*INDEX('2018_commission_structure'!$A$1:$I$4,MATCH($E300,'2018_commission_structure'!$A$1:$A$4,0),MATCH(Q$1,'2018_commission_structure'!$A$1:$I$1,0)),0)</f>
        <v>0</v>
      </c>
      <c r="R300" s="9">
        <f>IF($H300&gt;K300, MIN($H300-K300, L300-K300)*INDEX('2018_commission_structure'!$A$1:$I$4,MATCH($E300,'2018_commission_structure'!$A$1:$A$4,0),MATCH(R$1,'2018_commission_structure'!$A$1:$I$1,0)),0)</f>
        <v>0</v>
      </c>
      <c r="S300" s="9">
        <f>IF(H300&gt;L300,(H300-L300)*INDEX('2018_commission_structure'!$A$1:$I$4,MATCH($E300,'2018_commission_structure'!$A$1:$A$4,0),MATCH(S$1,'2018_commission_structure'!$A$1:$I$1,0)),0)</f>
        <v>0</v>
      </c>
      <c r="T300" s="9">
        <f t="shared" si="46"/>
        <v>92847.3</v>
      </c>
      <c r="U300" s="9">
        <f t="shared" si="47"/>
        <v>212247.3</v>
      </c>
      <c r="V300" s="9">
        <f>MIN($I300,$H300)*INDEX('Key Metrics'!$E$16:$N$19,MATCH($E300,'Key Metrics'!$E$16:$E$19,0),MATCH(V$1,'Key Metrics'!$E$16:$M$16,0))</f>
        <v>92847.3</v>
      </c>
      <c r="W300" s="9">
        <f>IF($H300&gt;I300, MIN($H300-I300, J300-I300)*INDEX('Key Metrics'!$E$16:$N$19,MATCH($E300,'Key Metrics'!$E$16:$E$19,0),MATCH(W$1,'Key Metrics'!$E$16:$M$16,0)),0)</f>
        <v>0</v>
      </c>
      <c r="X300" s="9">
        <f>IF($H300&gt;J300, MIN($H300-J300, K300-J300)*INDEX('Key Metrics'!$E$16:$N$19,MATCH($E300,'Key Metrics'!$E$16:$E$19,0),MATCH(X$1,'Key Metrics'!$E$16:$M$16,0)),0)</f>
        <v>0</v>
      </c>
      <c r="Y300" s="9">
        <f>IF($H300&gt;K300, MIN($H300-K300, L300-K300)*INDEX('Key Metrics'!$E$16:$N$19,MATCH($E300,'Key Metrics'!$E$16:$E$19,0),MATCH(Y$1,'Key Metrics'!$E$16:$M$16,0)),0)</f>
        <v>0</v>
      </c>
      <c r="Z300" s="9">
        <f>IF($H300&gt;L300,($H300-L300)*INDEX('Key Metrics'!$E$16:$N$19,MATCH($E300,'Key Metrics'!$E$16:$E$19,0),MATCH(Z$1,'Key Metrics'!$E$16:$M$16,0)),0)</f>
        <v>0</v>
      </c>
      <c r="AA300" s="9">
        <f t="shared" si="48"/>
        <v>92847.3</v>
      </c>
      <c r="AB300" s="9">
        <f t="shared" si="49"/>
        <v>92848.125309333336</v>
      </c>
    </row>
    <row r="301" spans="1:28" x14ac:dyDescent="0.55000000000000004">
      <c r="A301" t="str">
        <f t="shared" si="40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COUNTIF(deals_closed!$D$2:$D$20001,Calculations!B98)</f>
        <v>35</v>
      </c>
      <c r="H301" s="7">
        <f>SUMIF(deals_closed!$D:$D,Calculations!B98,deals_closed!$C:$C)</f>
        <v>1230202</v>
      </c>
      <c r="I301" s="5">
        <f>VLOOKUP(E301,'2018_commission_structure'!$A$1:$I$4,9,FALSE)</f>
        <v>600000</v>
      </c>
      <c r="J301" s="9">
        <f t="shared" si="41"/>
        <v>750000</v>
      </c>
      <c r="K301" s="10">
        <f t="shared" si="42"/>
        <v>900000</v>
      </c>
      <c r="L301" s="9">
        <f t="shared" si="43"/>
        <v>1200000</v>
      </c>
      <c r="M301" s="8">
        <f t="shared" si="44"/>
        <v>2.0503366666666665</v>
      </c>
      <c r="N301" t="str">
        <f t="shared" si="45"/>
        <v>&gt;200%</v>
      </c>
      <c r="O301" s="9">
        <f>MIN($H301,$I301)*INDEX('2018_commission_structure'!$A$1:$I$4,MATCH($E301,'2018_commission_structure'!$A$1:$A$4,0),MATCH(O$1,'2018_commission_structure'!$A$1:$I$1,0))</f>
        <v>78000</v>
      </c>
      <c r="P301" s="9">
        <f>IF(H301&gt;I301, MIN(H301-I301, J301-I301)*INDEX('2018_commission_structure'!$A$1:$I$4,MATCH($E301,'2018_commission_structure'!$A$1:$A$4,0),MATCH(P$1,'2018_commission_structure'!$A$1:$I$1,0)),0)</f>
        <v>25500.000000000004</v>
      </c>
      <c r="Q301" s="9">
        <f>IF($H301&gt;J301, MIN($H301-J301, K301-J301)*INDEX('2018_commission_structure'!$A$1:$I$4,MATCH($E301,'2018_commission_structure'!$A$1:$A$4,0),MATCH(Q$1,'2018_commission_structure'!$A$1:$I$1,0)),0)</f>
        <v>31500</v>
      </c>
      <c r="R301" s="9">
        <f>IF($H301&gt;K301, MIN($H301-K301, L301-K301)*INDEX('2018_commission_structure'!$A$1:$I$4,MATCH($E301,'2018_commission_structure'!$A$1:$A$4,0),MATCH(R$1,'2018_commission_structure'!$A$1:$I$1,0)),0)</f>
        <v>78000</v>
      </c>
      <c r="S301" s="9">
        <f>IF(H301&gt;L301,(H301-L301)*INDEX('2018_commission_structure'!$A$1:$I$4,MATCH($E301,'2018_commission_structure'!$A$1:$A$4,0),MATCH(S$1,'2018_commission_structure'!$A$1:$I$1,0)),0)</f>
        <v>3926.26</v>
      </c>
      <c r="T301" s="9">
        <f t="shared" si="46"/>
        <v>216926.26</v>
      </c>
      <c r="U301" s="9">
        <f t="shared" si="47"/>
        <v>273581.26</v>
      </c>
      <c r="V301" s="9">
        <f>MIN($I301,$H301)*INDEX('Key Metrics'!$E$16:$N$19,MATCH($E301,'Key Metrics'!$E$16:$E$19,0),MATCH(V$1,'Key Metrics'!$E$16:$M$16,0))</f>
        <v>90000</v>
      </c>
      <c r="W301" s="9">
        <f>IF($H301&gt;I301, MIN($H301-I301, J301-I301)*INDEX('Key Metrics'!$E$16:$N$19,MATCH($E301,'Key Metrics'!$E$16:$E$19,0),MATCH(W$1,'Key Metrics'!$E$16:$M$16,0)),0)</f>
        <v>27000</v>
      </c>
      <c r="X301" s="9">
        <f>IF($H301&gt;J301, MIN($H301-J301, K301-J301)*INDEX('Key Metrics'!$E$16:$N$19,MATCH($E301,'Key Metrics'!$E$16:$E$19,0),MATCH(X$1,'Key Metrics'!$E$16:$M$16,0)),0)</f>
        <v>37500</v>
      </c>
      <c r="Y301" s="9">
        <f>IF($H301&gt;K301, MIN($H301-K301, L301-K301)*INDEX('Key Metrics'!$E$16:$N$19,MATCH($E301,'Key Metrics'!$E$16:$E$19,0),MATCH(Y$1,'Key Metrics'!$E$16:$M$16,0)),0)</f>
        <v>90000</v>
      </c>
      <c r="Z301" s="9">
        <f>IF($H301&gt;L301,($H301-L301)*INDEX('Key Metrics'!$E$16:$N$19,MATCH($E301,'Key Metrics'!$E$16:$E$19,0),MATCH(Z$1,'Key Metrics'!$E$16:$M$16,0)),0)</f>
        <v>3926.26</v>
      </c>
      <c r="AA301" s="9">
        <f t="shared" si="48"/>
        <v>248426.26</v>
      </c>
      <c r="AB301" s="9">
        <f t="shared" si="49"/>
        <v>248428.31033666668</v>
      </c>
    </row>
    <row r="302" spans="1:28" x14ac:dyDescent="0.55000000000000004">
      <c r="A302" t="str">
        <f t="shared" si="40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COUNTIF(deals_closed!$D$2:$D$20001,Calculations!B492)</f>
        <v>23</v>
      </c>
      <c r="H302" s="7">
        <f>SUMIF(deals_closed!$D:$D,Calculations!B492,deals_closed!$C:$C)</f>
        <v>739933</v>
      </c>
      <c r="I302" s="5">
        <f>VLOOKUP(E302,'2018_commission_structure'!$A$1:$I$4,9,FALSE)</f>
        <v>750000</v>
      </c>
      <c r="J302" s="9">
        <f t="shared" si="41"/>
        <v>937500</v>
      </c>
      <c r="K302" s="10">
        <f t="shared" si="42"/>
        <v>1125000</v>
      </c>
      <c r="L302" s="9">
        <f t="shared" si="43"/>
        <v>1500000</v>
      </c>
      <c r="M302" s="8">
        <f t="shared" si="44"/>
        <v>0.98657733333333331</v>
      </c>
      <c r="N302" t="str">
        <f t="shared" si="45"/>
        <v>0-100%</v>
      </c>
      <c r="O302" s="9">
        <f>MIN($H302,$I302)*INDEX('2018_commission_structure'!$A$1:$I$4,MATCH($E302,'2018_commission_structure'!$A$1:$A$4,0),MATCH(O$1,'2018_commission_structure'!$A$1:$I$1,0))</f>
        <v>110989.95</v>
      </c>
      <c r="P302" s="9">
        <f>IF(H302&gt;I302, MIN(H302-I302, J302-I302)*INDEX('2018_commission_structure'!$A$1:$I$4,MATCH($E302,'2018_commission_structure'!$A$1:$A$4,0),MATCH(P$1,'2018_commission_structure'!$A$1:$I$1,0)),0)</f>
        <v>0</v>
      </c>
      <c r="Q302" s="9">
        <f>IF($H302&gt;J302, MIN($H302-J302, K302-J302)*INDEX('2018_commission_structure'!$A$1:$I$4,MATCH($E302,'2018_commission_structure'!$A$1:$A$4,0),MATCH(Q$1,'2018_commission_structure'!$A$1:$I$1,0)),0)</f>
        <v>0</v>
      </c>
      <c r="R302" s="9">
        <f>IF($H302&gt;K302, MIN($H302-K302, L302-K302)*INDEX('2018_commission_structure'!$A$1:$I$4,MATCH($E302,'2018_commission_structure'!$A$1:$A$4,0),MATCH(R$1,'2018_commission_structure'!$A$1:$I$1,0)),0)</f>
        <v>0</v>
      </c>
      <c r="S302" s="9">
        <f>IF(H302&gt;L302,(H302-L302)*INDEX('2018_commission_structure'!$A$1:$I$4,MATCH($E302,'2018_commission_structure'!$A$1:$A$4,0),MATCH(S$1,'2018_commission_structure'!$A$1:$I$1,0)),0)</f>
        <v>0</v>
      </c>
      <c r="T302" s="9">
        <f t="shared" si="46"/>
        <v>110989.95</v>
      </c>
      <c r="U302" s="9">
        <f t="shared" si="47"/>
        <v>219369.95</v>
      </c>
      <c r="V302" s="9">
        <f>MIN($I302,$H302)*INDEX('Key Metrics'!$E$16:$N$19,MATCH($E302,'Key Metrics'!$E$16:$E$19,0),MATCH(V$1,'Key Metrics'!$E$16:$M$16,0))</f>
        <v>110989.95</v>
      </c>
      <c r="W302" s="9">
        <f>IF($H302&gt;I302, MIN($H302-I302, J302-I302)*INDEX('Key Metrics'!$E$16:$N$19,MATCH($E302,'Key Metrics'!$E$16:$E$19,0),MATCH(W$1,'Key Metrics'!$E$16:$M$16,0)),0)</f>
        <v>0</v>
      </c>
      <c r="X302" s="9">
        <f>IF($H302&gt;J302, MIN($H302-J302, K302-J302)*INDEX('Key Metrics'!$E$16:$N$19,MATCH($E302,'Key Metrics'!$E$16:$E$19,0),MATCH(X$1,'Key Metrics'!$E$16:$M$16,0)),0)</f>
        <v>0</v>
      </c>
      <c r="Y302" s="9">
        <f>IF($H302&gt;K302, MIN($H302-K302, L302-K302)*INDEX('Key Metrics'!$E$16:$N$19,MATCH($E302,'Key Metrics'!$E$16:$E$19,0),MATCH(Y$1,'Key Metrics'!$E$16:$M$16,0)),0)</f>
        <v>0</v>
      </c>
      <c r="Z302" s="9">
        <f>IF($H302&gt;L302,($H302-L302)*INDEX('Key Metrics'!$E$16:$N$19,MATCH($E302,'Key Metrics'!$E$16:$E$19,0),MATCH(Z$1,'Key Metrics'!$E$16:$M$16,0)),0)</f>
        <v>0</v>
      </c>
      <c r="AA302" s="9">
        <f t="shared" si="48"/>
        <v>110989.95</v>
      </c>
      <c r="AB302" s="9">
        <f t="shared" si="49"/>
        <v>110990.93657733333</v>
      </c>
    </row>
    <row r="303" spans="1:28" x14ac:dyDescent="0.55000000000000004">
      <c r="A303" t="str">
        <f t="shared" si="40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COUNTIF(deals_closed!$D$2:$D$20001,Calculations!B954)</f>
        <v>20</v>
      </c>
      <c r="H303" s="7">
        <f>SUMIF(deals_closed!$D:$D,Calculations!B954,deals_closed!$C:$C)</f>
        <v>653236</v>
      </c>
      <c r="I303" s="5">
        <f>VLOOKUP(E303,'2018_commission_structure'!$A$1:$I$4,9,FALSE)</f>
        <v>500000</v>
      </c>
      <c r="J303" s="9">
        <f t="shared" si="41"/>
        <v>625000</v>
      </c>
      <c r="K303" s="10">
        <f t="shared" si="42"/>
        <v>750000</v>
      </c>
      <c r="L303" s="9">
        <f t="shared" si="43"/>
        <v>1000000</v>
      </c>
      <c r="M303" s="8">
        <f t="shared" si="44"/>
        <v>1.3064720000000001</v>
      </c>
      <c r="N303" t="str">
        <f t="shared" si="45"/>
        <v>125-150%</v>
      </c>
      <c r="O303" s="9">
        <f>MIN($H303,$I303)*INDEX('2018_commission_structure'!$A$1:$I$4,MATCH($E303,'2018_commission_structure'!$A$1:$A$4,0),MATCH(O$1,'2018_commission_structure'!$A$1:$I$1,0))</f>
        <v>50000</v>
      </c>
      <c r="P303" s="9">
        <f>IF(H303&gt;I303, MIN(H303-I303, J303-I303)*INDEX('2018_commission_structure'!$A$1:$I$4,MATCH($E303,'2018_commission_structure'!$A$1:$A$4,0),MATCH(P$1,'2018_commission_structure'!$A$1:$I$1,0)),0)</f>
        <v>18750</v>
      </c>
      <c r="Q303" s="9">
        <f>IF($H303&gt;J303, MIN($H303-J303, K303-J303)*INDEX('2018_commission_structure'!$A$1:$I$4,MATCH($E303,'2018_commission_structure'!$A$1:$A$4,0),MATCH(Q$1,'2018_commission_structure'!$A$1:$I$1,0)),0)</f>
        <v>5082.4799999999996</v>
      </c>
      <c r="R303" s="9">
        <f>IF($H303&gt;K303, MIN($H303-K303, L303-K303)*INDEX('2018_commission_structure'!$A$1:$I$4,MATCH($E303,'2018_commission_structure'!$A$1:$A$4,0),MATCH(R$1,'2018_commission_structure'!$A$1:$I$1,0)),0)</f>
        <v>0</v>
      </c>
      <c r="S303" s="9">
        <f>IF(H303&gt;L303,(H303-L303)*INDEX('2018_commission_structure'!$A$1:$I$4,MATCH($E303,'2018_commission_structure'!$A$1:$A$4,0),MATCH(S$1,'2018_commission_structure'!$A$1:$I$1,0)),0)</f>
        <v>0</v>
      </c>
      <c r="T303" s="9">
        <f t="shared" si="46"/>
        <v>73832.479999999996</v>
      </c>
      <c r="U303" s="9">
        <f t="shared" si="47"/>
        <v>125146.48</v>
      </c>
      <c r="V303" s="9">
        <f>MIN($I303,$H303)*INDEX('Key Metrics'!$E$16:$N$19,MATCH($E303,'Key Metrics'!$E$16:$E$19,0),MATCH(V$1,'Key Metrics'!$E$16:$M$16,0))</f>
        <v>60000</v>
      </c>
      <c r="W303" s="9">
        <f>IF($H303&gt;I303, MIN($H303-I303, J303-I303)*INDEX('Key Metrics'!$E$16:$N$19,MATCH($E303,'Key Metrics'!$E$16:$E$19,0),MATCH(W$1,'Key Metrics'!$E$16:$M$16,0)),0)</f>
        <v>21250</v>
      </c>
      <c r="X303" s="9">
        <f>IF($H303&gt;J303, MIN($H303-J303, K303-J303)*INDEX('Key Metrics'!$E$16:$N$19,MATCH($E303,'Key Metrics'!$E$16:$E$19,0),MATCH(X$1,'Key Metrics'!$E$16:$M$16,0)),0)</f>
        <v>5647.2000000000007</v>
      </c>
      <c r="Y303" s="9">
        <f>IF($H303&gt;K303, MIN($H303-K303, L303-K303)*INDEX('Key Metrics'!$E$16:$N$19,MATCH($E303,'Key Metrics'!$E$16:$E$19,0),MATCH(Y$1,'Key Metrics'!$E$16:$M$16,0)),0)</f>
        <v>0</v>
      </c>
      <c r="Z303" s="9">
        <f>IF($H303&gt;L303,($H303-L303)*INDEX('Key Metrics'!$E$16:$N$19,MATCH($E303,'Key Metrics'!$E$16:$E$19,0),MATCH(Z$1,'Key Metrics'!$E$16:$M$16,0)),0)</f>
        <v>0</v>
      </c>
      <c r="AA303" s="9">
        <f t="shared" si="48"/>
        <v>86897.2</v>
      </c>
      <c r="AB303" s="9">
        <f t="shared" si="49"/>
        <v>86898.506471999994</v>
      </c>
    </row>
    <row r="304" spans="1:28" x14ac:dyDescent="0.55000000000000004">
      <c r="A304" t="str">
        <f t="shared" si="40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COUNTIF(deals_closed!$D$2:$D$20001,Calculations!B462)</f>
        <v>19</v>
      </c>
      <c r="H304" s="7">
        <f>SUMIF(deals_closed!$D:$D,Calculations!B462,deals_closed!$C:$C)</f>
        <v>664840</v>
      </c>
      <c r="I304" s="5">
        <f>VLOOKUP(E304,'2018_commission_structure'!$A$1:$I$4,9,FALSE)</f>
        <v>600000</v>
      </c>
      <c r="J304" s="9">
        <f t="shared" si="41"/>
        <v>750000</v>
      </c>
      <c r="K304" s="10">
        <f t="shared" si="42"/>
        <v>900000</v>
      </c>
      <c r="L304" s="9">
        <f t="shared" si="43"/>
        <v>1200000</v>
      </c>
      <c r="M304" s="8">
        <f t="shared" si="44"/>
        <v>1.1080666666666668</v>
      </c>
      <c r="N304" t="str">
        <f t="shared" si="45"/>
        <v>100-125%</v>
      </c>
      <c r="O304" s="9">
        <f>MIN($H304,$I304)*INDEX('2018_commission_structure'!$A$1:$I$4,MATCH($E304,'2018_commission_structure'!$A$1:$A$4,0),MATCH(O$1,'2018_commission_structure'!$A$1:$I$1,0))</f>
        <v>78000</v>
      </c>
      <c r="P304" s="9">
        <f>IF(H304&gt;I304, MIN(H304-I304, J304-I304)*INDEX('2018_commission_structure'!$A$1:$I$4,MATCH($E304,'2018_commission_structure'!$A$1:$A$4,0),MATCH(P$1,'2018_commission_structure'!$A$1:$I$1,0)),0)</f>
        <v>11022.800000000001</v>
      </c>
      <c r="Q304" s="9">
        <f>IF($H304&gt;J304, MIN($H304-J304, K304-J304)*INDEX('2018_commission_structure'!$A$1:$I$4,MATCH($E304,'2018_commission_structure'!$A$1:$A$4,0),MATCH(Q$1,'2018_commission_structure'!$A$1:$I$1,0)),0)</f>
        <v>0</v>
      </c>
      <c r="R304" s="9">
        <f>IF($H304&gt;K304, MIN($H304-K304, L304-K304)*INDEX('2018_commission_structure'!$A$1:$I$4,MATCH($E304,'2018_commission_structure'!$A$1:$A$4,0),MATCH(R$1,'2018_commission_structure'!$A$1:$I$1,0)),0)</f>
        <v>0</v>
      </c>
      <c r="S304" s="9">
        <f>IF(H304&gt;L304,(H304-L304)*INDEX('2018_commission_structure'!$A$1:$I$4,MATCH($E304,'2018_commission_structure'!$A$1:$A$4,0),MATCH(S$1,'2018_commission_structure'!$A$1:$I$1,0)),0)</f>
        <v>0</v>
      </c>
      <c r="T304" s="9">
        <f t="shared" si="46"/>
        <v>89022.8</v>
      </c>
      <c r="U304" s="9">
        <f t="shared" si="47"/>
        <v>166387.79999999999</v>
      </c>
      <c r="V304" s="9">
        <f>MIN($I304,$H304)*INDEX('Key Metrics'!$E$16:$N$19,MATCH($E304,'Key Metrics'!$E$16:$E$19,0),MATCH(V$1,'Key Metrics'!$E$16:$M$16,0))</f>
        <v>90000</v>
      </c>
      <c r="W304" s="9">
        <f>IF($H304&gt;I304, MIN($H304-I304, J304-I304)*INDEX('Key Metrics'!$E$16:$N$19,MATCH($E304,'Key Metrics'!$E$16:$E$19,0),MATCH(W$1,'Key Metrics'!$E$16:$M$16,0)),0)</f>
        <v>11671.199999999999</v>
      </c>
      <c r="X304" s="9">
        <f>IF($H304&gt;J304, MIN($H304-J304, K304-J304)*INDEX('Key Metrics'!$E$16:$N$19,MATCH($E304,'Key Metrics'!$E$16:$E$19,0),MATCH(X$1,'Key Metrics'!$E$16:$M$16,0)),0)</f>
        <v>0</v>
      </c>
      <c r="Y304" s="9">
        <f>IF($H304&gt;K304, MIN($H304-K304, L304-K304)*INDEX('Key Metrics'!$E$16:$N$19,MATCH($E304,'Key Metrics'!$E$16:$E$19,0),MATCH(Y$1,'Key Metrics'!$E$16:$M$16,0)),0)</f>
        <v>0</v>
      </c>
      <c r="Z304" s="9">
        <f>IF($H304&gt;L304,($H304-L304)*INDEX('Key Metrics'!$E$16:$N$19,MATCH($E304,'Key Metrics'!$E$16:$E$19,0),MATCH(Z$1,'Key Metrics'!$E$16:$M$16,0)),0)</f>
        <v>0</v>
      </c>
      <c r="AA304" s="9">
        <f t="shared" si="48"/>
        <v>101671.2</v>
      </c>
      <c r="AB304" s="9">
        <f t="shared" si="49"/>
        <v>101672.30806666666</v>
      </c>
    </row>
    <row r="305" spans="1:28" x14ac:dyDescent="0.55000000000000004">
      <c r="A305" t="str">
        <f t="shared" si="40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COUNTIF(deals_closed!$D$2:$D$20001,Calculations!B239)</f>
        <v>27</v>
      </c>
      <c r="H305" s="7">
        <f>SUMIF(deals_closed!$D:$D,Calculations!B239,deals_closed!$C:$C)</f>
        <v>942255</v>
      </c>
      <c r="I305" s="5">
        <f>VLOOKUP(E305,'2018_commission_structure'!$A$1:$I$4,9,FALSE)</f>
        <v>750000</v>
      </c>
      <c r="J305" s="9">
        <f t="shared" si="41"/>
        <v>937500</v>
      </c>
      <c r="K305" s="10">
        <f t="shared" si="42"/>
        <v>1125000</v>
      </c>
      <c r="L305" s="9">
        <f t="shared" si="43"/>
        <v>1500000</v>
      </c>
      <c r="M305" s="8">
        <f t="shared" si="44"/>
        <v>1.25634</v>
      </c>
      <c r="N305" t="str">
        <f t="shared" si="45"/>
        <v>125-150%</v>
      </c>
      <c r="O305" s="9">
        <f>MIN($H305,$I305)*INDEX('2018_commission_structure'!$A$1:$I$4,MATCH($E305,'2018_commission_structure'!$A$1:$A$4,0),MATCH(O$1,'2018_commission_structure'!$A$1:$I$1,0))</f>
        <v>112500</v>
      </c>
      <c r="P305" s="9">
        <f>IF(H305&gt;I305, MIN(H305-I305, J305-I305)*INDEX('2018_commission_structure'!$A$1:$I$4,MATCH($E305,'2018_commission_structure'!$A$1:$A$4,0),MATCH(P$1,'2018_commission_structure'!$A$1:$I$1,0)),0)</f>
        <v>35625</v>
      </c>
      <c r="Q305" s="9">
        <f>IF($H305&gt;J305, MIN($H305-J305, K305-J305)*INDEX('2018_commission_structure'!$A$1:$I$4,MATCH($E305,'2018_commission_structure'!$A$1:$A$4,0),MATCH(Q$1,'2018_commission_structure'!$A$1:$I$1,0)),0)</f>
        <v>1093.6500000000001</v>
      </c>
      <c r="R305" s="9">
        <f>IF($H305&gt;K305, MIN($H305-K305, L305-K305)*INDEX('2018_commission_structure'!$A$1:$I$4,MATCH($E305,'2018_commission_structure'!$A$1:$A$4,0),MATCH(R$1,'2018_commission_structure'!$A$1:$I$1,0)),0)</f>
        <v>0</v>
      </c>
      <c r="S305" s="9">
        <f>IF(H305&gt;L305,(H305-L305)*INDEX('2018_commission_structure'!$A$1:$I$4,MATCH($E305,'2018_commission_structure'!$A$1:$A$4,0),MATCH(S$1,'2018_commission_structure'!$A$1:$I$1,0)),0)</f>
        <v>0</v>
      </c>
      <c r="T305" s="9">
        <f t="shared" si="46"/>
        <v>149218.65</v>
      </c>
      <c r="U305" s="9">
        <f t="shared" si="47"/>
        <v>233278.65</v>
      </c>
      <c r="V305" s="9">
        <f>MIN($I305,$H305)*INDEX('Key Metrics'!$E$16:$N$19,MATCH($E305,'Key Metrics'!$E$16:$E$19,0),MATCH(V$1,'Key Metrics'!$E$16:$M$16,0))</f>
        <v>112500</v>
      </c>
      <c r="W305" s="9">
        <f>IF($H305&gt;I305, MIN($H305-I305, J305-I305)*INDEX('Key Metrics'!$E$16:$N$19,MATCH($E305,'Key Metrics'!$E$16:$E$19,0),MATCH(W$1,'Key Metrics'!$E$16:$M$16,0)),0)</f>
        <v>41250</v>
      </c>
      <c r="X305" s="9">
        <f>IF($H305&gt;J305, MIN($H305-J305, K305-J305)*INDEX('Key Metrics'!$E$16:$N$19,MATCH($E305,'Key Metrics'!$E$16:$E$19,0),MATCH(X$1,'Key Metrics'!$E$16:$M$16,0)),0)</f>
        <v>1188.75</v>
      </c>
      <c r="Y305" s="9">
        <f>IF($H305&gt;K305, MIN($H305-K305, L305-K305)*INDEX('Key Metrics'!$E$16:$N$19,MATCH($E305,'Key Metrics'!$E$16:$E$19,0),MATCH(Y$1,'Key Metrics'!$E$16:$M$16,0)),0)</f>
        <v>0</v>
      </c>
      <c r="Z305" s="9">
        <f>IF($H305&gt;L305,($H305-L305)*INDEX('Key Metrics'!$E$16:$N$19,MATCH($E305,'Key Metrics'!$E$16:$E$19,0),MATCH(Z$1,'Key Metrics'!$E$16:$M$16,0)),0)</f>
        <v>0</v>
      </c>
      <c r="AA305" s="9">
        <f t="shared" si="48"/>
        <v>154938.75</v>
      </c>
      <c r="AB305" s="9">
        <f t="shared" si="49"/>
        <v>154940.00633999999</v>
      </c>
    </row>
    <row r="306" spans="1:28" x14ac:dyDescent="0.55000000000000004">
      <c r="A306" t="str">
        <f t="shared" si="40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COUNTIF(deals_closed!$D$2:$D$20001,Calculations!B52)</f>
        <v>21</v>
      </c>
      <c r="H306" s="7">
        <f>SUMIF(deals_closed!$D:$D,Calculations!B52,deals_closed!$C:$C)</f>
        <v>753098</v>
      </c>
      <c r="I306" s="5">
        <f>VLOOKUP(E306,'2018_commission_structure'!$A$1:$I$4,9,FALSE)</f>
        <v>500000</v>
      </c>
      <c r="J306" s="9">
        <f t="shared" si="41"/>
        <v>625000</v>
      </c>
      <c r="K306" s="10">
        <f t="shared" si="42"/>
        <v>750000</v>
      </c>
      <c r="L306" s="9">
        <f t="shared" si="43"/>
        <v>1000000</v>
      </c>
      <c r="M306" s="8">
        <f t="shared" si="44"/>
        <v>1.5061960000000001</v>
      </c>
      <c r="N306" t="str">
        <f t="shared" si="45"/>
        <v>150-200%</v>
      </c>
      <c r="O306" s="9">
        <f>MIN($H306,$I306)*INDEX('2018_commission_structure'!$A$1:$I$4,MATCH($E306,'2018_commission_structure'!$A$1:$A$4,0),MATCH(O$1,'2018_commission_structure'!$A$1:$I$1,0))</f>
        <v>50000</v>
      </c>
      <c r="P306" s="9">
        <f>IF(H306&gt;I306, MIN(H306-I306, J306-I306)*INDEX('2018_commission_structure'!$A$1:$I$4,MATCH($E306,'2018_commission_structure'!$A$1:$A$4,0),MATCH(P$1,'2018_commission_structure'!$A$1:$I$1,0)),0)</f>
        <v>18750</v>
      </c>
      <c r="Q306" s="9">
        <f>IF($H306&gt;J306, MIN($H306-J306, K306-J306)*INDEX('2018_commission_structure'!$A$1:$I$4,MATCH($E306,'2018_commission_structure'!$A$1:$A$4,0),MATCH(Q$1,'2018_commission_structure'!$A$1:$I$1,0)),0)</f>
        <v>22500</v>
      </c>
      <c r="R306" s="9">
        <f>IF($H306&gt;K306, MIN($H306-K306, L306-K306)*INDEX('2018_commission_structure'!$A$1:$I$4,MATCH($E306,'2018_commission_structure'!$A$1:$A$4,0),MATCH(R$1,'2018_commission_structure'!$A$1:$I$1,0)),0)</f>
        <v>681.56000000000006</v>
      </c>
      <c r="S306" s="9">
        <f>IF(H306&gt;L306,(H306-L306)*INDEX('2018_commission_structure'!$A$1:$I$4,MATCH($E306,'2018_commission_structure'!$A$1:$A$4,0),MATCH(S$1,'2018_commission_structure'!$A$1:$I$1,0)),0)</f>
        <v>0</v>
      </c>
      <c r="T306" s="9">
        <f t="shared" si="46"/>
        <v>91931.56</v>
      </c>
      <c r="U306" s="9">
        <f t="shared" si="47"/>
        <v>139071.56</v>
      </c>
      <c r="V306" s="9">
        <f>MIN($I306,$H306)*INDEX('Key Metrics'!$E$16:$N$19,MATCH($E306,'Key Metrics'!$E$16:$E$19,0),MATCH(V$1,'Key Metrics'!$E$16:$M$16,0))</f>
        <v>60000</v>
      </c>
      <c r="W306" s="9">
        <f>IF($H306&gt;I306, MIN($H306-I306, J306-I306)*INDEX('Key Metrics'!$E$16:$N$19,MATCH($E306,'Key Metrics'!$E$16:$E$19,0),MATCH(W$1,'Key Metrics'!$E$16:$M$16,0)),0)</f>
        <v>21250</v>
      </c>
      <c r="X306" s="9">
        <f>IF($H306&gt;J306, MIN($H306-J306, K306-J306)*INDEX('Key Metrics'!$E$16:$N$19,MATCH($E306,'Key Metrics'!$E$16:$E$19,0),MATCH(X$1,'Key Metrics'!$E$16:$M$16,0)),0)</f>
        <v>25000</v>
      </c>
      <c r="Y306" s="9">
        <f>IF($H306&gt;K306, MIN($H306-K306, L306-K306)*INDEX('Key Metrics'!$E$16:$N$19,MATCH($E306,'Key Metrics'!$E$16:$E$19,0),MATCH(Y$1,'Key Metrics'!$E$16:$M$16,0)),0)</f>
        <v>681.56000000000006</v>
      </c>
      <c r="Z306" s="9">
        <f>IF($H306&gt;L306,($H306-L306)*INDEX('Key Metrics'!$E$16:$N$19,MATCH($E306,'Key Metrics'!$E$16:$E$19,0),MATCH(Z$1,'Key Metrics'!$E$16:$M$16,0)),0)</f>
        <v>0</v>
      </c>
      <c r="AA306" s="9">
        <f t="shared" si="48"/>
        <v>106931.56</v>
      </c>
      <c r="AB306" s="9">
        <f t="shared" si="49"/>
        <v>106933.066196</v>
      </c>
    </row>
    <row r="307" spans="1:28" x14ac:dyDescent="0.55000000000000004">
      <c r="A307" t="str">
        <f t="shared" si="40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COUNTIF(deals_closed!$D$2:$D$20001,Calculations!B306)</f>
        <v>26</v>
      </c>
      <c r="H307" s="7">
        <f>SUMIF(deals_closed!$D:$D,Calculations!B306,deals_closed!$C:$C)</f>
        <v>968216</v>
      </c>
      <c r="I307" s="5">
        <f>VLOOKUP(E307,'2018_commission_structure'!$A$1:$I$4,9,FALSE)</f>
        <v>600000</v>
      </c>
      <c r="J307" s="9">
        <f t="shared" si="41"/>
        <v>750000</v>
      </c>
      <c r="K307" s="10">
        <f t="shared" si="42"/>
        <v>900000</v>
      </c>
      <c r="L307" s="9">
        <f t="shared" si="43"/>
        <v>1200000</v>
      </c>
      <c r="M307" s="8">
        <f t="shared" si="44"/>
        <v>1.6136933333333334</v>
      </c>
      <c r="N307" t="str">
        <f t="shared" si="45"/>
        <v>150-200%</v>
      </c>
      <c r="O307" s="9">
        <f>MIN($H307,$I307)*INDEX('2018_commission_structure'!$A$1:$I$4,MATCH($E307,'2018_commission_structure'!$A$1:$A$4,0),MATCH(O$1,'2018_commission_structure'!$A$1:$I$1,0))</f>
        <v>78000</v>
      </c>
      <c r="P307" s="9">
        <f>IF(H307&gt;I307, MIN(H307-I307, J307-I307)*INDEX('2018_commission_structure'!$A$1:$I$4,MATCH($E307,'2018_commission_structure'!$A$1:$A$4,0),MATCH(P$1,'2018_commission_structure'!$A$1:$I$1,0)),0)</f>
        <v>25500.000000000004</v>
      </c>
      <c r="Q307" s="9">
        <f>IF($H307&gt;J307, MIN($H307-J307, K307-J307)*INDEX('2018_commission_structure'!$A$1:$I$4,MATCH($E307,'2018_commission_structure'!$A$1:$A$4,0),MATCH(Q$1,'2018_commission_structure'!$A$1:$I$1,0)),0)</f>
        <v>31500</v>
      </c>
      <c r="R307" s="9">
        <f>IF($H307&gt;K307, MIN($H307-K307, L307-K307)*INDEX('2018_commission_structure'!$A$1:$I$4,MATCH($E307,'2018_commission_structure'!$A$1:$A$4,0),MATCH(R$1,'2018_commission_structure'!$A$1:$I$1,0)),0)</f>
        <v>17736.16</v>
      </c>
      <c r="S307" s="9">
        <f>IF(H307&gt;L307,(H307-L307)*INDEX('2018_commission_structure'!$A$1:$I$4,MATCH($E307,'2018_commission_structure'!$A$1:$A$4,0),MATCH(S$1,'2018_commission_structure'!$A$1:$I$1,0)),0)</f>
        <v>0</v>
      </c>
      <c r="T307" s="9">
        <f t="shared" si="46"/>
        <v>152736.16</v>
      </c>
      <c r="U307" s="9">
        <f t="shared" si="47"/>
        <v>226303.16</v>
      </c>
      <c r="V307" s="9">
        <f>MIN($I307,$H307)*INDEX('Key Metrics'!$E$16:$N$19,MATCH($E307,'Key Metrics'!$E$16:$E$19,0),MATCH(V$1,'Key Metrics'!$E$16:$M$16,0))</f>
        <v>90000</v>
      </c>
      <c r="W307" s="9">
        <f>IF($H307&gt;I307, MIN($H307-I307, J307-I307)*INDEX('Key Metrics'!$E$16:$N$19,MATCH($E307,'Key Metrics'!$E$16:$E$19,0),MATCH(W$1,'Key Metrics'!$E$16:$M$16,0)),0)</f>
        <v>27000</v>
      </c>
      <c r="X307" s="9">
        <f>IF($H307&gt;J307, MIN($H307-J307, K307-J307)*INDEX('Key Metrics'!$E$16:$N$19,MATCH($E307,'Key Metrics'!$E$16:$E$19,0),MATCH(X$1,'Key Metrics'!$E$16:$M$16,0)),0)</f>
        <v>37500</v>
      </c>
      <c r="Y307" s="9">
        <f>IF($H307&gt;K307, MIN($H307-K307, L307-K307)*INDEX('Key Metrics'!$E$16:$N$19,MATCH($E307,'Key Metrics'!$E$16:$E$19,0),MATCH(Y$1,'Key Metrics'!$E$16:$M$16,0)),0)</f>
        <v>20464.8</v>
      </c>
      <c r="Z307" s="9">
        <f>IF($H307&gt;L307,($H307-L307)*INDEX('Key Metrics'!$E$16:$N$19,MATCH($E307,'Key Metrics'!$E$16:$E$19,0),MATCH(Z$1,'Key Metrics'!$E$16:$M$16,0)),0)</f>
        <v>0</v>
      </c>
      <c r="AA307" s="9">
        <f t="shared" si="48"/>
        <v>174964.8</v>
      </c>
      <c r="AB307" s="9">
        <f t="shared" si="49"/>
        <v>174966.41369333334</v>
      </c>
    </row>
    <row r="308" spans="1:28" x14ac:dyDescent="0.55000000000000004">
      <c r="A308" t="str">
        <f t="shared" si="40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COUNTIF(deals_closed!$D$2:$D$20001,Calculations!B813)</f>
        <v>18</v>
      </c>
      <c r="H308" s="7">
        <f>SUMIF(deals_closed!$D:$D,Calculations!B813,deals_closed!$C:$C)</f>
        <v>580079</v>
      </c>
      <c r="I308" s="5">
        <f>VLOOKUP(E308,'2018_commission_structure'!$A$1:$I$4,9,FALSE)</f>
        <v>750000</v>
      </c>
      <c r="J308" s="9">
        <f t="shared" si="41"/>
        <v>937500</v>
      </c>
      <c r="K308" s="10">
        <f t="shared" si="42"/>
        <v>1125000</v>
      </c>
      <c r="L308" s="9">
        <f t="shared" si="43"/>
        <v>1500000</v>
      </c>
      <c r="M308" s="8">
        <f t="shared" si="44"/>
        <v>0.77343866666666672</v>
      </c>
      <c r="N308" t="str">
        <f t="shared" si="45"/>
        <v>0-100%</v>
      </c>
      <c r="O308" s="9">
        <f>MIN($H308,$I308)*INDEX('2018_commission_structure'!$A$1:$I$4,MATCH($E308,'2018_commission_structure'!$A$1:$A$4,0),MATCH(O$1,'2018_commission_structure'!$A$1:$I$1,0))</f>
        <v>87011.849999999991</v>
      </c>
      <c r="P308" s="9">
        <f>IF(H308&gt;I308, MIN(H308-I308, J308-I308)*INDEX('2018_commission_structure'!$A$1:$I$4,MATCH($E308,'2018_commission_structure'!$A$1:$A$4,0),MATCH(P$1,'2018_commission_structure'!$A$1:$I$1,0)),0)</f>
        <v>0</v>
      </c>
      <c r="Q308" s="9">
        <f>IF($H308&gt;J308, MIN($H308-J308, K308-J308)*INDEX('2018_commission_structure'!$A$1:$I$4,MATCH($E308,'2018_commission_structure'!$A$1:$A$4,0),MATCH(Q$1,'2018_commission_structure'!$A$1:$I$1,0)),0)</f>
        <v>0</v>
      </c>
      <c r="R308" s="9">
        <f>IF($H308&gt;K308, MIN($H308-K308, L308-K308)*INDEX('2018_commission_structure'!$A$1:$I$4,MATCH($E308,'2018_commission_structure'!$A$1:$A$4,0),MATCH(R$1,'2018_commission_structure'!$A$1:$I$1,0)),0)</f>
        <v>0</v>
      </c>
      <c r="S308" s="9">
        <f>IF(H308&gt;L308,(H308-L308)*INDEX('2018_commission_structure'!$A$1:$I$4,MATCH($E308,'2018_commission_structure'!$A$1:$A$4,0),MATCH(S$1,'2018_commission_structure'!$A$1:$I$1,0)),0)</f>
        <v>0</v>
      </c>
      <c r="T308" s="9">
        <f t="shared" si="46"/>
        <v>87011.849999999991</v>
      </c>
      <c r="U308" s="9">
        <f t="shared" si="47"/>
        <v>189776.84999999998</v>
      </c>
      <c r="V308" s="9">
        <f>MIN($I308,$H308)*INDEX('Key Metrics'!$E$16:$N$19,MATCH($E308,'Key Metrics'!$E$16:$E$19,0),MATCH(V$1,'Key Metrics'!$E$16:$M$16,0))</f>
        <v>87011.849999999991</v>
      </c>
      <c r="W308" s="9">
        <f>IF($H308&gt;I308, MIN($H308-I308, J308-I308)*INDEX('Key Metrics'!$E$16:$N$19,MATCH($E308,'Key Metrics'!$E$16:$E$19,0),MATCH(W$1,'Key Metrics'!$E$16:$M$16,0)),0)</f>
        <v>0</v>
      </c>
      <c r="X308" s="9">
        <f>IF($H308&gt;J308, MIN($H308-J308, K308-J308)*INDEX('Key Metrics'!$E$16:$N$19,MATCH($E308,'Key Metrics'!$E$16:$E$19,0),MATCH(X$1,'Key Metrics'!$E$16:$M$16,0)),0)</f>
        <v>0</v>
      </c>
      <c r="Y308" s="9">
        <f>IF($H308&gt;K308, MIN($H308-K308, L308-K308)*INDEX('Key Metrics'!$E$16:$N$19,MATCH($E308,'Key Metrics'!$E$16:$E$19,0),MATCH(Y$1,'Key Metrics'!$E$16:$M$16,0)),0)</f>
        <v>0</v>
      </c>
      <c r="Z308" s="9">
        <f>IF($H308&gt;L308,($H308-L308)*INDEX('Key Metrics'!$E$16:$N$19,MATCH($E308,'Key Metrics'!$E$16:$E$19,0),MATCH(Z$1,'Key Metrics'!$E$16:$M$16,0)),0)</f>
        <v>0</v>
      </c>
      <c r="AA308" s="9">
        <f t="shared" si="48"/>
        <v>87011.849999999991</v>
      </c>
      <c r="AB308" s="9">
        <f t="shared" si="49"/>
        <v>87012.623438666662</v>
      </c>
    </row>
    <row r="309" spans="1:28" x14ac:dyDescent="0.55000000000000004">
      <c r="A309" t="str">
        <f t="shared" si="40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COUNTIF(deals_closed!$D$2:$D$20001,Calculations!B236)</f>
        <v>30</v>
      </c>
      <c r="H309" s="7">
        <f>SUMIF(deals_closed!$D:$D,Calculations!B236,deals_closed!$C:$C)</f>
        <v>1039370</v>
      </c>
      <c r="I309" s="5">
        <f>VLOOKUP(E309,'2018_commission_structure'!$A$1:$I$4,9,FALSE)</f>
        <v>750000</v>
      </c>
      <c r="J309" s="9">
        <f t="shared" si="41"/>
        <v>937500</v>
      </c>
      <c r="K309" s="10">
        <f t="shared" si="42"/>
        <v>1125000</v>
      </c>
      <c r="L309" s="9">
        <f t="shared" si="43"/>
        <v>1500000</v>
      </c>
      <c r="M309" s="8">
        <f t="shared" si="44"/>
        <v>1.3858266666666668</v>
      </c>
      <c r="N309" t="str">
        <f t="shared" si="45"/>
        <v>125-150%</v>
      </c>
      <c r="O309" s="9">
        <f>MIN($H309,$I309)*INDEX('2018_commission_structure'!$A$1:$I$4,MATCH($E309,'2018_commission_structure'!$A$1:$A$4,0),MATCH(O$1,'2018_commission_structure'!$A$1:$I$1,0))</f>
        <v>112500</v>
      </c>
      <c r="P309" s="9">
        <f>IF(H309&gt;I309, MIN(H309-I309, J309-I309)*INDEX('2018_commission_structure'!$A$1:$I$4,MATCH($E309,'2018_commission_structure'!$A$1:$A$4,0),MATCH(P$1,'2018_commission_structure'!$A$1:$I$1,0)),0)</f>
        <v>35625</v>
      </c>
      <c r="Q309" s="9">
        <f>IF($H309&gt;J309, MIN($H309-J309, K309-J309)*INDEX('2018_commission_structure'!$A$1:$I$4,MATCH($E309,'2018_commission_structure'!$A$1:$A$4,0),MATCH(Q$1,'2018_commission_structure'!$A$1:$I$1,0)),0)</f>
        <v>23430.100000000002</v>
      </c>
      <c r="R309" s="9">
        <f>IF($H309&gt;K309, MIN($H309-K309, L309-K309)*INDEX('2018_commission_structure'!$A$1:$I$4,MATCH($E309,'2018_commission_structure'!$A$1:$A$4,0),MATCH(R$1,'2018_commission_structure'!$A$1:$I$1,0)),0)</f>
        <v>0</v>
      </c>
      <c r="S309" s="9">
        <f>IF(H309&gt;L309,(H309-L309)*INDEX('2018_commission_structure'!$A$1:$I$4,MATCH($E309,'2018_commission_structure'!$A$1:$A$4,0),MATCH(S$1,'2018_commission_structure'!$A$1:$I$1,0)),0)</f>
        <v>0</v>
      </c>
      <c r="T309" s="9">
        <f t="shared" si="46"/>
        <v>171555.1</v>
      </c>
      <c r="U309" s="9">
        <f t="shared" si="47"/>
        <v>284617.09999999998</v>
      </c>
      <c r="V309" s="9">
        <f>MIN($I309,$H309)*INDEX('Key Metrics'!$E$16:$N$19,MATCH($E309,'Key Metrics'!$E$16:$E$19,0),MATCH(V$1,'Key Metrics'!$E$16:$M$16,0))</f>
        <v>112500</v>
      </c>
      <c r="W309" s="9">
        <f>IF($H309&gt;I309, MIN($H309-I309, J309-I309)*INDEX('Key Metrics'!$E$16:$N$19,MATCH($E309,'Key Metrics'!$E$16:$E$19,0),MATCH(W$1,'Key Metrics'!$E$16:$M$16,0)),0)</f>
        <v>41250</v>
      </c>
      <c r="X309" s="9">
        <f>IF($H309&gt;J309, MIN($H309-J309, K309-J309)*INDEX('Key Metrics'!$E$16:$N$19,MATCH($E309,'Key Metrics'!$E$16:$E$19,0),MATCH(X$1,'Key Metrics'!$E$16:$M$16,0)),0)</f>
        <v>25467.5</v>
      </c>
      <c r="Y309" s="9">
        <f>IF($H309&gt;K309, MIN($H309-K309, L309-K309)*INDEX('Key Metrics'!$E$16:$N$19,MATCH($E309,'Key Metrics'!$E$16:$E$19,0),MATCH(Y$1,'Key Metrics'!$E$16:$M$16,0)),0)</f>
        <v>0</v>
      </c>
      <c r="Z309" s="9">
        <f>IF($H309&gt;L309,($H309-L309)*INDEX('Key Metrics'!$E$16:$N$19,MATCH($E309,'Key Metrics'!$E$16:$E$19,0),MATCH(Z$1,'Key Metrics'!$E$16:$M$16,0)),0)</f>
        <v>0</v>
      </c>
      <c r="AA309" s="9">
        <f t="shared" si="48"/>
        <v>179217.5</v>
      </c>
      <c r="AB309" s="9">
        <f t="shared" si="49"/>
        <v>179218.88582666666</v>
      </c>
    </row>
    <row r="310" spans="1:28" x14ac:dyDescent="0.55000000000000004">
      <c r="A310" t="str">
        <f t="shared" si="40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COUNTIF(deals_closed!$D$2:$D$20001,Calculations!B391)</f>
        <v>26</v>
      </c>
      <c r="H310" s="7">
        <f>SUMIF(deals_closed!$D:$D,Calculations!B391,deals_closed!$C:$C)</f>
        <v>956782</v>
      </c>
      <c r="I310" s="5">
        <f>VLOOKUP(E310,'2018_commission_structure'!$A$1:$I$4,9,FALSE)</f>
        <v>750000</v>
      </c>
      <c r="J310" s="9">
        <f t="shared" si="41"/>
        <v>937500</v>
      </c>
      <c r="K310" s="10">
        <f t="shared" si="42"/>
        <v>1125000</v>
      </c>
      <c r="L310" s="9">
        <f t="shared" si="43"/>
        <v>1500000</v>
      </c>
      <c r="M310" s="8">
        <f t="shared" si="44"/>
        <v>1.2757093333333334</v>
      </c>
      <c r="N310" t="str">
        <f t="shared" si="45"/>
        <v>125-150%</v>
      </c>
      <c r="O310" s="9">
        <f>MIN($H310,$I310)*INDEX('2018_commission_structure'!$A$1:$I$4,MATCH($E310,'2018_commission_structure'!$A$1:$A$4,0),MATCH(O$1,'2018_commission_structure'!$A$1:$I$1,0))</f>
        <v>112500</v>
      </c>
      <c r="P310" s="9">
        <f>IF(H310&gt;I310, MIN(H310-I310, J310-I310)*INDEX('2018_commission_structure'!$A$1:$I$4,MATCH($E310,'2018_commission_structure'!$A$1:$A$4,0),MATCH(P$1,'2018_commission_structure'!$A$1:$I$1,0)),0)</f>
        <v>35625</v>
      </c>
      <c r="Q310" s="9">
        <f>IF($H310&gt;J310, MIN($H310-J310, K310-J310)*INDEX('2018_commission_structure'!$A$1:$I$4,MATCH($E310,'2018_commission_structure'!$A$1:$A$4,0),MATCH(Q$1,'2018_commission_structure'!$A$1:$I$1,0)),0)</f>
        <v>4434.8600000000006</v>
      </c>
      <c r="R310" s="9">
        <f>IF($H310&gt;K310, MIN($H310-K310, L310-K310)*INDEX('2018_commission_structure'!$A$1:$I$4,MATCH($E310,'2018_commission_structure'!$A$1:$A$4,0),MATCH(R$1,'2018_commission_structure'!$A$1:$I$1,0)),0)</f>
        <v>0</v>
      </c>
      <c r="S310" s="9">
        <f>IF(H310&gt;L310,(H310-L310)*INDEX('2018_commission_structure'!$A$1:$I$4,MATCH($E310,'2018_commission_structure'!$A$1:$A$4,0),MATCH(S$1,'2018_commission_structure'!$A$1:$I$1,0)),0)</f>
        <v>0</v>
      </c>
      <c r="T310" s="9">
        <f t="shared" si="46"/>
        <v>152559.85999999999</v>
      </c>
      <c r="U310" s="9">
        <f t="shared" si="47"/>
        <v>230578.86</v>
      </c>
      <c r="V310" s="9">
        <f>MIN($I310,$H310)*INDEX('Key Metrics'!$E$16:$N$19,MATCH($E310,'Key Metrics'!$E$16:$E$19,0),MATCH(V$1,'Key Metrics'!$E$16:$M$16,0))</f>
        <v>112500</v>
      </c>
      <c r="W310" s="9">
        <f>IF($H310&gt;I310, MIN($H310-I310, J310-I310)*INDEX('Key Metrics'!$E$16:$N$19,MATCH($E310,'Key Metrics'!$E$16:$E$19,0),MATCH(W$1,'Key Metrics'!$E$16:$M$16,0)),0)</f>
        <v>41250</v>
      </c>
      <c r="X310" s="9">
        <f>IF($H310&gt;J310, MIN($H310-J310, K310-J310)*INDEX('Key Metrics'!$E$16:$N$19,MATCH($E310,'Key Metrics'!$E$16:$E$19,0),MATCH(X$1,'Key Metrics'!$E$16:$M$16,0)),0)</f>
        <v>4820.5</v>
      </c>
      <c r="Y310" s="9">
        <f>IF($H310&gt;K310, MIN($H310-K310, L310-K310)*INDEX('Key Metrics'!$E$16:$N$19,MATCH($E310,'Key Metrics'!$E$16:$E$19,0),MATCH(Y$1,'Key Metrics'!$E$16:$M$16,0)),0)</f>
        <v>0</v>
      </c>
      <c r="Z310" s="9">
        <f>IF($H310&gt;L310,($H310-L310)*INDEX('Key Metrics'!$E$16:$N$19,MATCH($E310,'Key Metrics'!$E$16:$E$19,0),MATCH(Z$1,'Key Metrics'!$E$16:$M$16,0)),0)</f>
        <v>0</v>
      </c>
      <c r="AA310" s="9">
        <f t="shared" si="48"/>
        <v>158570.5</v>
      </c>
      <c r="AB310" s="9">
        <f t="shared" si="49"/>
        <v>158571.77570933333</v>
      </c>
    </row>
    <row r="311" spans="1:28" x14ac:dyDescent="0.55000000000000004">
      <c r="A311" t="str">
        <f t="shared" si="40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COUNTIF(deals_closed!$D$2:$D$20001,Calculations!B796)</f>
        <v>21</v>
      </c>
      <c r="H311" s="7">
        <f>SUMIF(deals_closed!$D:$D,Calculations!B796,deals_closed!$C:$C)</f>
        <v>807637</v>
      </c>
      <c r="I311" s="5">
        <f>VLOOKUP(E311,'2018_commission_structure'!$A$1:$I$4,9,FALSE)</f>
        <v>600000</v>
      </c>
      <c r="J311" s="9">
        <f t="shared" si="41"/>
        <v>750000</v>
      </c>
      <c r="K311" s="10">
        <f t="shared" si="42"/>
        <v>900000</v>
      </c>
      <c r="L311" s="9">
        <f t="shared" si="43"/>
        <v>1200000</v>
      </c>
      <c r="M311" s="8">
        <f t="shared" si="44"/>
        <v>1.3460616666666667</v>
      </c>
      <c r="N311" t="str">
        <f t="shared" si="45"/>
        <v>125-150%</v>
      </c>
      <c r="O311" s="9">
        <f>MIN($H311,$I311)*INDEX('2018_commission_structure'!$A$1:$I$4,MATCH($E311,'2018_commission_structure'!$A$1:$A$4,0),MATCH(O$1,'2018_commission_structure'!$A$1:$I$1,0))</f>
        <v>78000</v>
      </c>
      <c r="P311" s="9">
        <f>IF(H311&gt;I311, MIN(H311-I311, J311-I311)*INDEX('2018_commission_structure'!$A$1:$I$4,MATCH($E311,'2018_commission_structure'!$A$1:$A$4,0),MATCH(P$1,'2018_commission_structure'!$A$1:$I$1,0)),0)</f>
        <v>25500.000000000004</v>
      </c>
      <c r="Q311" s="9">
        <f>IF($H311&gt;J311, MIN($H311-J311, K311-J311)*INDEX('2018_commission_structure'!$A$1:$I$4,MATCH($E311,'2018_commission_structure'!$A$1:$A$4,0),MATCH(Q$1,'2018_commission_structure'!$A$1:$I$1,0)),0)</f>
        <v>12103.77</v>
      </c>
      <c r="R311" s="9">
        <f>IF($H311&gt;K311, MIN($H311-K311, L311-K311)*INDEX('2018_commission_structure'!$A$1:$I$4,MATCH($E311,'2018_commission_structure'!$A$1:$A$4,0),MATCH(R$1,'2018_commission_structure'!$A$1:$I$1,0)),0)</f>
        <v>0</v>
      </c>
      <c r="S311" s="9">
        <f>IF(H311&gt;L311,(H311-L311)*INDEX('2018_commission_structure'!$A$1:$I$4,MATCH($E311,'2018_commission_structure'!$A$1:$A$4,0),MATCH(S$1,'2018_commission_structure'!$A$1:$I$1,0)),0)</f>
        <v>0</v>
      </c>
      <c r="T311" s="9">
        <f t="shared" si="46"/>
        <v>115603.77</v>
      </c>
      <c r="U311" s="9">
        <f t="shared" si="47"/>
        <v>178395.77000000002</v>
      </c>
      <c r="V311" s="9">
        <f>MIN($I311,$H311)*INDEX('Key Metrics'!$E$16:$N$19,MATCH($E311,'Key Metrics'!$E$16:$E$19,0),MATCH(V$1,'Key Metrics'!$E$16:$M$16,0))</f>
        <v>90000</v>
      </c>
      <c r="W311" s="9">
        <f>IF($H311&gt;I311, MIN($H311-I311, J311-I311)*INDEX('Key Metrics'!$E$16:$N$19,MATCH($E311,'Key Metrics'!$E$16:$E$19,0),MATCH(W$1,'Key Metrics'!$E$16:$M$16,0)),0)</f>
        <v>27000</v>
      </c>
      <c r="X311" s="9">
        <f>IF($H311&gt;J311, MIN($H311-J311, K311-J311)*INDEX('Key Metrics'!$E$16:$N$19,MATCH($E311,'Key Metrics'!$E$16:$E$19,0),MATCH(X$1,'Key Metrics'!$E$16:$M$16,0)),0)</f>
        <v>14409.25</v>
      </c>
      <c r="Y311" s="9">
        <f>IF($H311&gt;K311, MIN($H311-K311, L311-K311)*INDEX('Key Metrics'!$E$16:$N$19,MATCH($E311,'Key Metrics'!$E$16:$E$19,0),MATCH(Y$1,'Key Metrics'!$E$16:$M$16,0)),0)</f>
        <v>0</v>
      </c>
      <c r="Z311" s="9">
        <f>IF($H311&gt;L311,($H311-L311)*INDEX('Key Metrics'!$E$16:$N$19,MATCH($E311,'Key Metrics'!$E$16:$E$19,0),MATCH(Z$1,'Key Metrics'!$E$16:$M$16,0)),0)</f>
        <v>0</v>
      </c>
      <c r="AA311" s="9">
        <f t="shared" si="48"/>
        <v>131409.25</v>
      </c>
      <c r="AB311" s="9">
        <f t="shared" si="49"/>
        <v>131410.59606166667</v>
      </c>
    </row>
    <row r="312" spans="1:28" x14ac:dyDescent="0.55000000000000004">
      <c r="A312" t="str">
        <f t="shared" si="40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COUNTIF(deals_closed!$D$2:$D$20001,Calculations!B804)</f>
        <v>23</v>
      </c>
      <c r="H312" s="7">
        <f>SUMIF(deals_closed!$D:$D,Calculations!B804,deals_closed!$C:$C)</f>
        <v>916079</v>
      </c>
      <c r="I312" s="5">
        <f>VLOOKUP(E312,'2018_commission_structure'!$A$1:$I$4,9,FALSE)</f>
        <v>750000</v>
      </c>
      <c r="J312" s="9">
        <f t="shared" si="41"/>
        <v>937500</v>
      </c>
      <c r="K312" s="10">
        <f t="shared" si="42"/>
        <v>1125000</v>
      </c>
      <c r="L312" s="9">
        <f t="shared" si="43"/>
        <v>1500000</v>
      </c>
      <c r="M312" s="8">
        <f t="shared" si="44"/>
        <v>1.2214386666666666</v>
      </c>
      <c r="N312" t="str">
        <f t="shared" si="45"/>
        <v>100-125%</v>
      </c>
      <c r="O312" s="9">
        <f>MIN($H312,$I312)*INDEX('2018_commission_structure'!$A$1:$I$4,MATCH($E312,'2018_commission_structure'!$A$1:$A$4,0),MATCH(O$1,'2018_commission_structure'!$A$1:$I$1,0))</f>
        <v>112500</v>
      </c>
      <c r="P312" s="9">
        <f>IF(H312&gt;I312, MIN(H312-I312, J312-I312)*INDEX('2018_commission_structure'!$A$1:$I$4,MATCH($E312,'2018_commission_structure'!$A$1:$A$4,0),MATCH(P$1,'2018_commission_structure'!$A$1:$I$1,0)),0)</f>
        <v>31555.010000000002</v>
      </c>
      <c r="Q312" s="9">
        <f>IF($H312&gt;J312, MIN($H312-J312, K312-J312)*INDEX('2018_commission_structure'!$A$1:$I$4,MATCH($E312,'2018_commission_structure'!$A$1:$A$4,0),MATCH(Q$1,'2018_commission_structure'!$A$1:$I$1,0)),0)</f>
        <v>0</v>
      </c>
      <c r="R312" s="9">
        <f>IF($H312&gt;K312, MIN($H312-K312, L312-K312)*INDEX('2018_commission_structure'!$A$1:$I$4,MATCH($E312,'2018_commission_structure'!$A$1:$A$4,0),MATCH(R$1,'2018_commission_structure'!$A$1:$I$1,0)),0)</f>
        <v>0</v>
      </c>
      <c r="S312" s="9">
        <f>IF(H312&gt;L312,(H312-L312)*INDEX('2018_commission_structure'!$A$1:$I$4,MATCH($E312,'2018_commission_structure'!$A$1:$A$4,0),MATCH(S$1,'2018_commission_structure'!$A$1:$I$1,0)),0)</f>
        <v>0</v>
      </c>
      <c r="T312" s="9">
        <f t="shared" si="46"/>
        <v>144055.01</v>
      </c>
      <c r="U312" s="9">
        <f t="shared" si="47"/>
        <v>234640.01</v>
      </c>
      <c r="V312" s="9">
        <f>MIN($I312,$H312)*INDEX('Key Metrics'!$E$16:$N$19,MATCH($E312,'Key Metrics'!$E$16:$E$19,0),MATCH(V$1,'Key Metrics'!$E$16:$M$16,0))</f>
        <v>112500</v>
      </c>
      <c r="W312" s="9">
        <f>IF($H312&gt;I312, MIN($H312-I312, J312-I312)*INDEX('Key Metrics'!$E$16:$N$19,MATCH($E312,'Key Metrics'!$E$16:$E$19,0),MATCH(W$1,'Key Metrics'!$E$16:$M$16,0)),0)</f>
        <v>36537.379999999997</v>
      </c>
      <c r="X312" s="9">
        <f>IF($H312&gt;J312, MIN($H312-J312, K312-J312)*INDEX('Key Metrics'!$E$16:$N$19,MATCH($E312,'Key Metrics'!$E$16:$E$19,0),MATCH(X$1,'Key Metrics'!$E$16:$M$16,0)),0)</f>
        <v>0</v>
      </c>
      <c r="Y312" s="9">
        <f>IF($H312&gt;K312, MIN($H312-K312, L312-K312)*INDEX('Key Metrics'!$E$16:$N$19,MATCH($E312,'Key Metrics'!$E$16:$E$19,0),MATCH(Y$1,'Key Metrics'!$E$16:$M$16,0)),0)</f>
        <v>0</v>
      </c>
      <c r="Z312" s="9">
        <f>IF($H312&gt;L312,($H312-L312)*INDEX('Key Metrics'!$E$16:$N$19,MATCH($E312,'Key Metrics'!$E$16:$E$19,0),MATCH(Z$1,'Key Metrics'!$E$16:$M$16,0)),0)</f>
        <v>0</v>
      </c>
      <c r="AA312" s="9">
        <f t="shared" si="48"/>
        <v>149037.38</v>
      </c>
      <c r="AB312" s="9">
        <f t="shared" si="49"/>
        <v>149038.60143866666</v>
      </c>
    </row>
    <row r="313" spans="1:28" x14ac:dyDescent="0.55000000000000004">
      <c r="A313" t="str">
        <f t="shared" si="40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COUNTIF(deals_closed!$D$2:$D$20001,Calculations!B275)</f>
        <v>24</v>
      </c>
      <c r="H313" s="7">
        <f>SUMIF(deals_closed!$D:$D,Calculations!B275,deals_closed!$C:$C)</f>
        <v>775092</v>
      </c>
      <c r="I313" s="5">
        <f>VLOOKUP(E313,'2018_commission_structure'!$A$1:$I$4,9,FALSE)</f>
        <v>600000</v>
      </c>
      <c r="J313" s="9">
        <f t="shared" si="41"/>
        <v>750000</v>
      </c>
      <c r="K313" s="10">
        <f t="shared" si="42"/>
        <v>900000</v>
      </c>
      <c r="L313" s="9">
        <f t="shared" si="43"/>
        <v>1200000</v>
      </c>
      <c r="M313" s="8">
        <f t="shared" si="44"/>
        <v>1.29182</v>
      </c>
      <c r="N313" t="str">
        <f t="shared" si="45"/>
        <v>125-150%</v>
      </c>
      <c r="O313" s="9">
        <f>MIN($H313,$I313)*INDEX('2018_commission_structure'!$A$1:$I$4,MATCH($E313,'2018_commission_structure'!$A$1:$A$4,0),MATCH(O$1,'2018_commission_structure'!$A$1:$I$1,0))</f>
        <v>78000</v>
      </c>
      <c r="P313" s="9">
        <f>IF(H313&gt;I313, MIN(H313-I313, J313-I313)*INDEX('2018_commission_structure'!$A$1:$I$4,MATCH($E313,'2018_commission_structure'!$A$1:$A$4,0),MATCH(P$1,'2018_commission_structure'!$A$1:$I$1,0)),0)</f>
        <v>25500.000000000004</v>
      </c>
      <c r="Q313" s="9">
        <f>IF($H313&gt;J313, MIN($H313-J313, K313-J313)*INDEX('2018_commission_structure'!$A$1:$I$4,MATCH($E313,'2018_commission_structure'!$A$1:$A$4,0),MATCH(Q$1,'2018_commission_structure'!$A$1:$I$1,0)),0)</f>
        <v>5269.32</v>
      </c>
      <c r="R313" s="9">
        <f>IF($H313&gt;K313, MIN($H313-K313, L313-K313)*INDEX('2018_commission_structure'!$A$1:$I$4,MATCH($E313,'2018_commission_structure'!$A$1:$A$4,0),MATCH(R$1,'2018_commission_structure'!$A$1:$I$1,0)),0)</f>
        <v>0</v>
      </c>
      <c r="S313" s="9">
        <f>IF(H313&gt;L313,(H313-L313)*INDEX('2018_commission_structure'!$A$1:$I$4,MATCH($E313,'2018_commission_structure'!$A$1:$A$4,0),MATCH(S$1,'2018_commission_structure'!$A$1:$I$1,0)),0)</f>
        <v>0</v>
      </c>
      <c r="T313" s="9">
        <f t="shared" si="46"/>
        <v>108769.32</v>
      </c>
      <c r="U313" s="9">
        <f t="shared" si="47"/>
        <v>185954.32</v>
      </c>
      <c r="V313" s="9">
        <f>MIN($I313,$H313)*INDEX('Key Metrics'!$E$16:$N$19,MATCH($E313,'Key Metrics'!$E$16:$E$19,0),MATCH(V$1,'Key Metrics'!$E$16:$M$16,0))</f>
        <v>90000</v>
      </c>
      <c r="W313" s="9">
        <f>IF($H313&gt;I313, MIN($H313-I313, J313-I313)*INDEX('Key Metrics'!$E$16:$N$19,MATCH($E313,'Key Metrics'!$E$16:$E$19,0),MATCH(W$1,'Key Metrics'!$E$16:$M$16,0)),0)</f>
        <v>27000</v>
      </c>
      <c r="X313" s="9">
        <f>IF($H313&gt;J313, MIN($H313-J313, K313-J313)*INDEX('Key Metrics'!$E$16:$N$19,MATCH($E313,'Key Metrics'!$E$16:$E$19,0),MATCH(X$1,'Key Metrics'!$E$16:$M$16,0)),0)</f>
        <v>6273</v>
      </c>
      <c r="Y313" s="9">
        <f>IF($H313&gt;K313, MIN($H313-K313, L313-K313)*INDEX('Key Metrics'!$E$16:$N$19,MATCH($E313,'Key Metrics'!$E$16:$E$19,0),MATCH(Y$1,'Key Metrics'!$E$16:$M$16,0)),0)</f>
        <v>0</v>
      </c>
      <c r="Z313" s="9">
        <f>IF($H313&gt;L313,($H313-L313)*INDEX('Key Metrics'!$E$16:$N$19,MATCH($E313,'Key Metrics'!$E$16:$E$19,0),MATCH(Z$1,'Key Metrics'!$E$16:$M$16,0)),0)</f>
        <v>0</v>
      </c>
      <c r="AA313" s="9">
        <f t="shared" si="48"/>
        <v>123273</v>
      </c>
      <c r="AB313" s="9">
        <f t="shared" si="49"/>
        <v>123274.29182</v>
      </c>
    </row>
    <row r="314" spans="1:28" x14ac:dyDescent="0.55000000000000004">
      <c r="A314" t="str">
        <f t="shared" si="40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COUNTIF(deals_closed!$D$2:$D$20001,Calculations!B243)</f>
        <v>23</v>
      </c>
      <c r="H314" s="7">
        <f>SUMIF(deals_closed!$D:$D,Calculations!B243,deals_closed!$C:$C)</f>
        <v>842895</v>
      </c>
      <c r="I314" s="5">
        <f>VLOOKUP(E314,'2018_commission_structure'!$A$1:$I$4,9,FALSE)</f>
        <v>600000</v>
      </c>
      <c r="J314" s="9">
        <f t="shared" si="41"/>
        <v>750000</v>
      </c>
      <c r="K314" s="10">
        <f t="shared" si="42"/>
        <v>900000</v>
      </c>
      <c r="L314" s="9">
        <f t="shared" si="43"/>
        <v>1200000</v>
      </c>
      <c r="M314" s="8">
        <f t="shared" si="44"/>
        <v>1.404825</v>
      </c>
      <c r="N314" t="str">
        <f t="shared" si="45"/>
        <v>125-150%</v>
      </c>
      <c r="O314" s="9">
        <f>MIN($H314,$I314)*INDEX('2018_commission_structure'!$A$1:$I$4,MATCH($E314,'2018_commission_structure'!$A$1:$A$4,0),MATCH(O$1,'2018_commission_structure'!$A$1:$I$1,0))</f>
        <v>78000</v>
      </c>
      <c r="P314" s="9">
        <f>IF(H314&gt;I314, MIN(H314-I314, J314-I314)*INDEX('2018_commission_structure'!$A$1:$I$4,MATCH($E314,'2018_commission_structure'!$A$1:$A$4,0),MATCH(P$1,'2018_commission_structure'!$A$1:$I$1,0)),0)</f>
        <v>25500.000000000004</v>
      </c>
      <c r="Q314" s="9">
        <f>IF($H314&gt;J314, MIN($H314-J314, K314-J314)*INDEX('2018_commission_structure'!$A$1:$I$4,MATCH($E314,'2018_commission_structure'!$A$1:$A$4,0),MATCH(Q$1,'2018_commission_structure'!$A$1:$I$1,0)),0)</f>
        <v>19507.95</v>
      </c>
      <c r="R314" s="9">
        <f>IF($H314&gt;K314, MIN($H314-K314, L314-K314)*INDEX('2018_commission_structure'!$A$1:$I$4,MATCH($E314,'2018_commission_structure'!$A$1:$A$4,0),MATCH(R$1,'2018_commission_structure'!$A$1:$I$1,0)),0)</f>
        <v>0</v>
      </c>
      <c r="S314" s="9">
        <f>IF(H314&gt;L314,(H314-L314)*INDEX('2018_commission_structure'!$A$1:$I$4,MATCH($E314,'2018_commission_structure'!$A$1:$A$4,0),MATCH(S$1,'2018_commission_structure'!$A$1:$I$1,0)),0)</f>
        <v>0</v>
      </c>
      <c r="T314" s="9">
        <f t="shared" si="46"/>
        <v>123007.95</v>
      </c>
      <c r="U314" s="9">
        <f t="shared" si="47"/>
        <v>188156.95</v>
      </c>
      <c r="V314" s="9">
        <f>MIN($I314,$H314)*INDEX('Key Metrics'!$E$16:$N$19,MATCH($E314,'Key Metrics'!$E$16:$E$19,0),MATCH(V$1,'Key Metrics'!$E$16:$M$16,0))</f>
        <v>90000</v>
      </c>
      <c r="W314" s="9">
        <f>IF($H314&gt;I314, MIN($H314-I314, J314-I314)*INDEX('Key Metrics'!$E$16:$N$19,MATCH($E314,'Key Metrics'!$E$16:$E$19,0),MATCH(W$1,'Key Metrics'!$E$16:$M$16,0)),0)</f>
        <v>27000</v>
      </c>
      <c r="X314" s="9">
        <f>IF($H314&gt;J314, MIN($H314-J314, K314-J314)*INDEX('Key Metrics'!$E$16:$N$19,MATCH($E314,'Key Metrics'!$E$16:$E$19,0),MATCH(X$1,'Key Metrics'!$E$16:$M$16,0)),0)</f>
        <v>23223.75</v>
      </c>
      <c r="Y314" s="9">
        <f>IF($H314&gt;K314, MIN($H314-K314, L314-K314)*INDEX('Key Metrics'!$E$16:$N$19,MATCH($E314,'Key Metrics'!$E$16:$E$19,0),MATCH(Y$1,'Key Metrics'!$E$16:$M$16,0)),0)</f>
        <v>0</v>
      </c>
      <c r="Z314" s="9">
        <f>IF($H314&gt;L314,($H314-L314)*INDEX('Key Metrics'!$E$16:$N$19,MATCH($E314,'Key Metrics'!$E$16:$E$19,0),MATCH(Z$1,'Key Metrics'!$E$16:$M$16,0)),0)</f>
        <v>0</v>
      </c>
      <c r="AA314" s="9">
        <f t="shared" si="48"/>
        <v>140223.75</v>
      </c>
      <c r="AB314" s="9">
        <f t="shared" si="49"/>
        <v>140225.15482500001</v>
      </c>
    </row>
    <row r="315" spans="1:28" x14ac:dyDescent="0.55000000000000004">
      <c r="A315" t="str">
        <f t="shared" si="40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COUNTIF(deals_closed!$D$2:$D$20001,Calculations!B335)</f>
        <v>24</v>
      </c>
      <c r="H315" s="7">
        <f>SUMIF(deals_closed!$D:$D,Calculations!B335,deals_closed!$C:$C)</f>
        <v>758395</v>
      </c>
      <c r="I315" s="5">
        <f>VLOOKUP(E315,'2018_commission_structure'!$A$1:$I$4,9,FALSE)</f>
        <v>600000</v>
      </c>
      <c r="J315" s="9">
        <f t="shared" si="41"/>
        <v>750000</v>
      </c>
      <c r="K315" s="10">
        <f t="shared" si="42"/>
        <v>900000</v>
      </c>
      <c r="L315" s="9">
        <f t="shared" si="43"/>
        <v>1200000</v>
      </c>
      <c r="M315" s="8">
        <f t="shared" si="44"/>
        <v>1.2639916666666666</v>
      </c>
      <c r="N315" t="str">
        <f t="shared" si="45"/>
        <v>125-150%</v>
      </c>
      <c r="O315" s="9">
        <f>MIN($H315,$I315)*INDEX('2018_commission_structure'!$A$1:$I$4,MATCH($E315,'2018_commission_structure'!$A$1:$A$4,0),MATCH(O$1,'2018_commission_structure'!$A$1:$I$1,0))</f>
        <v>78000</v>
      </c>
      <c r="P315" s="9">
        <f>IF(H315&gt;I315, MIN(H315-I315, J315-I315)*INDEX('2018_commission_structure'!$A$1:$I$4,MATCH($E315,'2018_commission_structure'!$A$1:$A$4,0),MATCH(P$1,'2018_commission_structure'!$A$1:$I$1,0)),0)</f>
        <v>25500.000000000004</v>
      </c>
      <c r="Q315" s="9">
        <f>IF($H315&gt;J315, MIN($H315-J315, K315-J315)*INDEX('2018_commission_structure'!$A$1:$I$4,MATCH($E315,'2018_commission_structure'!$A$1:$A$4,0),MATCH(Q$1,'2018_commission_structure'!$A$1:$I$1,0)),0)</f>
        <v>1762.95</v>
      </c>
      <c r="R315" s="9">
        <f>IF($H315&gt;K315, MIN($H315-K315, L315-K315)*INDEX('2018_commission_structure'!$A$1:$I$4,MATCH($E315,'2018_commission_structure'!$A$1:$A$4,0),MATCH(R$1,'2018_commission_structure'!$A$1:$I$1,0)),0)</f>
        <v>0</v>
      </c>
      <c r="S315" s="9">
        <f>IF(H315&gt;L315,(H315-L315)*INDEX('2018_commission_structure'!$A$1:$I$4,MATCH($E315,'2018_commission_structure'!$A$1:$A$4,0),MATCH(S$1,'2018_commission_structure'!$A$1:$I$1,0)),0)</f>
        <v>0</v>
      </c>
      <c r="T315" s="9">
        <f t="shared" si="46"/>
        <v>105262.95</v>
      </c>
      <c r="U315" s="9">
        <f t="shared" si="47"/>
        <v>168762.95</v>
      </c>
      <c r="V315" s="9">
        <f>MIN($I315,$H315)*INDEX('Key Metrics'!$E$16:$N$19,MATCH($E315,'Key Metrics'!$E$16:$E$19,0),MATCH(V$1,'Key Metrics'!$E$16:$M$16,0))</f>
        <v>90000</v>
      </c>
      <c r="W315" s="9">
        <f>IF($H315&gt;I315, MIN($H315-I315, J315-I315)*INDEX('Key Metrics'!$E$16:$N$19,MATCH($E315,'Key Metrics'!$E$16:$E$19,0),MATCH(W$1,'Key Metrics'!$E$16:$M$16,0)),0)</f>
        <v>27000</v>
      </c>
      <c r="X315" s="9">
        <f>IF($H315&gt;J315, MIN($H315-J315, K315-J315)*INDEX('Key Metrics'!$E$16:$N$19,MATCH($E315,'Key Metrics'!$E$16:$E$19,0),MATCH(X$1,'Key Metrics'!$E$16:$M$16,0)),0)</f>
        <v>2098.75</v>
      </c>
      <c r="Y315" s="9">
        <f>IF($H315&gt;K315, MIN($H315-K315, L315-K315)*INDEX('Key Metrics'!$E$16:$N$19,MATCH($E315,'Key Metrics'!$E$16:$E$19,0),MATCH(Y$1,'Key Metrics'!$E$16:$M$16,0)),0)</f>
        <v>0</v>
      </c>
      <c r="Z315" s="9">
        <f>IF($H315&gt;L315,($H315-L315)*INDEX('Key Metrics'!$E$16:$N$19,MATCH($E315,'Key Metrics'!$E$16:$E$19,0),MATCH(Z$1,'Key Metrics'!$E$16:$M$16,0)),0)</f>
        <v>0</v>
      </c>
      <c r="AA315" s="9">
        <f t="shared" si="48"/>
        <v>119098.75</v>
      </c>
      <c r="AB315" s="9">
        <f t="shared" si="49"/>
        <v>119100.01399166667</v>
      </c>
    </row>
    <row r="316" spans="1:28" x14ac:dyDescent="0.55000000000000004">
      <c r="A316" t="str">
        <f t="shared" si="40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COUNTIF(deals_closed!$D$2:$D$20001,Calculations!B471)</f>
        <v>21</v>
      </c>
      <c r="H316" s="7">
        <f>SUMIF(deals_closed!$D:$D,Calculations!B471,deals_closed!$C:$C)</f>
        <v>665283</v>
      </c>
      <c r="I316" s="5">
        <f>VLOOKUP(E316,'2018_commission_structure'!$A$1:$I$4,9,FALSE)</f>
        <v>500000</v>
      </c>
      <c r="J316" s="9">
        <f t="shared" si="41"/>
        <v>625000</v>
      </c>
      <c r="K316" s="10">
        <f t="shared" si="42"/>
        <v>750000</v>
      </c>
      <c r="L316" s="9">
        <f t="shared" si="43"/>
        <v>1000000</v>
      </c>
      <c r="M316" s="8">
        <f t="shared" si="44"/>
        <v>1.3305659999999999</v>
      </c>
      <c r="N316" t="str">
        <f t="shared" si="45"/>
        <v>125-150%</v>
      </c>
      <c r="O316" s="9">
        <f>MIN($H316,$I316)*INDEX('2018_commission_structure'!$A$1:$I$4,MATCH($E316,'2018_commission_structure'!$A$1:$A$4,0),MATCH(O$1,'2018_commission_structure'!$A$1:$I$1,0))</f>
        <v>50000</v>
      </c>
      <c r="P316" s="9">
        <f>IF(H316&gt;I316, MIN(H316-I316, J316-I316)*INDEX('2018_commission_structure'!$A$1:$I$4,MATCH($E316,'2018_commission_structure'!$A$1:$A$4,0),MATCH(P$1,'2018_commission_structure'!$A$1:$I$1,0)),0)</f>
        <v>18750</v>
      </c>
      <c r="Q316" s="9">
        <f>IF($H316&gt;J316, MIN($H316-J316, K316-J316)*INDEX('2018_commission_structure'!$A$1:$I$4,MATCH($E316,'2018_commission_structure'!$A$1:$A$4,0),MATCH(Q$1,'2018_commission_structure'!$A$1:$I$1,0)),0)</f>
        <v>7250.94</v>
      </c>
      <c r="R316" s="9">
        <f>IF($H316&gt;K316, MIN($H316-K316, L316-K316)*INDEX('2018_commission_structure'!$A$1:$I$4,MATCH($E316,'2018_commission_structure'!$A$1:$A$4,0),MATCH(R$1,'2018_commission_structure'!$A$1:$I$1,0)),0)</f>
        <v>0</v>
      </c>
      <c r="S316" s="9">
        <f>IF(H316&gt;L316,(H316-L316)*INDEX('2018_commission_structure'!$A$1:$I$4,MATCH($E316,'2018_commission_structure'!$A$1:$A$4,0),MATCH(S$1,'2018_commission_structure'!$A$1:$I$1,0)),0)</f>
        <v>0</v>
      </c>
      <c r="T316" s="9">
        <f t="shared" si="46"/>
        <v>76000.94</v>
      </c>
      <c r="U316" s="9">
        <f t="shared" si="47"/>
        <v>130878.94</v>
      </c>
      <c r="V316" s="9">
        <f>MIN($I316,$H316)*INDEX('Key Metrics'!$E$16:$N$19,MATCH($E316,'Key Metrics'!$E$16:$E$19,0),MATCH(V$1,'Key Metrics'!$E$16:$M$16,0))</f>
        <v>60000</v>
      </c>
      <c r="W316" s="9">
        <f>IF($H316&gt;I316, MIN($H316-I316, J316-I316)*INDEX('Key Metrics'!$E$16:$N$19,MATCH($E316,'Key Metrics'!$E$16:$E$19,0),MATCH(W$1,'Key Metrics'!$E$16:$M$16,0)),0)</f>
        <v>21250</v>
      </c>
      <c r="X316" s="9">
        <f>IF($H316&gt;J316, MIN($H316-J316, K316-J316)*INDEX('Key Metrics'!$E$16:$N$19,MATCH($E316,'Key Metrics'!$E$16:$E$19,0),MATCH(X$1,'Key Metrics'!$E$16:$M$16,0)),0)</f>
        <v>8056.6</v>
      </c>
      <c r="Y316" s="9">
        <f>IF($H316&gt;K316, MIN($H316-K316, L316-K316)*INDEX('Key Metrics'!$E$16:$N$19,MATCH($E316,'Key Metrics'!$E$16:$E$19,0),MATCH(Y$1,'Key Metrics'!$E$16:$M$16,0)),0)</f>
        <v>0</v>
      </c>
      <c r="Z316" s="9">
        <f>IF($H316&gt;L316,($H316-L316)*INDEX('Key Metrics'!$E$16:$N$19,MATCH($E316,'Key Metrics'!$E$16:$E$19,0),MATCH(Z$1,'Key Metrics'!$E$16:$M$16,0)),0)</f>
        <v>0</v>
      </c>
      <c r="AA316" s="9">
        <f t="shared" si="48"/>
        <v>89306.6</v>
      </c>
      <c r="AB316" s="9">
        <f t="shared" si="49"/>
        <v>89307.93056600001</v>
      </c>
    </row>
    <row r="317" spans="1:28" x14ac:dyDescent="0.55000000000000004">
      <c r="A317" t="str">
        <f t="shared" si="40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COUNTIF(deals_closed!$D$2:$D$20001,Calculations!B839)</f>
        <v>15</v>
      </c>
      <c r="H317" s="7">
        <f>SUMIF(deals_closed!$D:$D,Calculations!B839,deals_closed!$C:$C)</f>
        <v>516313</v>
      </c>
      <c r="I317" s="5">
        <f>VLOOKUP(E317,'2018_commission_structure'!$A$1:$I$4,9,FALSE)</f>
        <v>600000</v>
      </c>
      <c r="J317" s="9">
        <f t="shared" si="41"/>
        <v>750000</v>
      </c>
      <c r="K317" s="10">
        <f t="shared" si="42"/>
        <v>900000</v>
      </c>
      <c r="L317" s="9">
        <f t="shared" si="43"/>
        <v>1200000</v>
      </c>
      <c r="M317" s="8">
        <f t="shared" si="44"/>
        <v>0.86052166666666663</v>
      </c>
      <c r="N317" t="str">
        <f t="shared" si="45"/>
        <v>0-100%</v>
      </c>
      <c r="O317" s="9">
        <f>MIN($H317,$I317)*INDEX('2018_commission_structure'!$A$1:$I$4,MATCH($E317,'2018_commission_structure'!$A$1:$A$4,0),MATCH(O$1,'2018_commission_structure'!$A$1:$I$1,0))</f>
        <v>67120.69</v>
      </c>
      <c r="P317" s="9">
        <f>IF(H317&gt;I317, MIN(H317-I317, J317-I317)*INDEX('2018_commission_structure'!$A$1:$I$4,MATCH($E317,'2018_commission_structure'!$A$1:$A$4,0),MATCH(P$1,'2018_commission_structure'!$A$1:$I$1,0)),0)</f>
        <v>0</v>
      </c>
      <c r="Q317" s="9">
        <f>IF($H317&gt;J317, MIN($H317-J317, K317-J317)*INDEX('2018_commission_structure'!$A$1:$I$4,MATCH($E317,'2018_commission_structure'!$A$1:$A$4,0),MATCH(Q$1,'2018_commission_structure'!$A$1:$I$1,0)),0)</f>
        <v>0</v>
      </c>
      <c r="R317" s="9">
        <f>IF($H317&gt;K317, MIN($H317-K317, L317-K317)*INDEX('2018_commission_structure'!$A$1:$I$4,MATCH($E317,'2018_commission_structure'!$A$1:$A$4,0),MATCH(R$1,'2018_commission_structure'!$A$1:$I$1,0)),0)</f>
        <v>0</v>
      </c>
      <c r="S317" s="9">
        <f>IF(H317&gt;L317,(H317-L317)*INDEX('2018_commission_structure'!$A$1:$I$4,MATCH($E317,'2018_commission_structure'!$A$1:$A$4,0),MATCH(S$1,'2018_commission_structure'!$A$1:$I$1,0)),0)</f>
        <v>0</v>
      </c>
      <c r="T317" s="9">
        <f t="shared" si="46"/>
        <v>67120.69</v>
      </c>
      <c r="U317" s="9">
        <f t="shared" si="47"/>
        <v>130591.69</v>
      </c>
      <c r="V317" s="9">
        <f>MIN($I317,$H317)*INDEX('Key Metrics'!$E$16:$N$19,MATCH($E317,'Key Metrics'!$E$16:$E$19,0),MATCH(V$1,'Key Metrics'!$E$16:$M$16,0))</f>
        <v>77446.95</v>
      </c>
      <c r="W317" s="9">
        <f>IF($H317&gt;I317, MIN($H317-I317, J317-I317)*INDEX('Key Metrics'!$E$16:$N$19,MATCH($E317,'Key Metrics'!$E$16:$E$19,0),MATCH(W$1,'Key Metrics'!$E$16:$M$16,0)),0)</f>
        <v>0</v>
      </c>
      <c r="X317" s="9">
        <f>IF($H317&gt;J317, MIN($H317-J317, K317-J317)*INDEX('Key Metrics'!$E$16:$N$19,MATCH($E317,'Key Metrics'!$E$16:$E$19,0),MATCH(X$1,'Key Metrics'!$E$16:$M$16,0)),0)</f>
        <v>0</v>
      </c>
      <c r="Y317" s="9">
        <f>IF($H317&gt;K317, MIN($H317-K317, L317-K317)*INDEX('Key Metrics'!$E$16:$N$19,MATCH($E317,'Key Metrics'!$E$16:$E$19,0),MATCH(Y$1,'Key Metrics'!$E$16:$M$16,0)),0)</f>
        <v>0</v>
      </c>
      <c r="Z317" s="9">
        <f>IF($H317&gt;L317,($H317-L317)*INDEX('Key Metrics'!$E$16:$N$19,MATCH($E317,'Key Metrics'!$E$16:$E$19,0),MATCH(Z$1,'Key Metrics'!$E$16:$M$16,0)),0)</f>
        <v>0</v>
      </c>
      <c r="AA317" s="9">
        <f t="shared" si="48"/>
        <v>77446.95</v>
      </c>
      <c r="AB317" s="9">
        <f t="shared" si="49"/>
        <v>77447.810521666659</v>
      </c>
    </row>
    <row r="318" spans="1:28" x14ac:dyDescent="0.55000000000000004">
      <c r="A318" t="str">
        <f t="shared" si="40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COUNTIF(deals_closed!$D$2:$D$20001,Calculations!B567)</f>
        <v>17</v>
      </c>
      <c r="H318" s="7">
        <f>SUMIF(deals_closed!$D:$D,Calculations!B567,deals_closed!$C:$C)</f>
        <v>570251</v>
      </c>
      <c r="I318" s="5">
        <f>VLOOKUP(E318,'2018_commission_structure'!$A$1:$I$4,9,FALSE)</f>
        <v>500000</v>
      </c>
      <c r="J318" s="9">
        <f t="shared" si="41"/>
        <v>625000</v>
      </c>
      <c r="K318" s="10">
        <f t="shared" si="42"/>
        <v>750000</v>
      </c>
      <c r="L318" s="9">
        <f t="shared" si="43"/>
        <v>1000000</v>
      </c>
      <c r="M318" s="8">
        <f t="shared" si="44"/>
        <v>1.1405019999999999</v>
      </c>
      <c r="N318" t="str">
        <f t="shared" si="45"/>
        <v>100-125%</v>
      </c>
      <c r="O318" s="9">
        <f>MIN($H318,$I318)*INDEX('2018_commission_structure'!$A$1:$I$4,MATCH($E318,'2018_commission_structure'!$A$1:$A$4,0),MATCH(O$1,'2018_commission_structure'!$A$1:$I$1,0))</f>
        <v>50000</v>
      </c>
      <c r="P318" s="9">
        <f>IF(H318&gt;I318, MIN(H318-I318, J318-I318)*INDEX('2018_commission_structure'!$A$1:$I$4,MATCH($E318,'2018_commission_structure'!$A$1:$A$4,0),MATCH(P$1,'2018_commission_structure'!$A$1:$I$1,0)),0)</f>
        <v>10537.65</v>
      </c>
      <c r="Q318" s="9">
        <f>IF($H318&gt;J318, MIN($H318-J318, K318-J318)*INDEX('2018_commission_structure'!$A$1:$I$4,MATCH($E318,'2018_commission_structure'!$A$1:$A$4,0),MATCH(Q$1,'2018_commission_structure'!$A$1:$I$1,0)),0)</f>
        <v>0</v>
      </c>
      <c r="R318" s="9">
        <f>IF($H318&gt;K318, MIN($H318-K318, L318-K318)*INDEX('2018_commission_structure'!$A$1:$I$4,MATCH($E318,'2018_commission_structure'!$A$1:$A$4,0),MATCH(R$1,'2018_commission_structure'!$A$1:$I$1,0)),0)</f>
        <v>0</v>
      </c>
      <c r="S318" s="9">
        <f>IF(H318&gt;L318,(H318-L318)*INDEX('2018_commission_structure'!$A$1:$I$4,MATCH($E318,'2018_commission_structure'!$A$1:$A$4,0),MATCH(S$1,'2018_commission_structure'!$A$1:$I$1,0)),0)</f>
        <v>0</v>
      </c>
      <c r="T318" s="9">
        <f t="shared" si="46"/>
        <v>60537.65</v>
      </c>
      <c r="U318" s="9">
        <f t="shared" si="47"/>
        <v>105633.65</v>
      </c>
      <c r="V318" s="9">
        <f>MIN($I318,$H318)*INDEX('Key Metrics'!$E$16:$N$19,MATCH($E318,'Key Metrics'!$E$16:$E$19,0),MATCH(V$1,'Key Metrics'!$E$16:$M$16,0))</f>
        <v>60000</v>
      </c>
      <c r="W318" s="9">
        <f>IF($H318&gt;I318, MIN($H318-I318, J318-I318)*INDEX('Key Metrics'!$E$16:$N$19,MATCH($E318,'Key Metrics'!$E$16:$E$19,0),MATCH(W$1,'Key Metrics'!$E$16:$M$16,0)),0)</f>
        <v>11942.67</v>
      </c>
      <c r="X318" s="9">
        <f>IF($H318&gt;J318, MIN($H318-J318, K318-J318)*INDEX('Key Metrics'!$E$16:$N$19,MATCH($E318,'Key Metrics'!$E$16:$E$19,0),MATCH(X$1,'Key Metrics'!$E$16:$M$16,0)),0)</f>
        <v>0</v>
      </c>
      <c r="Y318" s="9">
        <f>IF($H318&gt;K318, MIN($H318-K318, L318-K318)*INDEX('Key Metrics'!$E$16:$N$19,MATCH($E318,'Key Metrics'!$E$16:$E$19,0),MATCH(Y$1,'Key Metrics'!$E$16:$M$16,0)),0)</f>
        <v>0</v>
      </c>
      <c r="Z318" s="9">
        <f>IF($H318&gt;L318,($H318-L318)*INDEX('Key Metrics'!$E$16:$N$19,MATCH($E318,'Key Metrics'!$E$16:$E$19,0),MATCH(Z$1,'Key Metrics'!$E$16:$M$16,0)),0)</f>
        <v>0</v>
      </c>
      <c r="AA318" s="9">
        <f t="shared" si="48"/>
        <v>71942.67</v>
      </c>
      <c r="AB318" s="9">
        <f t="shared" si="49"/>
        <v>71943.810501999993</v>
      </c>
    </row>
    <row r="319" spans="1:28" x14ac:dyDescent="0.55000000000000004">
      <c r="A319" t="str">
        <f t="shared" si="40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COUNTIF(deals_closed!$D$2:$D$20001,Calculations!B630)</f>
        <v>17</v>
      </c>
      <c r="H319" s="7">
        <f>SUMIF(deals_closed!$D:$D,Calculations!B630,deals_closed!$C:$C)</f>
        <v>680087</v>
      </c>
      <c r="I319" s="5">
        <f>VLOOKUP(E319,'2018_commission_structure'!$A$1:$I$4,9,FALSE)</f>
        <v>500000</v>
      </c>
      <c r="J319" s="9">
        <f t="shared" si="41"/>
        <v>625000</v>
      </c>
      <c r="K319" s="10">
        <f t="shared" si="42"/>
        <v>750000</v>
      </c>
      <c r="L319" s="9">
        <f t="shared" si="43"/>
        <v>1000000</v>
      </c>
      <c r="M319" s="8">
        <f t="shared" si="44"/>
        <v>1.360174</v>
      </c>
      <c r="N319" t="str">
        <f t="shared" si="45"/>
        <v>125-150%</v>
      </c>
      <c r="O319" s="9">
        <f>MIN($H319,$I319)*INDEX('2018_commission_structure'!$A$1:$I$4,MATCH($E319,'2018_commission_structure'!$A$1:$A$4,0),MATCH(O$1,'2018_commission_structure'!$A$1:$I$1,0))</f>
        <v>50000</v>
      </c>
      <c r="P319" s="9">
        <f>IF(H319&gt;I319, MIN(H319-I319, J319-I319)*INDEX('2018_commission_structure'!$A$1:$I$4,MATCH($E319,'2018_commission_structure'!$A$1:$A$4,0),MATCH(P$1,'2018_commission_structure'!$A$1:$I$1,0)),0)</f>
        <v>18750</v>
      </c>
      <c r="Q319" s="9">
        <f>IF($H319&gt;J319, MIN($H319-J319, K319-J319)*INDEX('2018_commission_structure'!$A$1:$I$4,MATCH($E319,'2018_commission_structure'!$A$1:$A$4,0),MATCH(Q$1,'2018_commission_structure'!$A$1:$I$1,0)),0)</f>
        <v>9915.66</v>
      </c>
      <c r="R319" s="9">
        <f>IF($H319&gt;K319, MIN($H319-K319, L319-K319)*INDEX('2018_commission_structure'!$A$1:$I$4,MATCH($E319,'2018_commission_structure'!$A$1:$A$4,0),MATCH(R$1,'2018_commission_structure'!$A$1:$I$1,0)),0)</f>
        <v>0</v>
      </c>
      <c r="S319" s="9">
        <f>IF(H319&gt;L319,(H319-L319)*INDEX('2018_commission_structure'!$A$1:$I$4,MATCH($E319,'2018_commission_structure'!$A$1:$A$4,0),MATCH(S$1,'2018_commission_structure'!$A$1:$I$1,0)),0)</f>
        <v>0</v>
      </c>
      <c r="T319" s="9">
        <f t="shared" si="46"/>
        <v>78665.66</v>
      </c>
      <c r="U319" s="9">
        <f t="shared" si="47"/>
        <v>126916.66</v>
      </c>
      <c r="V319" s="9">
        <f>MIN($I319,$H319)*INDEX('Key Metrics'!$E$16:$N$19,MATCH($E319,'Key Metrics'!$E$16:$E$19,0),MATCH(V$1,'Key Metrics'!$E$16:$M$16,0))</f>
        <v>60000</v>
      </c>
      <c r="W319" s="9">
        <f>IF($H319&gt;I319, MIN($H319-I319, J319-I319)*INDEX('Key Metrics'!$E$16:$N$19,MATCH($E319,'Key Metrics'!$E$16:$E$19,0),MATCH(W$1,'Key Metrics'!$E$16:$M$16,0)),0)</f>
        <v>21250</v>
      </c>
      <c r="X319" s="9">
        <f>IF($H319&gt;J319, MIN($H319-J319, K319-J319)*INDEX('Key Metrics'!$E$16:$N$19,MATCH($E319,'Key Metrics'!$E$16:$E$19,0),MATCH(X$1,'Key Metrics'!$E$16:$M$16,0)),0)</f>
        <v>11017.400000000001</v>
      </c>
      <c r="Y319" s="9">
        <f>IF($H319&gt;K319, MIN($H319-K319, L319-K319)*INDEX('Key Metrics'!$E$16:$N$19,MATCH($E319,'Key Metrics'!$E$16:$E$19,0),MATCH(Y$1,'Key Metrics'!$E$16:$M$16,0)),0)</f>
        <v>0</v>
      </c>
      <c r="Z319" s="9">
        <f>IF($H319&gt;L319,($H319-L319)*INDEX('Key Metrics'!$E$16:$N$19,MATCH($E319,'Key Metrics'!$E$16:$E$19,0),MATCH(Z$1,'Key Metrics'!$E$16:$M$16,0)),0)</f>
        <v>0</v>
      </c>
      <c r="AA319" s="9">
        <f t="shared" si="48"/>
        <v>92267.4</v>
      </c>
      <c r="AB319" s="9">
        <f t="shared" si="49"/>
        <v>92268.760173999995</v>
      </c>
    </row>
    <row r="320" spans="1:28" x14ac:dyDescent="0.55000000000000004">
      <c r="A320" t="str">
        <f t="shared" si="40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COUNTIF(deals_closed!$D$2:$D$20001,Calculations!B707)</f>
        <v>14</v>
      </c>
      <c r="H320" s="7">
        <f>SUMIF(deals_closed!$D:$D,Calculations!B707,deals_closed!$C:$C)</f>
        <v>595107</v>
      </c>
      <c r="I320" s="5">
        <f>VLOOKUP(E320,'2018_commission_structure'!$A$1:$I$4,9,FALSE)</f>
        <v>500000</v>
      </c>
      <c r="J320" s="9">
        <f t="shared" si="41"/>
        <v>625000</v>
      </c>
      <c r="K320" s="10">
        <f t="shared" si="42"/>
        <v>750000</v>
      </c>
      <c r="L320" s="9">
        <f t="shared" si="43"/>
        <v>1000000</v>
      </c>
      <c r="M320" s="8">
        <f t="shared" si="44"/>
        <v>1.1902140000000001</v>
      </c>
      <c r="N320" t="str">
        <f t="shared" si="45"/>
        <v>100-125%</v>
      </c>
      <c r="O320" s="9">
        <f>MIN($H320,$I320)*INDEX('2018_commission_structure'!$A$1:$I$4,MATCH($E320,'2018_commission_structure'!$A$1:$A$4,0),MATCH(O$1,'2018_commission_structure'!$A$1:$I$1,0))</f>
        <v>50000</v>
      </c>
      <c r="P320" s="9">
        <f>IF(H320&gt;I320, MIN(H320-I320, J320-I320)*INDEX('2018_commission_structure'!$A$1:$I$4,MATCH($E320,'2018_commission_structure'!$A$1:$A$4,0),MATCH(P$1,'2018_commission_structure'!$A$1:$I$1,0)),0)</f>
        <v>14266.05</v>
      </c>
      <c r="Q320" s="9">
        <f>IF($H320&gt;J320, MIN($H320-J320, K320-J320)*INDEX('2018_commission_structure'!$A$1:$I$4,MATCH($E320,'2018_commission_structure'!$A$1:$A$4,0),MATCH(Q$1,'2018_commission_structure'!$A$1:$I$1,0)),0)</f>
        <v>0</v>
      </c>
      <c r="R320" s="9">
        <f>IF($H320&gt;K320, MIN($H320-K320, L320-K320)*INDEX('2018_commission_structure'!$A$1:$I$4,MATCH($E320,'2018_commission_structure'!$A$1:$A$4,0),MATCH(R$1,'2018_commission_structure'!$A$1:$I$1,0)),0)</f>
        <v>0</v>
      </c>
      <c r="S320" s="9">
        <f>IF(H320&gt;L320,(H320-L320)*INDEX('2018_commission_structure'!$A$1:$I$4,MATCH($E320,'2018_commission_structure'!$A$1:$A$4,0),MATCH(S$1,'2018_commission_structure'!$A$1:$I$1,0)),0)</f>
        <v>0</v>
      </c>
      <c r="T320" s="9">
        <f t="shared" si="46"/>
        <v>64266.05</v>
      </c>
      <c r="U320" s="9">
        <f t="shared" si="47"/>
        <v>100069.05</v>
      </c>
      <c r="V320" s="9">
        <f>MIN($I320,$H320)*INDEX('Key Metrics'!$E$16:$N$19,MATCH($E320,'Key Metrics'!$E$16:$E$19,0),MATCH(V$1,'Key Metrics'!$E$16:$M$16,0))</f>
        <v>60000</v>
      </c>
      <c r="W320" s="9">
        <f>IF($H320&gt;I320, MIN($H320-I320, J320-I320)*INDEX('Key Metrics'!$E$16:$N$19,MATCH($E320,'Key Metrics'!$E$16:$E$19,0),MATCH(W$1,'Key Metrics'!$E$16:$M$16,0)),0)</f>
        <v>16168.19</v>
      </c>
      <c r="X320" s="9">
        <f>IF($H320&gt;J320, MIN($H320-J320, K320-J320)*INDEX('Key Metrics'!$E$16:$N$19,MATCH($E320,'Key Metrics'!$E$16:$E$19,0),MATCH(X$1,'Key Metrics'!$E$16:$M$16,0)),0)</f>
        <v>0</v>
      </c>
      <c r="Y320" s="9">
        <f>IF($H320&gt;K320, MIN($H320-K320, L320-K320)*INDEX('Key Metrics'!$E$16:$N$19,MATCH($E320,'Key Metrics'!$E$16:$E$19,0),MATCH(Y$1,'Key Metrics'!$E$16:$M$16,0)),0)</f>
        <v>0</v>
      </c>
      <c r="Z320" s="9">
        <f>IF($H320&gt;L320,($H320-L320)*INDEX('Key Metrics'!$E$16:$N$19,MATCH($E320,'Key Metrics'!$E$16:$E$19,0),MATCH(Z$1,'Key Metrics'!$E$16:$M$16,0)),0)</f>
        <v>0</v>
      </c>
      <c r="AA320" s="9">
        <f t="shared" si="48"/>
        <v>76168.19</v>
      </c>
      <c r="AB320" s="9">
        <f t="shared" si="49"/>
        <v>76169.380214000004</v>
      </c>
    </row>
    <row r="321" spans="1:28" x14ac:dyDescent="0.55000000000000004">
      <c r="A321" t="str">
        <f t="shared" si="40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COUNTIF(deals_closed!$D$2:$D$20001,Calculations!B636)</f>
        <v>15</v>
      </c>
      <c r="H321" s="7">
        <f>SUMIF(deals_closed!$D:$D,Calculations!B636,deals_closed!$C:$C)</f>
        <v>574225</v>
      </c>
      <c r="I321" s="5">
        <f>VLOOKUP(E321,'2018_commission_structure'!$A$1:$I$4,9,FALSE)</f>
        <v>500000</v>
      </c>
      <c r="J321" s="9">
        <f t="shared" si="41"/>
        <v>625000</v>
      </c>
      <c r="K321" s="10">
        <f t="shared" si="42"/>
        <v>750000</v>
      </c>
      <c r="L321" s="9">
        <f t="shared" si="43"/>
        <v>1000000</v>
      </c>
      <c r="M321" s="8">
        <f t="shared" si="44"/>
        <v>1.14845</v>
      </c>
      <c r="N321" t="str">
        <f t="shared" si="45"/>
        <v>100-125%</v>
      </c>
      <c r="O321" s="9">
        <f>MIN($H321,$I321)*INDEX('2018_commission_structure'!$A$1:$I$4,MATCH($E321,'2018_commission_structure'!$A$1:$A$4,0),MATCH(O$1,'2018_commission_structure'!$A$1:$I$1,0))</f>
        <v>50000</v>
      </c>
      <c r="P321" s="9">
        <f>IF(H321&gt;I321, MIN(H321-I321, J321-I321)*INDEX('2018_commission_structure'!$A$1:$I$4,MATCH($E321,'2018_commission_structure'!$A$1:$A$4,0),MATCH(P$1,'2018_commission_structure'!$A$1:$I$1,0)),0)</f>
        <v>11133.75</v>
      </c>
      <c r="Q321" s="9">
        <f>IF($H321&gt;J321, MIN($H321-J321, K321-J321)*INDEX('2018_commission_structure'!$A$1:$I$4,MATCH($E321,'2018_commission_structure'!$A$1:$A$4,0),MATCH(Q$1,'2018_commission_structure'!$A$1:$I$1,0)),0)</f>
        <v>0</v>
      </c>
      <c r="R321" s="9">
        <f>IF($H321&gt;K321, MIN($H321-K321, L321-K321)*INDEX('2018_commission_structure'!$A$1:$I$4,MATCH($E321,'2018_commission_structure'!$A$1:$A$4,0),MATCH(R$1,'2018_commission_structure'!$A$1:$I$1,0)),0)</f>
        <v>0</v>
      </c>
      <c r="S321" s="9">
        <f>IF(H321&gt;L321,(H321-L321)*INDEX('2018_commission_structure'!$A$1:$I$4,MATCH($E321,'2018_commission_structure'!$A$1:$A$4,0),MATCH(S$1,'2018_commission_structure'!$A$1:$I$1,0)),0)</f>
        <v>0</v>
      </c>
      <c r="T321" s="9">
        <f t="shared" si="46"/>
        <v>61133.75</v>
      </c>
      <c r="U321" s="9">
        <f t="shared" si="47"/>
        <v>96726.75</v>
      </c>
      <c r="V321" s="9">
        <f>MIN($I321,$H321)*INDEX('Key Metrics'!$E$16:$N$19,MATCH($E321,'Key Metrics'!$E$16:$E$19,0),MATCH(V$1,'Key Metrics'!$E$16:$M$16,0))</f>
        <v>60000</v>
      </c>
      <c r="W321" s="9">
        <f>IF($H321&gt;I321, MIN($H321-I321, J321-I321)*INDEX('Key Metrics'!$E$16:$N$19,MATCH($E321,'Key Metrics'!$E$16:$E$19,0),MATCH(W$1,'Key Metrics'!$E$16:$M$16,0)),0)</f>
        <v>12618.25</v>
      </c>
      <c r="X321" s="9">
        <f>IF($H321&gt;J321, MIN($H321-J321, K321-J321)*INDEX('Key Metrics'!$E$16:$N$19,MATCH($E321,'Key Metrics'!$E$16:$E$19,0),MATCH(X$1,'Key Metrics'!$E$16:$M$16,0)),0)</f>
        <v>0</v>
      </c>
      <c r="Y321" s="9">
        <f>IF($H321&gt;K321, MIN($H321-K321, L321-K321)*INDEX('Key Metrics'!$E$16:$N$19,MATCH($E321,'Key Metrics'!$E$16:$E$19,0),MATCH(Y$1,'Key Metrics'!$E$16:$M$16,0)),0)</f>
        <v>0</v>
      </c>
      <c r="Z321" s="9">
        <f>IF($H321&gt;L321,($H321-L321)*INDEX('Key Metrics'!$E$16:$N$19,MATCH($E321,'Key Metrics'!$E$16:$E$19,0),MATCH(Z$1,'Key Metrics'!$E$16:$M$16,0)),0)</f>
        <v>0</v>
      </c>
      <c r="AA321" s="9">
        <f t="shared" si="48"/>
        <v>72618.25</v>
      </c>
      <c r="AB321" s="9">
        <f t="shared" si="49"/>
        <v>72619.398449999993</v>
      </c>
    </row>
    <row r="322" spans="1:28" x14ac:dyDescent="0.55000000000000004">
      <c r="A322" t="str">
        <f t="shared" ref="A322:A385" si="50">CONCATENATE(C322," ",D322)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COUNTIF(deals_closed!$D$2:$D$20001,Calculations!B15)</f>
        <v>27</v>
      </c>
      <c r="H322" s="7">
        <f>SUMIF(deals_closed!$D:$D,Calculations!B15,deals_closed!$C:$C)</f>
        <v>909707</v>
      </c>
      <c r="I322" s="5">
        <f>VLOOKUP(E322,'2018_commission_structure'!$A$1:$I$4,9,FALSE)</f>
        <v>500000</v>
      </c>
      <c r="J322" s="9">
        <f t="shared" ref="J322:J385" si="51">I322*1.25</f>
        <v>625000</v>
      </c>
      <c r="K322" s="10">
        <f t="shared" ref="K322:K385" si="52">I322*1.5</f>
        <v>750000</v>
      </c>
      <c r="L322" s="9">
        <f t="shared" ref="L322:L385" si="53">I322*2</f>
        <v>1000000</v>
      </c>
      <c r="M322" s="8">
        <f t="shared" ref="M322:M385" si="54">H322/I322</f>
        <v>1.8194140000000001</v>
      </c>
      <c r="N322" t="str">
        <f t="shared" ref="N322:N385" si="55">IF(M322&lt;=100%,"0-100%",IF(M322&lt;=125%,"100-125%",IF(M322&lt;=150%,"125-150%",IF(M322&lt;=200%,"150-200%","&gt;200%"))))</f>
        <v>150-200%</v>
      </c>
      <c r="O322" s="9">
        <f>MIN($H322,$I322)*INDEX('2018_commission_structure'!$A$1:$I$4,MATCH($E322,'2018_commission_structure'!$A$1:$A$4,0),MATCH(O$1,'2018_commission_structure'!$A$1:$I$1,0))</f>
        <v>50000</v>
      </c>
      <c r="P322" s="9">
        <f>IF(H322&gt;I322, MIN(H322-I322, J322-I322)*INDEX('2018_commission_structure'!$A$1:$I$4,MATCH($E322,'2018_commission_structure'!$A$1:$A$4,0),MATCH(P$1,'2018_commission_structure'!$A$1:$I$1,0)),0)</f>
        <v>18750</v>
      </c>
      <c r="Q322" s="9">
        <f>IF($H322&gt;J322, MIN($H322-J322, K322-J322)*INDEX('2018_commission_structure'!$A$1:$I$4,MATCH($E322,'2018_commission_structure'!$A$1:$A$4,0),MATCH(Q$1,'2018_commission_structure'!$A$1:$I$1,0)),0)</f>
        <v>22500</v>
      </c>
      <c r="R322" s="9">
        <f>IF($H322&gt;K322, MIN($H322-K322, L322-K322)*INDEX('2018_commission_structure'!$A$1:$I$4,MATCH($E322,'2018_commission_structure'!$A$1:$A$4,0),MATCH(R$1,'2018_commission_structure'!$A$1:$I$1,0)),0)</f>
        <v>35135.54</v>
      </c>
      <c r="S322" s="9">
        <f>IF(H322&gt;L322,(H322-L322)*INDEX('2018_commission_structure'!$A$1:$I$4,MATCH($E322,'2018_commission_structure'!$A$1:$A$4,0),MATCH(S$1,'2018_commission_structure'!$A$1:$I$1,0)),0)</f>
        <v>0</v>
      </c>
      <c r="T322" s="9">
        <f t="shared" ref="T322:T385" si="56">SUM(O322:S322)</f>
        <v>126385.54000000001</v>
      </c>
      <c r="U322" s="9">
        <f t="shared" ref="U322:U385" si="57">F322+T322</f>
        <v>164489.54</v>
      </c>
      <c r="V322" s="9">
        <f>MIN($I322,$H322)*INDEX('Key Metrics'!$E$16:$N$19,MATCH($E322,'Key Metrics'!$E$16:$E$19,0),MATCH(V$1,'Key Metrics'!$E$16:$M$16,0))</f>
        <v>60000</v>
      </c>
      <c r="W322" s="9">
        <f>IF($H322&gt;I322, MIN($H322-I322, J322-I322)*INDEX('Key Metrics'!$E$16:$N$19,MATCH($E322,'Key Metrics'!$E$16:$E$19,0),MATCH(W$1,'Key Metrics'!$E$16:$M$16,0)),0)</f>
        <v>21250</v>
      </c>
      <c r="X322" s="9">
        <f>IF($H322&gt;J322, MIN($H322-J322, K322-J322)*INDEX('Key Metrics'!$E$16:$N$19,MATCH($E322,'Key Metrics'!$E$16:$E$19,0),MATCH(X$1,'Key Metrics'!$E$16:$M$16,0)),0)</f>
        <v>25000</v>
      </c>
      <c r="Y322" s="9">
        <f>IF($H322&gt;K322, MIN($H322-K322, L322-K322)*INDEX('Key Metrics'!$E$16:$N$19,MATCH($E322,'Key Metrics'!$E$16:$E$19,0),MATCH(Y$1,'Key Metrics'!$E$16:$M$16,0)),0)</f>
        <v>35135.54</v>
      </c>
      <c r="Z322" s="9">
        <f>IF($H322&gt;L322,($H322-L322)*INDEX('Key Metrics'!$E$16:$N$19,MATCH($E322,'Key Metrics'!$E$16:$E$19,0),MATCH(Z$1,'Key Metrics'!$E$16:$M$16,0)),0)</f>
        <v>0</v>
      </c>
      <c r="AA322" s="9">
        <f t="shared" ref="AA322:AA385" si="58">SUM(V322:Z322)</f>
        <v>141385.54</v>
      </c>
      <c r="AB322" s="9">
        <f t="shared" ref="AB322:AB385" si="59">M322+AA322</f>
        <v>141387.35941400001</v>
      </c>
    </row>
    <row r="323" spans="1:28" x14ac:dyDescent="0.55000000000000004">
      <c r="A323" t="str">
        <f t="shared" si="5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COUNTIF(deals_closed!$D$2:$D$20001,Calculations!B354)</f>
        <v>17</v>
      </c>
      <c r="H323" s="7">
        <f>SUMIF(deals_closed!$D:$D,Calculations!B354,deals_closed!$C:$C)</f>
        <v>523072</v>
      </c>
      <c r="I323" s="5">
        <f>VLOOKUP(E323,'2018_commission_structure'!$A$1:$I$4,9,FALSE)</f>
        <v>750000</v>
      </c>
      <c r="J323" s="9">
        <f t="shared" si="51"/>
        <v>937500</v>
      </c>
      <c r="K323" s="10">
        <f t="shared" si="52"/>
        <v>1125000</v>
      </c>
      <c r="L323" s="9">
        <f t="shared" si="53"/>
        <v>1500000</v>
      </c>
      <c r="M323" s="8">
        <f t="shared" si="54"/>
        <v>0.69742933333333335</v>
      </c>
      <c r="N323" t="str">
        <f t="shared" si="55"/>
        <v>0-100%</v>
      </c>
      <c r="O323" s="9">
        <f>MIN($H323,$I323)*INDEX('2018_commission_structure'!$A$1:$I$4,MATCH($E323,'2018_commission_structure'!$A$1:$A$4,0),MATCH(O$1,'2018_commission_structure'!$A$1:$I$1,0))</f>
        <v>78460.800000000003</v>
      </c>
      <c r="P323" s="9">
        <f>IF(H323&gt;I323, MIN(H323-I323, J323-I323)*INDEX('2018_commission_structure'!$A$1:$I$4,MATCH($E323,'2018_commission_structure'!$A$1:$A$4,0),MATCH(P$1,'2018_commission_structure'!$A$1:$I$1,0)),0)</f>
        <v>0</v>
      </c>
      <c r="Q323" s="9">
        <f>IF($H323&gt;J323, MIN($H323-J323, K323-J323)*INDEX('2018_commission_structure'!$A$1:$I$4,MATCH($E323,'2018_commission_structure'!$A$1:$A$4,0),MATCH(Q$1,'2018_commission_structure'!$A$1:$I$1,0)),0)</f>
        <v>0</v>
      </c>
      <c r="R323" s="9">
        <f>IF($H323&gt;K323, MIN($H323-K323, L323-K323)*INDEX('2018_commission_structure'!$A$1:$I$4,MATCH($E323,'2018_commission_structure'!$A$1:$A$4,0),MATCH(R$1,'2018_commission_structure'!$A$1:$I$1,0)),0)</f>
        <v>0</v>
      </c>
      <c r="S323" s="9">
        <f>IF(H323&gt;L323,(H323-L323)*INDEX('2018_commission_structure'!$A$1:$I$4,MATCH($E323,'2018_commission_structure'!$A$1:$A$4,0),MATCH(S$1,'2018_commission_structure'!$A$1:$I$1,0)),0)</f>
        <v>0</v>
      </c>
      <c r="T323" s="9">
        <f t="shared" si="56"/>
        <v>78460.800000000003</v>
      </c>
      <c r="U323" s="9">
        <f t="shared" si="57"/>
        <v>190760.8</v>
      </c>
      <c r="V323" s="9">
        <f>MIN($I323,$H323)*INDEX('Key Metrics'!$E$16:$N$19,MATCH($E323,'Key Metrics'!$E$16:$E$19,0),MATCH(V$1,'Key Metrics'!$E$16:$M$16,0))</f>
        <v>78460.800000000003</v>
      </c>
      <c r="W323" s="9">
        <f>IF($H323&gt;I323, MIN($H323-I323, J323-I323)*INDEX('Key Metrics'!$E$16:$N$19,MATCH($E323,'Key Metrics'!$E$16:$E$19,0),MATCH(W$1,'Key Metrics'!$E$16:$M$16,0)),0)</f>
        <v>0</v>
      </c>
      <c r="X323" s="9">
        <f>IF($H323&gt;J323, MIN($H323-J323, K323-J323)*INDEX('Key Metrics'!$E$16:$N$19,MATCH($E323,'Key Metrics'!$E$16:$E$19,0),MATCH(X$1,'Key Metrics'!$E$16:$M$16,0)),0)</f>
        <v>0</v>
      </c>
      <c r="Y323" s="9">
        <f>IF($H323&gt;K323, MIN($H323-K323, L323-K323)*INDEX('Key Metrics'!$E$16:$N$19,MATCH($E323,'Key Metrics'!$E$16:$E$19,0),MATCH(Y$1,'Key Metrics'!$E$16:$M$16,0)),0)</f>
        <v>0</v>
      </c>
      <c r="Z323" s="9">
        <f>IF($H323&gt;L323,($H323-L323)*INDEX('Key Metrics'!$E$16:$N$19,MATCH($E323,'Key Metrics'!$E$16:$E$19,0),MATCH(Z$1,'Key Metrics'!$E$16:$M$16,0)),0)</f>
        <v>0</v>
      </c>
      <c r="AA323" s="9">
        <f t="shared" si="58"/>
        <v>78460.800000000003</v>
      </c>
      <c r="AB323" s="9">
        <f t="shared" si="59"/>
        <v>78461.497429333336</v>
      </c>
    </row>
    <row r="324" spans="1:28" x14ac:dyDescent="0.55000000000000004">
      <c r="A324" t="str">
        <f t="shared" si="5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COUNTIF(deals_closed!$D$2:$D$20001,Calculations!B222)</f>
        <v>20</v>
      </c>
      <c r="H324" s="7">
        <f>SUMIF(deals_closed!$D:$D,Calculations!B222,deals_closed!$C:$C)</f>
        <v>621576</v>
      </c>
      <c r="I324" s="5">
        <f>VLOOKUP(E324,'2018_commission_structure'!$A$1:$I$4,9,FALSE)</f>
        <v>500000</v>
      </c>
      <c r="J324" s="9">
        <f t="shared" si="51"/>
        <v>625000</v>
      </c>
      <c r="K324" s="10">
        <f t="shared" si="52"/>
        <v>750000</v>
      </c>
      <c r="L324" s="9">
        <f t="shared" si="53"/>
        <v>1000000</v>
      </c>
      <c r="M324" s="8">
        <f t="shared" si="54"/>
        <v>1.243152</v>
      </c>
      <c r="N324" t="str">
        <f t="shared" si="55"/>
        <v>100-125%</v>
      </c>
      <c r="O324" s="9">
        <f>MIN($H324,$I324)*INDEX('2018_commission_structure'!$A$1:$I$4,MATCH($E324,'2018_commission_structure'!$A$1:$A$4,0),MATCH(O$1,'2018_commission_structure'!$A$1:$I$1,0))</f>
        <v>50000</v>
      </c>
      <c r="P324" s="9">
        <f>IF(H324&gt;I324, MIN(H324-I324, J324-I324)*INDEX('2018_commission_structure'!$A$1:$I$4,MATCH($E324,'2018_commission_structure'!$A$1:$A$4,0),MATCH(P$1,'2018_commission_structure'!$A$1:$I$1,0)),0)</f>
        <v>18236.399999999998</v>
      </c>
      <c r="Q324" s="9">
        <f>IF($H324&gt;J324, MIN($H324-J324, K324-J324)*INDEX('2018_commission_structure'!$A$1:$I$4,MATCH($E324,'2018_commission_structure'!$A$1:$A$4,0),MATCH(Q$1,'2018_commission_structure'!$A$1:$I$1,0)),0)</f>
        <v>0</v>
      </c>
      <c r="R324" s="9">
        <f>IF($H324&gt;K324, MIN($H324-K324, L324-K324)*INDEX('2018_commission_structure'!$A$1:$I$4,MATCH($E324,'2018_commission_structure'!$A$1:$A$4,0),MATCH(R$1,'2018_commission_structure'!$A$1:$I$1,0)),0)</f>
        <v>0</v>
      </c>
      <c r="S324" s="9">
        <f>IF(H324&gt;L324,(H324-L324)*INDEX('2018_commission_structure'!$A$1:$I$4,MATCH($E324,'2018_commission_structure'!$A$1:$A$4,0),MATCH(S$1,'2018_commission_structure'!$A$1:$I$1,0)),0)</f>
        <v>0</v>
      </c>
      <c r="T324" s="9">
        <f t="shared" si="56"/>
        <v>68236.399999999994</v>
      </c>
      <c r="U324" s="9">
        <f t="shared" si="57"/>
        <v>111409.4</v>
      </c>
      <c r="V324" s="9">
        <f>MIN($I324,$H324)*INDEX('Key Metrics'!$E$16:$N$19,MATCH($E324,'Key Metrics'!$E$16:$E$19,0),MATCH(V$1,'Key Metrics'!$E$16:$M$16,0))</f>
        <v>60000</v>
      </c>
      <c r="W324" s="9">
        <f>IF($H324&gt;I324, MIN($H324-I324, J324-I324)*INDEX('Key Metrics'!$E$16:$N$19,MATCH($E324,'Key Metrics'!$E$16:$E$19,0),MATCH(W$1,'Key Metrics'!$E$16:$M$16,0)),0)</f>
        <v>20667.920000000002</v>
      </c>
      <c r="X324" s="9">
        <f>IF($H324&gt;J324, MIN($H324-J324, K324-J324)*INDEX('Key Metrics'!$E$16:$N$19,MATCH($E324,'Key Metrics'!$E$16:$E$19,0),MATCH(X$1,'Key Metrics'!$E$16:$M$16,0)),0)</f>
        <v>0</v>
      </c>
      <c r="Y324" s="9">
        <f>IF($H324&gt;K324, MIN($H324-K324, L324-K324)*INDEX('Key Metrics'!$E$16:$N$19,MATCH($E324,'Key Metrics'!$E$16:$E$19,0),MATCH(Y$1,'Key Metrics'!$E$16:$M$16,0)),0)</f>
        <v>0</v>
      </c>
      <c r="Z324" s="9">
        <f>IF($H324&gt;L324,($H324-L324)*INDEX('Key Metrics'!$E$16:$N$19,MATCH($E324,'Key Metrics'!$E$16:$E$19,0),MATCH(Z$1,'Key Metrics'!$E$16:$M$16,0)),0)</f>
        <v>0</v>
      </c>
      <c r="AA324" s="9">
        <f t="shared" si="58"/>
        <v>80667.92</v>
      </c>
      <c r="AB324" s="9">
        <f t="shared" si="59"/>
        <v>80669.163151999994</v>
      </c>
    </row>
    <row r="325" spans="1:28" x14ac:dyDescent="0.55000000000000004">
      <c r="A325" t="str">
        <f t="shared" si="5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COUNTIF(deals_closed!$D$2:$D$20001,Calculations!B445)</f>
        <v>21</v>
      </c>
      <c r="H325" s="7">
        <f>SUMIF(deals_closed!$D:$D,Calculations!B445,deals_closed!$C:$C)</f>
        <v>697983</v>
      </c>
      <c r="I325" s="5">
        <f>VLOOKUP(E325,'2018_commission_structure'!$A$1:$I$4,9,FALSE)</f>
        <v>500000</v>
      </c>
      <c r="J325" s="9">
        <f t="shared" si="51"/>
        <v>625000</v>
      </c>
      <c r="K325" s="10">
        <f t="shared" si="52"/>
        <v>750000</v>
      </c>
      <c r="L325" s="9">
        <f t="shared" si="53"/>
        <v>1000000</v>
      </c>
      <c r="M325" s="8">
        <f t="shared" si="54"/>
        <v>1.395966</v>
      </c>
      <c r="N325" t="str">
        <f t="shared" si="55"/>
        <v>125-150%</v>
      </c>
      <c r="O325" s="9">
        <f>MIN($H325,$I325)*INDEX('2018_commission_structure'!$A$1:$I$4,MATCH($E325,'2018_commission_structure'!$A$1:$A$4,0),MATCH(O$1,'2018_commission_structure'!$A$1:$I$1,0))</f>
        <v>50000</v>
      </c>
      <c r="P325" s="9">
        <f>IF(H325&gt;I325, MIN(H325-I325, J325-I325)*INDEX('2018_commission_structure'!$A$1:$I$4,MATCH($E325,'2018_commission_structure'!$A$1:$A$4,0),MATCH(P$1,'2018_commission_structure'!$A$1:$I$1,0)),0)</f>
        <v>18750</v>
      </c>
      <c r="Q325" s="9">
        <f>IF($H325&gt;J325, MIN($H325-J325, K325-J325)*INDEX('2018_commission_structure'!$A$1:$I$4,MATCH($E325,'2018_commission_structure'!$A$1:$A$4,0),MATCH(Q$1,'2018_commission_structure'!$A$1:$I$1,0)),0)</f>
        <v>13136.939999999999</v>
      </c>
      <c r="R325" s="9">
        <f>IF($H325&gt;K325, MIN($H325-K325, L325-K325)*INDEX('2018_commission_structure'!$A$1:$I$4,MATCH($E325,'2018_commission_structure'!$A$1:$A$4,0),MATCH(R$1,'2018_commission_structure'!$A$1:$I$1,0)),0)</f>
        <v>0</v>
      </c>
      <c r="S325" s="9">
        <f>IF(H325&gt;L325,(H325-L325)*INDEX('2018_commission_structure'!$A$1:$I$4,MATCH($E325,'2018_commission_structure'!$A$1:$A$4,0),MATCH(S$1,'2018_commission_structure'!$A$1:$I$1,0)),0)</f>
        <v>0</v>
      </c>
      <c r="T325" s="9">
        <f t="shared" si="56"/>
        <v>81886.94</v>
      </c>
      <c r="U325" s="9">
        <f t="shared" si="57"/>
        <v>123449.94</v>
      </c>
      <c r="V325" s="9">
        <f>MIN($I325,$H325)*INDEX('Key Metrics'!$E$16:$N$19,MATCH($E325,'Key Metrics'!$E$16:$E$19,0),MATCH(V$1,'Key Metrics'!$E$16:$M$16,0))</f>
        <v>60000</v>
      </c>
      <c r="W325" s="9">
        <f>IF($H325&gt;I325, MIN($H325-I325, J325-I325)*INDEX('Key Metrics'!$E$16:$N$19,MATCH($E325,'Key Metrics'!$E$16:$E$19,0),MATCH(W$1,'Key Metrics'!$E$16:$M$16,0)),0)</f>
        <v>21250</v>
      </c>
      <c r="X325" s="9">
        <f>IF($H325&gt;J325, MIN($H325-J325, K325-J325)*INDEX('Key Metrics'!$E$16:$N$19,MATCH($E325,'Key Metrics'!$E$16:$E$19,0),MATCH(X$1,'Key Metrics'!$E$16:$M$16,0)),0)</f>
        <v>14596.6</v>
      </c>
      <c r="Y325" s="9">
        <f>IF($H325&gt;K325, MIN($H325-K325, L325-K325)*INDEX('Key Metrics'!$E$16:$N$19,MATCH($E325,'Key Metrics'!$E$16:$E$19,0),MATCH(Y$1,'Key Metrics'!$E$16:$M$16,0)),0)</f>
        <v>0</v>
      </c>
      <c r="Z325" s="9">
        <f>IF($H325&gt;L325,($H325-L325)*INDEX('Key Metrics'!$E$16:$N$19,MATCH($E325,'Key Metrics'!$E$16:$E$19,0),MATCH(Z$1,'Key Metrics'!$E$16:$M$16,0)),0)</f>
        <v>0</v>
      </c>
      <c r="AA325" s="9">
        <f t="shared" si="58"/>
        <v>95846.6</v>
      </c>
      <c r="AB325" s="9">
        <f t="shared" si="59"/>
        <v>95847.995966000002</v>
      </c>
    </row>
    <row r="326" spans="1:28" x14ac:dyDescent="0.55000000000000004">
      <c r="A326" t="str">
        <f t="shared" si="5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COUNTIF(deals_closed!$D$2:$D$20001,Calculations!B767)</f>
        <v>21</v>
      </c>
      <c r="H326" s="7">
        <f>SUMIF(deals_closed!$D:$D,Calculations!B767,deals_closed!$C:$C)</f>
        <v>733725</v>
      </c>
      <c r="I326" s="5">
        <f>VLOOKUP(E326,'2018_commission_structure'!$A$1:$I$4,9,FALSE)</f>
        <v>600000</v>
      </c>
      <c r="J326" s="9">
        <f t="shared" si="51"/>
        <v>750000</v>
      </c>
      <c r="K326" s="10">
        <f t="shared" si="52"/>
        <v>900000</v>
      </c>
      <c r="L326" s="9">
        <f t="shared" si="53"/>
        <v>1200000</v>
      </c>
      <c r="M326" s="8">
        <f t="shared" si="54"/>
        <v>1.2228749999999999</v>
      </c>
      <c r="N326" t="str">
        <f t="shared" si="55"/>
        <v>100-125%</v>
      </c>
      <c r="O326" s="9">
        <f>MIN($H326,$I326)*INDEX('2018_commission_structure'!$A$1:$I$4,MATCH($E326,'2018_commission_structure'!$A$1:$A$4,0),MATCH(O$1,'2018_commission_structure'!$A$1:$I$1,0))</f>
        <v>78000</v>
      </c>
      <c r="P326" s="9">
        <f>IF(H326&gt;I326, MIN(H326-I326, J326-I326)*INDEX('2018_commission_structure'!$A$1:$I$4,MATCH($E326,'2018_commission_structure'!$A$1:$A$4,0),MATCH(P$1,'2018_commission_structure'!$A$1:$I$1,0)),0)</f>
        <v>22733.25</v>
      </c>
      <c r="Q326" s="9">
        <f>IF($H326&gt;J326, MIN($H326-J326, K326-J326)*INDEX('2018_commission_structure'!$A$1:$I$4,MATCH($E326,'2018_commission_structure'!$A$1:$A$4,0),MATCH(Q$1,'2018_commission_structure'!$A$1:$I$1,0)),0)</f>
        <v>0</v>
      </c>
      <c r="R326" s="9">
        <f>IF($H326&gt;K326, MIN($H326-K326, L326-K326)*INDEX('2018_commission_structure'!$A$1:$I$4,MATCH($E326,'2018_commission_structure'!$A$1:$A$4,0),MATCH(R$1,'2018_commission_structure'!$A$1:$I$1,0)),0)</f>
        <v>0</v>
      </c>
      <c r="S326" s="9">
        <f>IF(H326&gt;L326,(H326-L326)*INDEX('2018_commission_structure'!$A$1:$I$4,MATCH($E326,'2018_commission_structure'!$A$1:$A$4,0),MATCH(S$1,'2018_commission_structure'!$A$1:$I$1,0)),0)</f>
        <v>0</v>
      </c>
      <c r="T326" s="9">
        <f t="shared" si="56"/>
        <v>100733.25</v>
      </c>
      <c r="U326" s="9">
        <f t="shared" si="57"/>
        <v>162026.25</v>
      </c>
      <c r="V326" s="9">
        <f>MIN($I326,$H326)*INDEX('Key Metrics'!$E$16:$N$19,MATCH($E326,'Key Metrics'!$E$16:$E$19,0),MATCH(V$1,'Key Metrics'!$E$16:$M$16,0))</f>
        <v>90000</v>
      </c>
      <c r="W326" s="9">
        <f>IF($H326&gt;I326, MIN($H326-I326, J326-I326)*INDEX('Key Metrics'!$E$16:$N$19,MATCH($E326,'Key Metrics'!$E$16:$E$19,0),MATCH(W$1,'Key Metrics'!$E$16:$M$16,0)),0)</f>
        <v>24070.5</v>
      </c>
      <c r="X326" s="9">
        <f>IF($H326&gt;J326, MIN($H326-J326, K326-J326)*INDEX('Key Metrics'!$E$16:$N$19,MATCH($E326,'Key Metrics'!$E$16:$E$19,0),MATCH(X$1,'Key Metrics'!$E$16:$M$16,0)),0)</f>
        <v>0</v>
      </c>
      <c r="Y326" s="9">
        <f>IF($H326&gt;K326, MIN($H326-K326, L326-K326)*INDEX('Key Metrics'!$E$16:$N$19,MATCH($E326,'Key Metrics'!$E$16:$E$19,0),MATCH(Y$1,'Key Metrics'!$E$16:$M$16,0)),0)</f>
        <v>0</v>
      </c>
      <c r="Z326" s="9">
        <f>IF($H326&gt;L326,($H326-L326)*INDEX('Key Metrics'!$E$16:$N$19,MATCH($E326,'Key Metrics'!$E$16:$E$19,0),MATCH(Z$1,'Key Metrics'!$E$16:$M$16,0)),0)</f>
        <v>0</v>
      </c>
      <c r="AA326" s="9">
        <f t="shared" si="58"/>
        <v>114070.5</v>
      </c>
      <c r="AB326" s="9">
        <f t="shared" si="59"/>
        <v>114071.72287500001</v>
      </c>
    </row>
    <row r="327" spans="1:28" x14ac:dyDescent="0.55000000000000004">
      <c r="A327" t="str">
        <f t="shared" si="5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COUNTIF(deals_closed!$D$2:$D$20001,Calculations!B126)</f>
        <v>16</v>
      </c>
      <c r="H327" s="7">
        <f>SUMIF(deals_closed!$D:$D,Calculations!B126,deals_closed!$C:$C)</f>
        <v>478308</v>
      </c>
      <c r="I327" s="5">
        <f>VLOOKUP(E327,'2018_commission_structure'!$A$1:$I$4,9,FALSE)</f>
        <v>750000</v>
      </c>
      <c r="J327" s="9">
        <f t="shared" si="51"/>
        <v>937500</v>
      </c>
      <c r="K327" s="10">
        <f t="shared" si="52"/>
        <v>1125000</v>
      </c>
      <c r="L327" s="9">
        <f t="shared" si="53"/>
        <v>1500000</v>
      </c>
      <c r="M327" s="8">
        <f t="shared" si="54"/>
        <v>0.63774399999999998</v>
      </c>
      <c r="N327" t="str">
        <f t="shared" si="55"/>
        <v>0-100%</v>
      </c>
      <c r="O327" s="9">
        <f>MIN($H327,$I327)*INDEX('2018_commission_structure'!$A$1:$I$4,MATCH($E327,'2018_commission_structure'!$A$1:$A$4,0),MATCH(O$1,'2018_commission_structure'!$A$1:$I$1,0))</f>
        <v>71746.2</v>
      </c>
      <c r="P327" s="9">
        <f>IF(H327&gt;I327, MIN(H327-I327, J327-I327)*INDEX('2018_commission_structure'!$A$1:$I$4,MATCH($E327,'2018_commission_structure'!$A$1:$A$4,0),MATCH(P$1,'2018_commission_structure'!$A$1:$I$1,0)),0)</f>
        <v>0</v>
      </c>
      <c r="Q327" s="9">
        <f>IF($H327&gt;J327, MIN($H327-J327, K327-J327)*INDEX('2018_commission_structure'!$A$1:$I$4,MATCH($E327,'2018_commission_structure'!$A$1:$A$4,0),MATCH(Q$1,'2018_commission_structure'!$A$1:$I$1,0)),0)</f>
        <v>0</v>
      </c>
      <c r="R327" s="9">
        <f>IF($H327&gt;K327, MIN($H327-K327, L327-K327)*INDEX('2018_commission_structure'!$A$1:$I$4,MATCH($E327,'2018_commission_structure'!$A$1:$A$4,0),MATCH(R$1,'2018_commission_structure'!$A$1:$I$1,0)),0)</f>
        <v>0</v>
      </c>
      <c r="S327" s="9">
        <f>IF(H327&gt;L327,(H327-L327)*INDEX('2018_commission_structure'!$A$1:$I$4,MATCH($E327,'2018_commission_structure'!$A$1:$A$4,0),MATCH(S$1,'2018_commission_structure'!$A$1:$I$1,0)),0)</f>
        <v>0</v>
      </c>
      <c r="T327" s="9">
        <f t="shared" si="56"/>
        <v>71746.2</v>
      </c>
      <c r="U327" s="9">
        <f t="shared" si="57"/>
        <v>151418.20000000001</v>
      </c>
      <c r="V327" s="9">
        <f>MIN($I327,$H327)*INDEX('Key Metrics'!$E$16:$N$19,MATCH($E327,'Key Metrics'!$E$16:$E$19,0),MATCH(V$1,'Key Metrics'!$E$16:$M$16,0))</f>
        <v>71746.2</v>
      </c>
      <c r="W327" s="9">
        <f>IF($H327&gt;I327, MIN($H327-I327, J327-I327)*INDEX('Key Metrics'!$E$16:$N$19,MATCH($E327,'Key Metrics'!$E$16:$E$19,0),MATCH(W$1,'Key Metrics'!$E$16:$M$16,0)),0)</f>
        <v>0</v>
      </c>
      <c r="X327" s="9">
        <f>IF($H327&gt;J327, MIN($H327-J327, K327-J327)*INDEX('Key Metrics'!$E$16:$N$19,MATCH($E327,'Key Metrics'!$E$16:$E$19,0),MATCH(X$1,'Key Metrics'!$E$16:$M$16,0)),0)</f>
        <v>0</v>
      </c>
      <c r="Y327" s="9">
        <f>IF($H327&gt;K327, MIN($H327-K327, L327-K327)*INDEX('Key Metrics'!$E$16:$N$19,MATCH($E327,'Key Metrics'!$E$16:$E$19,0),MATCH(Y$1,'Key Metrics'!$E$16:$M$16,0)),0)</f>
        <v>0</v>
      </c>
      <c r="Z327" s="9">
        <f>IF($H327&gt;L327,($H327-L327)*INDEX('Key Metrics'!$E$16:$N$19,MATCH($E327,'Key Metrics'!$E$16:$E$19,0),MATCH(Z$1,'Key Metrics'!$E$16:$M$16,0)),0)</f>
        <v>0</v>
      </c>
      <c r="AA327" s="9">
        <f t="shared" si="58"/>
        <v>71746.2</v>
      </c>
      <c r="AB327" s="9">
        <f t="shared" si="59"/>
        <v>71746.837744000004</v>
      </c>
    </row>
    <row r="328" spans="1:28" x14ac:dyDescent="0.55000000000000004">
      <c r="A328" t="str">
        <f t="shared" si="5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COUNTIF(deals_closed!$D$2:$D$20001,Calculations!B996)</f>
        <v>22</v>
      </c>
      <c r="H328" s="7">
        <f>SUMIF(deals_closed!$D:$D,Calculations!B996,deals_closed!$C:$C)</f>
        <v>817460</v>
      </c>
      <c r="I328" s="5">
        <f>VLOOKUP(E328,'2018_commission_structure'!$A$1:$I$4,9,FALSE)</f>
        <v>500000</v>
      </c>
      <c r="J328" s="9">
        <f t="shared" si="51"/>
        <v>625000</v>
      </c>
      <c r="K328" s="10">
        <f t="shared" si="52"/>
        <v>750000</v>
      </c>
      <c r="L328" s="9">
        <f t="shared" si="53"/>
        <v>1000000</v>
      </c>
      <c r="M328" s="8">
        <f t="shared" si="54"/>
        <v>1.6349199999999999</v>
      </c>
      <c r="N328" t="str">
        <f t="shared" si="55"/>
        <v>150-200%</v>
      </c>
      <c r="O328" s="9">
        <f>MIN($H328,$I328)*INDEX('2018_commission_structure'!$A$1:$I$4,MATCH($E328,'2018_commission_structure'!$A$1:$A$4,0),MATCH(O$1,'2018_commission_structure'!$A$1:$I$1,0))</f>
        <v>50000</v>
      </c>
      <c r="P328" s="9">
        <f>IF(H328&gt;I328, MIN(H328-I328, J328-I328)*INDEX('2018_commission_structure'!$A$1:$I$4,MATCH($E328,'2018_commission_structure'!$A$1:$A$4,0),MATCH(P$1,'2018_commission_structure'!$A$1:$I$1,0)),0)</f>
        <v>18750</v>
      </c>
      <c r="Q328" s="9">
        <f>IF($H328&gt;J328, MIN($H328-J328, K328-J328)*INDEX('2018_commission_structure'!$A$1:$I$4,MATCH($E328,'2018_commission_structure'!$A$1:$A$4,0),MATCH(Q$1,'2018_commission_structure'!$A$1:$I$1,0)),0)</f>
        <v>22500</v>
      </c>
      <c r="R328" s="9">
        <f>IF($H328&gt;K328, MIN($H328-K328, L328-K328)*INDEX('2018_commission_structure'!$A$1:$I$4,MATCH($E328,'2018_commission_structure'!$A$1:$A$4,0),MATCH(R$1,'2018_commission_structure'!$A$1:$I$1,0)),0)</f>
        <v>14841.2</v>
      </c>
      <c r="S328" s="9">
        <f>IF(H328&gt;L328,(H328-L328)*INDEX('2018_commission_structure'!$A$1:$I$4,MATCH($E328,'2018_commission_structure'!$A$1:$A$4,0),MATCH(S$1,'2018_commission_structure'!$A$1:$I$1,0)),0)</f>
        <v>0</v>
      </c>
      <c r="T328" s="9">
        <f t="shared" si="56"/>
        <v>106091.2</v>
      </c>
      <c r="U328" s="9">
        <f t="shared" si="57"/>
        <v>144350.20000000001</v>
      </c>
      <c r="V328" s="9">
        <f>MIN($I328,$H328)*INDEX('Key Metrics'!$E$16:$N$19,MATCH($E328,'Key Metrics'!$E$16:$E$19,0),MATCH(V$1,'Key Metrics'!$E$16:$M$16,0))</f>
        <v>60000</v>
      </c>
      <c r="W328" s="9">
        <f>IF($H328&gt;I328, MIN($H328-I328, J328-I328)*INDEX('Key Metrics'!$E$16:$N$19,MATCH($E328,'Key Metrics'!$E$16:$E$19,0),MATCH(W$1,'Key Metrics'!$E$16:$M$16,0)),0)</f>
        <v>21250</v>
      </c>
      <c r="X328" s="9">
        <f>IF($H328&gt;J328, MIN($H328-J328, K328-J328)*INDEX('Key Metrics'!$E$16:$N$19,MATCH($E328,'Key Metrics'!$E$16:$E$19,0),MATCH(X$1,'Key Metrics'!$E$16:$M$16,0)),0)</f>
        <v>25000</v>
      </c>
      <c r="Y328" s="9">
        <f>IF($H328&gt;K328, MIN($H328-K328, L328-K328)*INDEX('Key Metrics'!$E$16:$N$19,MATCH($E328,'Key Metrics'!$E$16:$E$19,0),MATCH(Y$1,'Key Metrics'!$E$16:$M$16,0)),0)</f>
        <v>14841.2</v>
      </c>
      <c r="Z328" s="9">
        <f>IF($H328&gt;L328,($H328-L328)*INDEX('Key Metrics'!$E$16:$N$19,MATCH($E328,'Key Metrics'!$E$16:$E$19,0),MATCH(Z$1,'Key Metrics'!$E$16:$M$16,0)),0)</f>
        <v>0</v>
      </c>
      <c r="AA328" s="9">
        <f t="shared" si="58"/>
        <v>121091.2</v>
      </c>
      <c r="AB328" s="9">
        <f t="shared" si="59"/>
        <v>121092.83491999999</v>
      </c>
    </row>
    <row r="329" spans="1:28" x14ac:dyDescent="0.55000000000000004">
      <c r="A329" t="str">
        <f t="shared" si="5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COUNTIF(deals_closed!$D$2:$D$20001,Calculations!B904)</f>
        <v>22</v>
      </c>
      <c r="H329" s="7">
        <f>SUMIF(deals_closed!$D:$D,Calculations!B904,deals_closed!$C:$C)</f>
        <v>751994</v>
      </c>
      <c r="I329" s="5">
        <f>VLOOKUP(E329,'2018_commission_structure'!$A$1:$I$4,9,FALSE)</f>
        <v>750000</v>
      </c>
      <c r="J329" s="9">
        <f t="shared" si="51"/>
        <v>937500</v>
      </c>
      <c r="K329" s="10">
        <f t="shared" si="52"/>
        <v>1125000</v>
      </c>
      <c r="L329" s="9">
        <f t="shared" si="53"/>
        <v>1500000</v>
      </c>
      <c r="M329" s="8">
        <f t="shared" si="54"/>
        <v>1.0026586666666666</v>
      </c>
      <c r="N329" t="str">
        <f t="shared" si="55"/>
        <v>100-125%</v>
      </c>
      <c r="O329" s="9">
        <f>MIN($H329,$I329)*INDEX('2018_commission_structure'!$A$1:$I$4,MATCH($E329,'2018_commission_structure'!$A$1:$A$4,0),MATCH(O$1,'2018_commission_structure'!$A$1:$I$1,0))</f>
        <v>112500</v>
      </c>
      <c r="P329" s="9">
        <f>IF(H329&gt;I329, MIN(H329-I329, J329-I329)*INDEX('2018_commission_structure'!$A$1:$I$4,MATCH($E329,'2018_commission_structure'!$A$1:$A$4,0),MATCH(P$1,'2018_commission_structure'!$A$1:$I$1,0)),0)</f>
        <v>378.86</v>
      </c>
      <c r="Q329" s="9">
        <f>IF($H329&gt;J329, MIN($H329-J329, K329-J329)*INDEX('2018_commission_structure'!$A$1:$I$4,MATCH($E329,'2018_commission_structure'!$A$1:$A$4,0),MATCH(Q$1,'2018_commission_structure'!$A$1:$I$1,0)),0)</f>
        <v>0</v>
      </c>
      <c r="R329" s="9">
        <f>IF($H329&gt;K329, MIN($H329-K329, L329-K329)*INDEX('2018_commission_structure'!$A$1:$I$4,MATCH($E329,'2018_commission_structure'!$A$1:$A$4,0),MATCH(R$1,'2018_commission_structure'!$A$1:$I$1,0)),0)</f>
        <v>0</v>
      </c>
      <c r="S329" s="9">
        <f>IF(H329&gt;L329,(H329-L329)*INDEX('2018_commission_structure'!$A$1:$I$4,MATCH($E329,'2018_commission_structure'!$A$1:$A$4,0),MATCH(S$1,'2018_commission_structure'!$A$1:$I$1,0)),0)</f>
        <v>0</v>
      </c>
      <c r="T329" s="9">
        <f t="shared" si="56"/>
        <v>112878.86</v>
      </c>
      <c r="U329" s="9">
        <f t="shared" si="57"/>
        <v>222178.86</v>
      </c>
      <c r="V329" s="9">
        <f>MIN($I329,$H329)*INDEX('Key Metrics'!$E$16:$N$19,MATCH($E329,'Key Metrics'!$E$16:$E$19,0),MATCH(V$1,'Key Metrics'!$E$16:$M$16,0))</f>
        <v>112500</v>
      </c>
      <c r="W329" s="9">
        <f>IF($H329&gt;I329, MIN($H329-I329, J329-I329)*INDEX('Key Metrics'!$E$16:$N$19,MATCH($E329,'Key Metrics'!$E$16:$E$19,0),MATCH(W$1,'Key Metrics'!$E$16:$M$16,0)),0)</f>
        <v>438.68</v>
      </c>
      <c r="X329" s="9">
        <f>IF($H329&gt;J329, MIN($H329-J329, K329-J329)*INDEX('Key Metrics'!$E$16:$N$19,MATCH($E329,'Key Metrics'!$E$16:$E$19,0),MATCH(X$1,'Key Metrics'!$E$16:$M$16,0)),0)</f>
        <v>0</v>
      </c>
      <c r="Y329" s="9">
        <f>IF($H329&gt;K329, MIN($H329-K329, L329-K329)*INDEX('Key Metrics'!$E$16:$N$19,MATCH($E329,'Key Metrics'!$E$16:$E$19,0),MATCH(Y$1,'Key Metrics'!$E$16:$M$16,0)),0)</f>
        <v>0</v>
      </c>
      <c r="Z329" s="9">
        <f>IF($H329&gt;L329,($H329-L329)*INDEX('Key Metrics'!$E$16:$N$19,MATCH($E329,'Key Metrics'!$E$16:$E$19,0),MATCH(Z$1,'Key Metrics'!$E$16:$M$16,0)),0)</f>
        <v>0</v>
      </c>
      <c r="AA329" s="9">
        <f t="shared" si="58"/>
        <v>112938.68</v>
      </c>
      <c r="AB329" s="9">
        <f t="shared" si="59"/>
        <v>112939.68265866666</v>
      </c>
    </row>
    <row r="330" spans="1:28" x14ac:dyDescent="0.55000000000000004">
      <c r="A330" t="str">
        <f t="shared" si="5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COUNTIF(deals_closed!$D$2:$D$20001,Calculations!B847)</f>
        <v>12</v>
      </c>
      <c r="H330" s="7">
        <f>SUMIF(deals_closed!$D:$D,Calculations!B847,deals_closed!$C:$C)</f>
        <v>329383</v>
      </c>
      <c r="I330" s="5">
        <f>VLOOKUP(E330,'2018_commission_structure'!$A$1:$I$4,9,FALSE)</f>
        <v>500000</v>
      </c>
      <c r="J330" s="9">
        <f t="shared" si="51"/>
        <v>625000</v>
      </c>
      <c r="K330" s="10">
        <f t="shared" si="52"/>
        <v>750000</v>
      </c>
      <c r="L330" s="9">
        <f t="shared" si="53"/>
        <v>1000000</v>
      </c>
      <c r="M330" s="8">
        <f t="shared" si="54"/>
        <v>0.65876599999999996</v>
      </c>
      <c r="N330" t="str">
        <f t="shared" si="55"/>
        <v>0-100%</v>
      </c>
      <c r="O330" s="9">
        <f>MIN($H330,$I330)*INDEX('2018_commission_structure'!$A$1:$I$4,MATCH($E330,'2018_commission_structure'!$A$1:$A$4,0),MATCH(O$1,'2018_commission_structure'!$A$1:$I$1,0))</f>
        <v>32938.300000000003</v>
      </c>
      <c r="P330" s="9">
        <f>IF(H330&gt;I330, MIN(H330-I330, J330-I330)*INDEX('2018_commission_structure'!$A$1:$I$4,MATCH($E330,'2018_commission_structure'!$A$1:$A$4,0),MATCH(P$1,'2018_commission_structure'!$A$1:$I$1,0)),0)</f>
        <v>0</v>
      </c>
      <c r="Q330" s="9">
        <f>IF($H330&gt;J330, MIN($H330-J330, K330-J330)*INDEX('2018_commission_structure'!$A$1:$I$4,MATCH($E330,'2018_commission_structure'!$A$1:$A$4,0),MATCH(Q$1,'2018_commission_structure'!$A$1:$I$1,0)),0)</f>
        <v>0</v>
      </c>
      <c r="R330" s="9">
        <f>IF($H330&gt;K330, MIN($H330-K330, L330-K330)*INDEX('2018_commission_structure'!$A$1:$I$4,MATCH($E330,'2018_commission_structure'!$A$1:$A$4,0),MATCH(R$1,'2018_commission_structure'!$A$1:$I$1,0)),0)</f>
        <v>0</v>
      </c>
      <c r="S330" s="9">
        <f>IF(H330&gt;L330,(H330-L330)*INDEX('2018_commission_structure'!$A$1:$I$4,MATCH($E330,'2018_commission_structure'!$A$1:$A$4,0),MATCH(S$1,'2018_commission_structure'!$A$1:$I$1,0)),0)</f>
        <v>0</v>
      </c>
      <c r="T330" s="9">
        <f t="shared" si="56"/>
        <v>32938.300000000003</v>
      </c>
      <c r="U330" s="9">
        <f t="shared" si="57"/>
        <v>81290.3</v>
      </c>
      <c r="V330" s="9">
        <f>MIN($I330,$H330)*INDEX('Key Metrics'!$E$16:$N$19,MATCH($E330,'Key Metrics'!$E$16:$E$19,0),MATCH(V$1,'Key Metrics'!$E$16:$M$16,0))</f>
        <v>39525.96</v>
      </c>
      <c r="W330" s="9">
        <f>IF($H330&gt;I330, MIN($H330-I330, J330-I330)*INDEX('Key Metrics'!$E$16:$N$19,MATCH($E330,'Key Metrics'!$E$16:$E$19,0),MATCH(W$1,'Key Metrics'!$E$16:$M$16,0)),0)</f>
        <v>0</v>
      </c>
      <c r="X330" s="9">
        <f>IF($H330&gt;J330, MIN($H330-J330, K330-J330)*INDEX('Key Metrics'!$E$16:$N$19,MATCH($E330,'Key Metrics'!$E$16:$E$19,0),MATCH(X$1,'Key Metrics'!$E$16:$M$16,0)),0)</f>
        <v>0</v>
      </c>
      <c r="Y330" s="9">
        <f>IF($H330&gt;K330, MIN($H330-K330, L330-K330)*INDEX('Key Metrics'!$E$16:$N$19,MATCH($E330,'Key Metrics'!$E$16:$E$19,0),MATCH(Y$1,'Key Metrics'!$E$16:$M$16,0)),0)</f>
        <v>0</v>
      </c>
      <c r="Z330" s="9">
        <f>IF($H330&gt;L330,($H330-L330)*INDEX('Key Metrics'!$E$16:$N$19,MATCH($E330,'Key Metrics'!$E$16:$E$19,0),MATCH(Z$1,'Key Metrics'!$E$16:$M$16,0)),0)</f>
        <v>0</v>
      </c>
      <c r="AA330" s="9">
        <f t="shared" si="58"/>
        <v>39525.96</v>
      </c>
      <c r="AB330" s="9">
        <f t="shared" si="59"/>
        <v>39526.618766</v>
      </c>
    </row>
    <row r="331" spans="1:28" x14ac:dyDescent="0.55000000000000004">
      <c r="A331" t="str">
        <f t="shared" si="5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COUNTIF(deals_closed!$D$2:$D$20001,Calculations!B245)</f>
        <v>15</v>
      </c>
      <c r="H331" s="7">
        <f>SUMIF(deals_closed!$D:$D,Calculations!B245,deals_closed!$C:$C)</f>
        <v>482137</v>
      </c>
      <c r="I331" s="5">
        <f>VLOOKUP(E331,'2018_commission_structure'!$A$1:$I$4,9,FALSE)</f>
        <v>500000</v>
      </c>
      <c r="J331" s="9">
        <f t="shared" si="51"/>
        <v>625000</v>
      </c>
      <c r="K331" s="10">
        <f t="shared" si="52"/>
        <v>750000</v>
      </c>
      <c r="L331" s="9">
        <f t="shared" si="53"/>
        <v>1000000</v>
      </c>
      <c r="M331" s="8">
        <f t="shared" si="54"/>
        <v>0.96427399999999996</v>
      </c>
      <c r="N331" t="str">
        <f t="shared" si="55"/>
        <v>0-100%</v>
      </c>
      <c r="O331" s="9">
        <f>MIN($H331,$I331)*INDEX('2018_commission_structure'!$A$1:$I$4,MATCH($E331,'2018_commission_structure'!$A$1:$A$4,0),MATCH(O$1,'2018_commission_structure'!$A$1:$I$1,0))</f>
        <v>48213.700000000004</v>
      </c>
      <c r="P331" s="9">
        <f>IF(H331&gt;I331, MIN(H331-I331, J331-I331)*INDEX('2018_commission_structure'!$A$1:$I$4,MATCH($E331,'2018_commission_structure'!$A$1:$A$4,0),MATCH(P$1,'2018_commission_structure'!$A$1:$I$1,0)),0)</f>
        <v>0</v>
      </c>
      <c r="Q331" s="9">
        <f>IF($H331&gt;J331, MIN($H331-J331, K331-J331)*INDEX('2018_commission_structure'!$A$1:$I$4,MATCH($E331,'2018_commission_structure'!$A$1:$A$4,0),MATCH(Q$1,'2018_commission_structure'!$A$1:$I$1,0)),0)</f>
        <v>0</v>
      </c>
      <c r="R331" s="9">
        <f>IF($H331&gt;K331, MIN($H331-K331, L331-K331)*INDEX('2018_commission_structure'!$A$1:$I$4,MATCH($E331,'2018_commission_structure'!$A$1:$A$4,0),MATCH(R$1,'2018_commission_structure'!$A$1:$I$1,0)),0)</f>
        <v>0</v>
      </c>
      <c r="S331" s="9">
        <f>IF(H331&gt;L331,(H331-L331)*INDEX('2018_commission_structure'!$A$1:$I$4,MATCH($E331,'2018_commission_structure'!$A$1:$A$4,0),MATCH(S$1,'2018_commission_structure'!$A$1:$I$1,0)),0)</f>
        <v>0</v>
      </c>
      <c r="T331" s="9">
        <f t="shared" si="56"/>
        <v>48213.700000000004</v>
      </c>
      <c r="U331" s="9">
        <f t="shared" si="57"/>
        <v>96086.700000000012</v>
      </c>
      <c r="V331" s="9">
        <f>MIN($I331,$H331)*INDEX('Key Metrics'!$E$16:$N$19,MATCH($E331,'Key Metrics'!$E$16:$E$19,0),MATCH(V$1,'Key Metrics'!$E$16:$M$16,0))</f>
        <v>57856.439999999995</v>
      </c>
      <c r="W331" s="9">
        <f>IF($H331&gt;I331, MIN($H331-I331, J331-I331)*INDEX('Key Metrics'!$E$16:$N$19,MATCH($E331,'Key Metrics'!$E$16:$E$19,0),MATCH(W$1,'Key Metrics'!$E$16:$M$16,0)),0)</f>
        <v>0</v>
      </c>
      <c r="X331" s="9">
        <f>IF($H331&gt;J331, MIN($H331-J331, K331-J331)*INDEX('Key Metrics'!$E$16:$N$19,MATCH($E331,'Key Metrics'!$E$16:$E$19,0),MATCH(X$1,'Key Metrics'!$E$16:$M$16,0)),0)</f>
        <v>0</v>
      </c>
      <c r="Y331" s="9">
        <f>IF($H331&gt;K331, MIN($H331-K331, L331-K331)*INDEX('Key Metrics'!$E$16:$N$19,MATCH($E331,'Key Metrics'!$E$16:$E$19,0),MATCH(Y$1,'Key Metrics'!$E$16:$M$16,0)),0)</f>
        <v>0</v>
      </c>
      <c r="Z331" s="9">
        <f>IF($H331&gt;L331,($H331-L331)*INDEX('Key Metrics'!$E$16:$N$19,MATCH($E331,'Key Metrics'!$E$16:$E$19,0),MATCH(Z$1,'Key Metrics'!$E$16:$M$16,0)),0)</f>
        <v>0</v>
      </c>
      <c r="AA331" s="9">
        <f t="shared" si="58"/>
        <v>57856.439999999995</v>
      </c>
      <c r="AB331" s="9">
        <f t="shared" si="59"/>
        <v>57857.404273999993</v>
      </c>
    </row>
    <row r="332" spans="1:28" x14ac:dyDescent="0.55000000000000004">
      <c r="A332" t="str">
        <f t="shared" si="5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COUNTIF(deals_closed!$D$2:$D$20001,Calculations!B732)</f>
        <v>16</v>
      </c>
      <c r="H332" s="7">
        <f>SUMIF(deals_closed!$D:$D,Calculations!B732,deals_closed!$C:$C)</f>
        <v>600509</v>
      </c>
      <c r="I332" s="5">
        <f>VLOOKUP(E332,'2018_commission_structure'!$A$1:$I$4,9,FALSE)</f>
        <v>500000</v>
      </c>
      <c r="J332" s="9">
        <f t="shared" si="51"/>
        <v>625000</v>
      </c>
      <c r="K332" s="10">
        <f t="shared" si="52"/>
        <v>750000</v>
      </c>
      <c r="L332" s="9">
        <f t="shared" si="53"/>
        <v>1000000</v>
      </c>
      <c r="M332" s="8">
        <f t="shared" si="54"/>
        <v>1.2010179999999999</v>
      </c>
      <c r="N332" t="str">
        <f t="shared" si="55"/>
        <v>100-125%</v>
      </c>
      <c r="O332" s="9">
        <f>MIN($H332,$I332)*INDEX('2018_commission_structure'!$A$1:$I$4,MATCH($E332,'2018_commission_structure'!$A$1:$A$4,0),MATCH(O$1,'2018_commission_structure'!$A$1:$I$1,0))</f>
        <v>50000</v>
      </c>
      <c r="P332" s="9">
        <f>IF(H332&gt;I332, MIN(H332-I332, J332-I332)*INDEX('2018_commission_structure'!$A$1:$I$4,MATCH($E332,'2018_commission_structure'!$A$1:$A$4,0),MATCH(P$1,'2018_commission_structure'!$A$1:$I$1,0)),0)</f>
        <v>15076.349999999999</v>
      </c>
      <c r="Q332" s="9">
        <f>IF($H332&gt;J332, MIN($H332-J332, K332-J332)*INDEX('2018_commission_structure'!$A$1:$I$4,MATCH($E332,'2018_commission_structure'!$A$1:$A$4,0),MATCH(Q$1,'2018_commission_structure'!$A$1:$I$1,0)),0)</f>
        <v>0</v>
      </c>
      <c r="R332" s="9">
        <f>IF($H332&gt;K332, MIN($H332-K332, L332-K332)*INDEX('2018_commission_structure'!$A$1:$I$4,MATCH($E332,'2018_commission_structure'!$A$1:$A$4,0),MATCH(R$1,'2018_commission_structure'!$A$1:$I$1,0)),0)</f>
        <v>0</v>
      </c>
      <c r="S332" s="9">
        <f>IF(H332&gt;L332,(H332-L332)*INDEX('2018_commission_structure'!$A$1:$I$4,MATCH($E332,'2018_commission_structure'!$A$1:$A$4,0),MATCH(S$1,'2018_commission_structure'!$A$1:$I$1,0)),0)</f>
        <v>0</v>
      </c>
      <c r="T332" s="9">
        <f t="shared" si="56"/>
        <v>65076.35</v>
      </c>
      <c r="U332" s="9">
        <f t="shared" si="57"/>
        <v>123036.35</v>
      </c>
      <c r="V332" s="9">
        <f>MIN($I332,$H332)*INDEX('Key Metrics'!$E$16:$N$19,MATCH($E332,'Key Metrics'!$E$16:$E$19,0),MATCH(V$1,'Key Metrics'!$E$16:$M$16,0))</f>
        <v>60000</v>
      </c>
      <c r="W332" s="9">
        <f>IF($H332&gt;I332, MIN($H332-I332, J332-I332)*INDEX('Key Metrics'!$E$16:$N$19,MATCH($E332,'Key Metrics'!$E$16:$E$19,0),MATCH(W$1,'Key Metrics'!$E$16:$M$16,0)),0)</f>
        <v>17086.530000000002</v>
      </c>
      <c r="X332" s="9">
        <f>IF($H332&gt;J332, MIN($H332-J332, K332-J332)*INDEX('Key Metrics'!$E$16:$N$19,MATCH($E332,'Key Metrics'!$E$16:$E$19,0),MATCH(X$1,'Key Metrics'!$E$16:$M$16,0)),0)</f>
        <v>0</v>
      </c>
      <c r="Y332" s="9">
        <f>IF($H332&gt;K332, MIN($H332-K332, L332-K332)*INDEX('Key Metrics'!$E$16:$N$19,MATCH($E332,'Key Metrics'!$E$16:$E$19,0),MATCH(Y$1,'Key Metrics'!$E$16:$M$16,0)),0)</f>
        <v>0</v>
      </c>
      <c r="Z332" s="9">
        <f>IF($H332&gt;L332,($H332-L332)*INDEX('Key Metrics'!$E$16:$N$19,MATCH($E332,'Key Metrics'!$E$16:$E$19,0),MATCH(Z$1,'Key Metrics'!$E$16:$M$16,0)),0)</f>
        <v>0</v>
      </c>
      <c r="AA332" s="9">
        <f t="shared" si="58"/>
        <v>77086.53</v>
      </c>
      <c r="AB332" s="9">
        <f t="shared" si="59"/>
        <v>77087.731018000006</v>
      </c>
    </row>
    <row r="333" spans="1:28" x14ac:dyDescent="0.55000000000000004">
      <c r="A333" t="str">
        <f t="shared" si="5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COUNTIF(deals_closed!$D$2:$D$20001,Calculations!B280)</f>
        <v>22</v>
      </c>
      <c r="H333" s="7">
        <f>SUMIF(deals_closed!$D:$D,Calculations!B280,deals_closed!$C:$C)</f>
        <v>826224</v>
      </c>
      <c r="I333" s="5">
        <f>VLOOKUP(E333,'2018_commission_structure'!$A$1:$I$4,9,FALSE)</f>
        <v>600000</v>
      </c>
      <c r="J333" s="9">
        <f t="shared" si="51"/>
        <v>750000</v>
      </c>
      <c r="K333" s="10">
        <f t="shared" si="52"/>
        <v>900000</v>
      </c>
      <c r="L333" s="9">
        <f t="shared" si="53"/>
        <v>1200000</v>
      </c>
      <c r="M333" s="8">
        <f t="shared" si="54"/>
        <v>1.37704</v>
      </c>
      <c r="N333" t="str">
        <f t="shared" si="55"/>
        <v>125-150%</v>
      </c>
      <c r="O333" s="9">
        <f>MIN($H333,$I333)*INDEX('2018_commission_structure'!$A$1:$I$4,MATCH($E333,'2018_commission_structure'!$A$1:$A$4,0),MATCH(O$1,'2018_commission_structure'!$A$1:$I$1,0))</f>
        <v>78000</v>
      </c>
      <c r="P333" s="9">
        <f>IF(H333&gt;I333, MIN(H333-I333, J333-I333)*INDEX('2018_commission_structure'!$A$1:$I$4,MATCH($E333,'2018_commission_structure'!$A$1:$A$4,0),MATCH(P$1,'2018_commission_structure'!$A$1:$I$1,0)),0)</f>
        <v>25500.000000000004</v>
      </c>
      <c r="Q333" s="9">
        <f>IF($H333&gt;J333, MIN($H333-J333, K333-J333)*INDEX('2018_commission_structure'!$A$1:$I$4,MATCH($E333,'2018_commission_structure'!$A$1:$A$4,0),MATCH(Q$1,'2018_commission_structure'!$A$1:$I$1,0)),0)</f>
        <v>16007.039999999999</v>
      </c>
      <c r="R333" s="9">
        <f>IF($H333&gt;K333, MIN($H333-K333, L333-K333)*INDEX('2018_commission_structure'!$A$1:$I$4,MATCH($E333,'2018_commission_structure'!$A$1:$A$4,0),MATCH(R$1,'2018_commission_structure'!$A$1:$I$1,0)),0)</f>
        <v>0</v>
      </c>
      <c r="S333" s="9">
        <f>IF(H333&gt;L333,(H333-L333)*INDEX('2018_commission_structure'!$A$1:$I$4,MATCH($E333,'2018_commission_structure'!$A$1:$A$4,0),MATCH(S$1,'2018_commission_structure'!$A$1:$I$1,0)),0)</f>
        <v>0</v>
      </c>
      <c r="T333" s="9">
        <f t="shared" si="56"/>
        <v>119507.04</v>
      </c>
      <c r="U333" s="9">
        <f t="shared" si="57"/>
        <v>169615.03999999998</v>
      </c>
      <c r="V333" s="9">
        <f>MIN($I333,$H333)*INDEX('Key Metrics'!$E$16:$N$19,MATCH($E333,'Key Metrics'!$E$16:$E$19,0),MATCH(V$1,'Key Metrics'!$E$16:$M$16,0))</f>
        <v>90000</v>
      </c>
      <c r="W333" s="9">
        <f>IF($H333&gt;I333, MIN($H333-I333, J333-I333)*INDEX('Key Metrics'!$E$16:$N$19,MATCH($E333,'Key Metrics'!$E$16:$E$19,0),MATCH(W$1,'Key Metrics'!$E$16:$M$16,0)),0)</f>
        <v>27000</v>
      </c>
      <c r="X333" s="9">
        <f>IF($H333&gt;J333, MIN($H333-J333, K333-J333)*INDEX('Key Metrics'!$E$16:$N$19,MATCH($E333,'Key Metrics'!$E$16:$E$19,0),MATCH(X$1,'Key Metrics'!$E$16:$M$16,0)),0)</f>
        <v>19056</v>
      </c>
      <c r="Y333" s="9">
        <f>IF($H333&gt;K333, MIN($H333-K333, L333-K333)*INDEX('Key Metrics'!$E$16:$N$19,MATCH($E333,'Key Metrics'!$E$16:$E$19,0),MATCH(Y$1,'Key Metrics'!$E$16:$M$16,0)),0)</f>
        <v>0</v>
      </c>
      <c r="Z333" s="9">
        <f>IF($H333&gt;L333,($H333-L333)*INDEX('Key Metrics'!$E$16:$N$19,MATCH($E333,'Key Metrics'!$E$16:$E$19,0),MATCH(Z$1,'Key Metrics'!$E$16:$M$16,0)),0)</f>
        <v>0</v>
      </c>
      <c r="AA333" s="9">
        <f t="shared" si="58"/>
        <v>136056</v>
      </c>
      <c r="AB333" s="9">
        <f t="shared" si="59"/>
        <v>136057.37703999999</v>
      </c>
    </row>
    <row r="334" spans="1:28" x14ac:dyDescent="0.55000000000000004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COUNTIF(deals_closed!$D$2:$D$20001,Calculations!B334)</f>
        <v>14</v>
      </c>
      <c r="H334" s="7">
        <f>SUMIF(deals_closed!$D:$D,Calculations!B334,deals_closed!$C:$C)</f>
        <v>539738</v>
      </c>
      <c r="I334" s="5">
        <f>VLOOKUP(E334,'2018_commission_structure'!$A$1:$I$4,9,FALSE)</f>
        <v>750000</v>
      </c>
      <c r="J334" s="9">
        <f t="shared" si="51"/>
        <v>937500</v>
      </c>
      <c r="K334" s="10">
        <f t="shared" si="52"/>
        <v>1125000</v>
      </c>
      <c r="L334" s="9">
        <f t="shared" si="53"/>
        <v>1500000</v>
      </c>
      <c r="M334" s="8">
        <f t="shared" si="54"/>
        <v>0.71965066666666666</v>
      </c>
      <c r="N334" t="str">
        <f t="shared" si="55"/>
        <v>0-100%</v>
      </c>
      <c r="O334" s="9">
        <f>MIN($H334,$I334)*INDEX('2018_commission_structure'!$A$1:$I$4,MATCH($E334,'2018_commission_structure'!$A$1:$A$4,0),MATCH(O$1,'2018_commission_structure'!$A$1:$I$1,0))</f>
        <v>80960.7</v>
      </c>
      <c r="P334" s="9">
        <f>IF(H334&gt;I334, MIN(H334-I334, J334-I334)*INDEX('2018_commission_structure'!$A$1:$I$4,MATCH($E334,'2018_commission_structure'!$A$1:$A$4,0),MATCH(P$1,'2018_commission_structure'!$A$1:$I$1,0)),0)</f>
        <v>0</v>
      </c>
      <c r="Q334" s="9">
        <f>IF($H334&gt;J334, MIN($H334-J334, K334-J334)*INDEX('2018_commission_structure'!$A$1:$I$4,MATCH($E334,'2018_commission_structure'!$A$1:$A$4,0),MATCH(Q$1,'2018_commission_structure'!$A$1:$I$1,0)),0)</f>
        <v>0</v>
      </c>
      <c r="R334" s="9">
        <f>IF($H334&gt;K334, MIN($H334-K334, L334-K334)*INDEX('2018_commission_structure'!$A$1:$I$4,MATCH($E334,'2018_commission_structure'!$A$1:$A$4,0),MATCH(R$1,'2018_commission_structure'!$A$1:$I$1,0)),0)</f>
        <v>0</v>
      </c>
      <c r="S334" s="9">
        <f>IF(H334&gt;L334,(H334-L334)*INDEX('2018_commission_structure'!$A$1:$I$4,MATCH($E334,'2018_commission_structure'!$A$1:$A$4,0),MATCH(S$1,'2018_commission_structure'!$A$1:$I$1,0)),0)</f>
        <v>0</v>
      </c>
      <c r="T334" s="9">
        <f t="shared" si="56"/>
        <v>80960.7</v>
      </c>
      <c r="U334" s="9">
        <f t="shared" si="57"/>
        <v>162690.70000000001</v>
      </c>
      <c r="V334" s="9">
        <f>MIN($I334,$H334)*INDEX('Key Metrics'!$E$16:$N$19,MATCH($E334,'Key Metrics'!$E$16:$E$19,0),MATCH(V$1,'Key Metrics'!$E$16:$M$16,0))</f>
        <v>80960.7</v>
      </c>
      <c r="W334" s="9">
        <f>IF($H334&gt;I334, MIN($H334-I334, J334-I334)*INDEX('Key Metrics'!$E$16:$N$19,MATCH($E334,'Key Metrics'!$E$16:$E$19,0),MATCH(W$1,'Key Metrics'!$E$16:$M$16,0)),0)</f>
        <v>0</v>
      </c>
      <c r="X334" s="9">
        <f>IF($H334&gt;J334, MIN($H334-J334, K334-J334)*INDEX('Key Metrics'!$E$16:$N$19,MATCH($E334,'Key Metrics'!$E$16:$E$19,0),MATCH(X$1,'Key Metrics'!$E$16:$M$16,0)),0)</f>
        <v>0</v>
      </c>
      <c r="Y334" s="9">
        <f>IF($H334&gt;K334, MIN($H334-K334, L334-K334)*INDEX('Key Metrics'!$E$16:$N$19,MATCH($E334,'Key Metrics'!$E$16:$E$19,0),MATCH(Y$1,'Key Metrics'!$E$16:$M$16,0)),0)</f>
        <v>0</v>
      </c>
      <c r="Z334" s="9">
        <f>IF($H334&gt;L334,($H334-L334)*INDEX('Key Metrics'!$E$16:$N$19,MATCH($E334,'Key Metrics'!$E$16:$E$19,0),MATCH(Z$1,'Key Metrics'!$E$16:$M$16,0)),0)</f>
        <v>0</v>
      </c>
      <c r="AA334" s="9">
        <f t="shared" si="58"/>
        <v>80960.7</v>
      </c>
      <c r="AB334" s="9">
        <f t="shared" si="59"/>
        <v>80961.419650666663</v>
      </c>
    </row>
    <row r="335" spans="1:28" x14ac:dyDescent="0.55000000000000004">
      <c r="A335" t="str">
        <f t="shared" si="5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COUNTIF(deals_closed!$D$2:$D$20001,Calculations!B63)</f>
        <v>14</v>
      </c>
      <c r="H335" s="7">
        <f>SUMIF(deals_closed!$D:$D,Calculations!B63,deals_closed!$C:$C)</f>
        <v>433083</v>
      </c>
      <c r="I335" s="5">
        <f>VLOOKUP(E335,'2018_commission_structure'!$A$1:$I$4,9,FALSE)</f>
        <v>500000</v>
      </c>
      <c r="J335" s="9">
        <f t="shared" si="51"/>
        <v>625000</v>
      </c>
      <c r="K335" s="10">
        <f t="shared" si="52"/>
        <v>750000</v>
      </c>
      <c r="L335" s="9">
        <f t="shared" si="53"/>
        <v>1000000</v>
      </c>
      <c r="M335" s="8">
        <f t="shared" si="54"/>
        <v>0.86616599999999999</v>
      </c>
      <c r="N335" t="str">
        <f t="shared" si="55"/>
        <v>0-100%</v>
      </c>
      <c r="O335" s="9">
        <f>MIN($H335,$I335)*INDEX('2018_commission_structure'!$A$1:$I$4,MATCH($E335,'2018_commission_structure'!$A$1:$A$4,0),MATCH(O$1,'2018_commission_structure'!$A$1:$I$1,0))</f>
        <v>43308.3</v>
      </c>
      <c r="P335" s="9">
        <f>IF(H335&gt;I335, MIN(H335-I335, J335-I335)*INDEX('2018_commission_structure'!$A$1:$I$4,MATCH($E335,'2018_commission_structure'!$A$1:$A$4,0),MATCH(P$1,'2018_commission_structure'!$A$1:$I$1,0)),0)</f>
        <v>0</v>
      </c>
      <c r="Q335" s="9">
        <f>IF($H335&gt;J335, MIN($H335-J335, K335-J335)*INDEX('2018_commission_structure'!$A$1:$I$4,MATCH($E335,'2018_commission_structure'!$A$1:$A$4,0),MATCH(Q$1,'2018_commission_structure'!$A$1:$I$1,0)),0)</f>
        <v>0</v>
      </c>
      <c r="R335" s="9">
        <f>IF($H335&gt;K335, MIN($H335-K335, L335-K335)*INDEX('2018_commission_structure'!$A$1:$I$4,MATCH($E335,'2018_commission_structure'!$A$1:$A$4,0),MATCH(R$1,'2018_commission_structure'!$A$1:$I$1,0)),0)</f>
        <v>0</v>
      </c>
      <c r="S335" s="9">
        <f>IF(H335&gt;L335,(H335-L335)*INDEX('2018_commission_structure'!$A$1:$I$4,MATCH($E335,'2018_commission_structure'!$A$1:$A$4,0),MATCH(S$1,'2018_commission_structure'!$A$1:$I$1,0)),0)</f>
        <v>0</v>
      </c>
      <c r="T335" s="9">
        <f t="shared" si="56"/>
        <v>43308.3</v>
      </c>
      <c r="U335" s="9">
        <f t="shared" si="57"/>
        <v>90351.3</v>
      </c>
      <c r="V335" s="9">
        <f>MIN($I335,$H335)*INDEX('Key Metrics'!$E$16:$N$19,MATCH($E335,'Key Metrics'!$E$16:$E$19,0),MATCH(V$1,'Key Metrics'!$E$16:$M$16,0))</f>
        <v>51969.96</v>
      </c>
      <c r="W335" s="9">
        <f>IF($H335&gt;I335, MIN($H335-I335, J335-I335)*INDEX('Key Metrics'!$E$16:$N$19,MATCH($E335,'Key Metrics'!$E$16:$E$19,0),MATCH(W$1,'Key Metrics'!$E$16:$M$16,0)),0)</f>
        <v>0</v>
      </c>
      <c r="X335" s="9">
        <f>IF($H335&gt;J335, MIN($H335-J335, K335-J335)*INDEX('Key Metrics'!$E$16:$N$19,MATCH($E335,'Key Metrics'!$E$16:$E$19,0),MATCH(X$1,'Key Metrics'!$E$16:$M$16,0)),0)</f>
        <v>0</v>
      </c>
      <c r="Y335" s="9">
        <f>IF($H335&gt;K335, MIN($H335-K335, L335-K335)*INDEX('Key Metrics'!$E$16:$N$19,MATCH($E335,'Key Metrics'!$E$16:$E$19,0),MATCH(Y$1,'Key Metrics'!$E$16:$M$16,0)),0)</f>
        <v>0</v>
      </c>
      <c r="Z335" s="9">
        <f>IF($H335&gt;L335,($H335-L335)*INDEX('Key Metrics'!$E$16:$N$19,MATCH($E335,'Key Metrics'!$E$16:$E$19,0),MATCH(Z$1,'Key Metrics'!$E$16:$M$16,0)),0)</f>
        <v>0</v>
      </c>
      <c r="AA335" s="9">
        <f t="shared" si="58"/>
        <v>51969.96</v>
      </c>
      <c r="AB335" s="9">
        <f t="shared" si="59"/>
        <v>51970.826165999999</v>
      </c>
    </row>
    <row r="336" spans="1:28" x14ac:dyDescent="0.55000000000000004">
      <c r="A336" t="str">
        <f t="shared" si="5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COUNTIF(deals_closed!$D$2:$D$20001,Calculations!B790)</f>
        <v>19</v>
      </c>
      <c r="H336" s="7">
        <f>SUMIF(deals_closed!$D:$D,Calculations!B790,deals_closed!$C:$C)</f>
        <v>696630</v>
      </c>
      <c r="I336" s="5">
        <f>VLOOKUP(E336,'2018_commission_structure'!$A$1:$I$4,9,FALSE)</f>
        <v>500000</v>
      </c>
      <c r="J336" s="9">
        <f t="shared" si="51"/>
        <v>625000</v>
      </c>
      <c r="K336" s="10">
        <f t="shared" si="52"/>
        <v>750000</v>
      </c>
      <c r="L336" s="9">
        <f t="shared" si="53"/>
        <v>1000000</v>
      </c>
      <c r="M336" s="8">
        <f t="shared" si="54"/>
        <v>1.3932599999999999</v>
      </c>
      <c r="N336" t="str">
        <f t="shared" si="55"/>
        <v>125-150%</v>
      </c>
      <c r="O336" s="9">
        <f>MIN($H336,$I336)*INDEX('2018_commission_structure'!$A$1:$I$4,MATCH($E336,'2018_commission_structure'!$A$1:$A$4,0),MATCH(O$1,'2018_commission_structure'!$A$1:$I$1,0))</f>
        <v>50000</v>
      </c>
      <c r="P336" s="9">
        <f>IF(H336&gt;I336, MIN(H336-I336, J336-I336)*INDEX('2018_commission_structure'!$A$1:$I$4,MATCH($E336,'2018_commission_structure'!$A$1:$A$4,0),MATCH(P$1,'2018_commission_structure'!$A$1:$I$1,0)),0)</f>
        <v>18750</v>
      </c>
      <c r="Q336" s="9">
        <f>IF($H336&gt;J336, MIN($H336-J336, K336-J336)*INDEX('2018_commission_structure'!$A$1:$I$4,MATCH($E336,'2018_commission_structure'!$A$1:$A$4,0),MATCH(Q$1,'2018_commission_structure'!$A$1:$I$1,0)),0)</f>
        <v>12893.4</v>
      </c>
      <c r="R336" s="9">
        <f>IF($H336&gt;K336, MIN($H336-K336, L336-K336)*INDEX('2018_commission_structure'!$A$1:$I$4,MATCH($E336,'2018_commission_structure'!$A$1:$A$4,0),MATCH(R$1,'2018_commission_structure'!$A$1:$I$1,0)),0)</f>
        <v>0</v>
      </c>
      <c r="S336" s="9">
        <f>IF(H336&gt;L336,(H336-L336)*INDEX('2018_commission_structure'!$A$1:$I$4,MATCH($E336,'2018_commission_structure'!$A$1:$A$4,0),MATCH(S$1,'2018_commission_structure'!$A$1:$I$1,0)),0)</f>
        <v>0</v>
      </c>
      <c r="T336" s="9">
        <f t="shared" si="56"/>
        <v>81643.399999999994</v>
      </c>
      <c r="U336" s="9">
        <f t="shared" si="57"/>
        <v>144078.39999999999</v>
      </c>
      <c r="V336" s="9">
        <f>MIN($I336,$H336)*INDEX('Key Metrics'!$E$16:$N$19,MATCH($E336,'Key Metrics'!$E$16:$E$19,0),MATCH(V$1,'Key Metrics'!$E$16:$M$16,0))</f>
        <v>60000</v>
      </c>
      <c r="W336" s="9">
        <f>IF($H336&gt;I336, MIN($H336-I336, J336-I336)*INDEX('Key Metrics'!$E$16:$N$19,MATCH($E336,'Key Metrics'!$E$16:$E$19,0),MATCH(W$1,'Key Metrics'!$E$16:$M$16,0)),0)</f>
        <v>21250</v>
      </c>
      <c r="X336" s="9">
        <f>IF($H336&gt;J336, MIN($H336-J336, K336-J336)*INDEX('Key Metrics'!$E$16:$N$19,MATCH($E336,'Key Metrics'!$E$16:$E$19,0),MATCH(X$1,'Key Metrics'!$E$16:$M$16,0)),0)</f>
        <v>14326</v>
      </c>
      <c r="Y336" s="9">
        <f>IF($H336&gt;K336, MIN($H336-K336, L336-K336)*INDEX('Key Metrics'!$E$16:$N$19,MATCH($E336,'Key Metrics'!$E$16:$E$19,0),MATCH(Y$1,'Key Metrics'!$E$16:$M$16,0)),0)</f>
        <v>0</v>
      </c>
      <c r="Z336" s="9">
        <f>IF($H336&gt;L336,($H336-L336)*INDEX('Key Metrics'!$E$16:$N$19,MATCH($E336,'Key Metrics'!$E$16:$E$19,0),MATCH(Z$1,'Key Metrics'!$E$16:$M$16,0)),0)</f>
        <v>0</v>
      </c>
      <c r="AA336" s="9">
        <f t="shared" si="58"/>
        <v>95576</v>
      </c>
      <c r="AB336" s="9">
        <f t="shared" si="59"/>
        <v>95577.393259999997</v>
      </c>
    </row>
    <row r="337" spans="1:28" x14ac:dyDescent="0.55000000000000004">
      <c r="A337" t="str">
        <f t="shared" si="5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COUNTIF(deals_closed!$D$2:$D$20001,Calculations!B929)</f>
        <v>27</v>
      </c>
      <c r="H337" s="7">
        <f>SUMIF(deals_closed!$D:$D,Calculations!B929,deals_closed!$C:$C)</f>
        <v>1005142</v>
      </c>
      <c r="I337" s="5">
        <f>VLOOKUP(E337,'2018_commission_structure'!$A$1:$I$4,9,FALSE)</f>
        <v>600000</v>
      </c>
      <c r="J337" s="9">
        <f t="shared" si="51"/>
        <v>750000</v>
      </c>
      <c r="K337" s="10">
        <f t="shared" si="52"/>
        <v>900000</v>
      </c>
      <c r="L337" s="9">
        <f t="shared" si="53"/>
        <v>1200000</v>
      </c>
      <c r="M337" s="8">
        <f t="shared" si="54"/>
        <v>1.6752366666666667</v>
      </c>
      <c r="N337" t="str">
        <f t="shared" si="55"/>
        <v>150-200%</v>
      </c>
      <c r="O337" s="9">
        <f>MIN($H337,$I337)*INDEX('2018_commission_structure'!$A$1:$I$4,MATCH($E337,'2018_commission_structure'!$A$1:$A$4,0),MATCH(O$1,'2018_commission_structure'!$A$1:$I$1,0))</f>
        <v>78000</v>
      </c>
      <c r="P337" s="9">
        <f>IF(H337&gt;I337, MIN(H337-I337, J337-I337)*INDEX('2018_commission_structure'!$A$1:$I$4,MATCH($E337,'2018_commission_structure'!$A$1:$A$4,0),MATCH(P$1,'2018_commission_structure'!$A$1:$I$1,0)),0)</f>
        <v>25500.000000000004</v>
      </c>
      <c r="Q337" s="9">
        <f>IF($H337&gt;J337, MIN($H337-J337, K337-J337)*INDEX('2018_commission_structure'!$A$1:$I$4,MATCH($E337,'2018_commission_structure'!$A$1:$A$4,0),MATCH(Q$1,'2018_commission_structure'!$A$1:$I$1,0)),0)</f>
        <v>31500</v>
      </c>
      <c r="R337" s="9">
        <f>IF($H337&gt;K337, MIN($H337-K337, L337-K337)*INDEX('2018_commission_structure'!$A$1:$I$4,MATCH($E337,'2018_commission_structure'!$A$1:$A$4,0),MATCH(R$1,'2018_commission_structure'!$A$1:$I$1,0)),0)</f>
        <v>27336.920000000002</v>
      </c>
      <c r="S337" s="9">
        <f>IF(H337&gt;L337,(H337-L337)*INDEX('2018_commission_structure'!$A$1:$I$4,MATCH($E337,'2018_commission_structure'!$A$1:$A$4,0),MATCH(S$1,'2018_commission_structure'!$A$1:$I$1,0)),0)</f>
        <v>0</v>
      </c>
      <c r="T337" s="9">
        <f t="shared" si="56"/>
        <v>162336.92000000001</v>
      </c>
      <c r="U337" s="9">
        <f t="shared" si="57"/>
        <v>234677.92</v>
      </c>
      <c r="V337" s="9">
        <f>MIN($I337,$H337)*INDEX('Key Metrics'!$E$16:$N$19,MATCH($E337,'Key Metrics'!$E$16:$E$19,0),MATCH(V$1,'Key Metrics'!$E$16:$M$16,0))</f>
        <v>90000</v>
      </c>
      <c r="W337" s="9">
        <f>IF($H337&gt;I337, MIN($H337-I337, J337-I337)*INDEX('Key Metrics'!$E$16:$N$19,MATCH($E337,'Key Metrics'!$E$16:$E$19,0),MATCH(W$1,'Key Metrics'!$E$16:$M$16,0)),0)</f>
        <v>27000</v>
      </c>
      <c r="X337" s="9">
        <f>IF($H337&gt;J337, MIN($H337-J337, K337-J337)*INDEX('Key Metrics'!$E$16:$N$19,MATCH($E337,'Key Metrics'!$E$16:$E$19,0),MATCH(X$1,'Key Metrics'!$E$16:$M$16,0)),0)</f>
        <v>37500</v>
      </c>
      <c r="Y337" s="9">
        <f>IF($H337&gt;K337, MIN($H337-K337, L337-K337)*INDEX('Key Metrics'!$E$16:$N$19,MATCH($E337,'Key Metrics'!$E$16:$E$19,0),MATCH(Y$1,'Key Metrics'!$E$16:$M$16,0)),0)</f>
        <v>31542.6</v>
      </c>
      <c r="Z337" s="9">
        <f>IF($H337&gt;L337,($H337-L337)*INDEX('Key Metrics'!$E$16:$N$19,MATCH($E337,'Key Metrics'!$E$16:$E$19,0),MATCH(Z$1,'Key Metrics'!$E$16:$M$16,0)),0)</f>
        <v>0</v>
      </c>
      <c r="AA337" s="9">
        <f t="shared" si="58"/>
        <v>186042.6</v>
      </c>
      <c r="AB337" s="9">
        <f t="shared" si="59"/>
        <v>186044.27523666667</v>
      </c>
    </row>
    <row r="338" spans="1:28" x14ac:dyDescent="0.55000000000000004">
      <c r="A338" t="str">
        <f t="shared" si="5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COUNTIF(deals_closed!$D$2:$D$20001,Calculations!B703)</f>
        <v>22</v>
      </c>
      <c r="H338" s="7">
        <f>SUMIF(deals_closed!$D:$D,Calculations!B703,deals_closed!$C:$C)</f>
        <v>787783</v>
      </c>
      <c r="I338" s="5">
        <f>VLOOKUP(E338,'2018_commission_structure'!$A$1:$I$4,9,FALSE)</f>
        <v>600000</v>
      </c>
      <c r="J338" s="9">
        <f t="shared" si="51"/>
        <v>750000</v>
      </c>
      <c r="K338" s="10">
        <f t="shared" si="52"/>
        <v>900000</v>
      </c>
      <c r="L338" s="9">
        <f t="shared" si="53"/>
        <v>1200000</v>
      </c>
      <c r="M338" s="8">
        <f t="shared" si="54"/>
        <v>1.3129716666666666</v>
      </c>
      <c r="N338" t="str">
        <f t="shared" si="55"/>
        <v>125-150%</v>
      </c>
      <c r="O338" s="9">
        <f>MIN($H338,$I338)*INDEX('2018_commission_structure'!$A$1:$I$4,MATCH($E338,'2018_commission_structure'!$A$1:$A$4,0),MATCH(O$1,'2018_commission_structure'!$A$1:$I$1,0))</f>
        <v>78000</v>
      </c>
      <c r="P338" s="9">
        <f>IF(H338&gt;I338, MIN(H338-I338, J338-I338)*INDEX('2018_commission_structure'!$A$1:$I$4,MATCH($E338,'2018_commission_structure'!$A$1:$A$4,0),MATCH(P$1,'2018_commission_structure'!$A$1:$I$1,0)),0)</f>
        <v>25500.000000000004</v>
      </c>
      <c r="Q338" s="9">
        <f>IF($H338&gt;J338, MIN($H338-J338, K338-J338)*INDEX('2018_commission_structure'!$A$1:$I$4,MATCH($E338,'2018_commission_structure'!$A$1:$A$4,0),MATCH(Q$1,'2018_commission_structure'!$A$1:$I$1,0)),0)</f>
        <v>7934.4299999999994</v>
      </c>
      <c r="R338" s="9">
        <f>IF($H338&gt;K338, MIN($H338-K338, L338-K338)*INDEX('2018_commission_structure'!$A$1:$I$4,MATCH($E338,'2018_commission_structure'!$A$1:$A$4,0),MATCH(R$1,'2018_commission_structure'!$A$1:$I$1,0)),0)</f>
        <v>0</v>
      </c>
      <c r="S338" s="9">
        <f>IF(H338&gt;L338,(H338-L338)*INDEX('2018_commission_structure'!$A$1:$I$4,MATCH($E338,'2018_commission_structure'!$A$1:$A$4,0),MATCH(S$1,'2018_commission_structure'!$A$1:$I$1,0)),0)</f>
        <v>0</v>
      </c>
      <c r="T338" s="9">
        <f t="shared" si="56"/>
        <v>111434.43</v>
      </c>
      <c r="U338" s="9">
        <f t="shared" si="57"/>
        <v>181445.43</v>
      </c>
      <c r="V338" s="9">
        <f>MIN($I338,$H338)*INDEX('Key Metrics'!$E$16:$N$19,MATCH($E338,'Key Metrics'!$E$16:$E$19,0),MATCH(V$1,'Key Metrics'!$E$16:$M$16,0))</f>
        <v>90000</v>
      </c>
      <c r="W338" s="9">
        <f>IF($H338&gt;I338, MIN($H338-I338, J338-I338)*INDEX('Key Metrics'!$E$16:$N$19,MATCH($E338,'Key Metrics'!$E$16:$E$19,0),MATCH(W$1,'Key Metrics'!$E$16:$M$16,0)),0)</f>
        <v>27000</v>
      </c>
      <c r="X338" s="9">
        <f>IF($H338&gt;J338, MIN($H338-J338, K338-J338)*INDEX('Key Metrics'!$E$16:$N$19,MATCH($E338,'Key Metrics'!$E$16:$E$19,0),MATCH(X$1,'Key Metrics'!$E$16:$M$16,0)),0)</f>
        <v>9445.75</v>
      </c>
      <c r="Y338" s="9">
        <f>IF($H338&gt;K338, MIN($H338-K338, L338-K338)*INDEX('Key Metrics'!$E$16:$N$19,MATCH($E338,'Key Metrics'!$E$16:$E$19,0),MATCH(Y$1,'Key Metrics'!$E$16:$M$16,0)),0)</f>
        <v>0</v>
      </c>
      <c r="Z338" s="9">
        <f>IF($H338&gt;L338,($H338-L338)*INDEX('Key Metrics'!$E$16:$N$19,MATCH($E338,'Key Metrics'!$E$16:$E$19,0),MATCH(Z$1,'Key Metrics'!$E$16:$M$16,0)),0)</f>
        <v>0</v>
      </c>
      <c r="AA338" s="9">
        <f t="shared" si="58"/>
        <v>126445.75</v>
      </c>
      <c r="AB338" s="9">
        <f t="shared" si="59"/>
        <v>126447.06297166667</v>
      </c>
    </row>
    <row r="339" spans="1:28" x14ac:dyDescent="0.55000000000000004">
      <c r="A339" t="str">
        <f t="shared" si="5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COUNTIF(deals_closed!$D$2:$D$20001,Calculations!B322)</f>
        <v>20</v>
      </c>
      <c r="H339" s="7">
        <f>SUMIF(deals_closed!$D:$D,Calculations!B322,deals_closed!$C:$C)</f>
        <v>665862</v>
      </c>
      <c r="I339" s="5">
        <f>VLOOKUP(E339,'2018_commission_structure'!$A$1:$I$4,9,FALSE)</f>
        <v>600000</v>
      </c>
      <c r="J339" s="9">
        <f t="shared" si="51"/>
        <v>750000</v>
      </c>
      <c r="K339" s="10">
        <f t="shared" si="52"/>
        <v>900000</v>
      </c>
      <c r="L339" s="9">
        <f t="shared" si="53"/>
        <v>1200000</v>
      </c>
      <c r="M339" s="8">
        <f t="shared" si="54"/>
        <v>1.1097699999999999</v>
      </c>
      <c r="N339" t="str">
        <f t="shared" si="55"/>
        <v>100-125%</v>
      </c>
      <c r="O339" s="9">
        <f>MIN($H339,$I339)*INDEX('2018_commission_structure'!$A$1:$I$4,MATCH($E339,'2018_commission_structure'!$A$1:$A$4,0),MATCH(O$1,'2018_commission_structure'!$A$1:$I$1,0))</f>
        <v>78000</v>
      </c>
      <c r="P339" s="9">
        <f>IF(H339&gt;I339, MIN(H339-I339, J339-I339)*INDEX('2018_commission_structure'!$A$1:$I$4,MATCH($E339,'2018_commission_structure'!$A$1:$A$4,0),MATCH(P$1,'2018_commission_structure'!$A$1:$I$1,0)),0)</f>
        <v>11196.54</v>
      </c>
      <c r="Q339" s="9">
        <f>IF($H339&gt;J339, MIN($H339-J339, K339-J339)*INDEX('2018_commission_structure'!$A$1:$I$4,MATCH($E339,'2018_commission_structure'!$A$1:$A$4,0),MATCH(Q$1,'2018_commission_structure'!$A$1:$I$1,0)),0)</f>
        <v>0</v>
      </c>
      <c r="R339" s="9">
        <f>IF($H339&gt;K339, MIN($H339-K339, L339-K339)*INDEX('2018_commission_structure'!$A$1:$I$4,MATCH($E339,'2018_commission_structure'!$A$1:$A$4,0),MATCH(R$1,'2018_commission_structure'!$A$1:$I$1,0)),0)</f>
        <v>0</v>
      </c>
      <c r="S339" s="9">
        <f>IF(H339&gt;L339,(H339-L339)*INDEX('2018_commission_structure'!$A$1:$I$4,MATCH($E339,'2018_commission_structure'!$A$1:$A$4,0),MATCH(S$1,'2018_commission_structure'!$A$1:$I$1,0)),0)</f>
        <v>0</v>
      </c>
      <c r="T339" s="9">
        <f t="shared" si="56"/>
        <v>89196.540000000008</v>
      </c>
      <c r="U339" s="9">
        <f t="shared" si="57"/>
        <v>163747.54</v>
      </c>
      <c r="V339" s="9">
        <f>MIN($I339,$H339)*INDEX('Key Metrics'!$E$16:$N$19,MATCH($E339,'Key Metrics'!$E$16:$E$19,0),MATCH(V$1,'Key Metrics'!$E$16:$M$16,0))</f>
        <v>90000</v>
      </c>
      <c r="W339" s="9">
        <f>IF($H339&gt;I339, MIN($H339-I339, J339-I339)*INDEX('Key Metrics'!$E$16:$N$19,MATCH($E339,'Key Metrics'!$E$16:$E$19,0),MATCH(W$1,'Key Metrics'!$E$16:$M$16,0)),0)</f>
        <v>11855.16</v>
      </c>
      <c r="X339" s="9">
        <f>IF($H339&gt;J339, MIN($H339-J339, K339-J339)*INDEX('Key Metrics'!$E$16:$N$19,MATCH($E339,'Key Metrics'!$E$16:$E$19,0),MATCH(X$1,'Key Metrics'!$E$16:$M$16,0)),0)</f>
        <v>0</v>
      </c>
      <c r="Y339" s="9">
        <f>IF($H339&gt;K339, MIN($H339-K339, L339-K339)*INDEX('Key Metrics'!$E$16:$N$19,MATCH($E339,'Key Metrics'!$E$16:$E$19,0),MATCH(Y$1,'Key Metrics'!$E$16:$M$16,0)),0)</f>
        <v>0</v>
      </c>
      <c r="Z339" s="9">
        <f>IF($H339&gt;L339,($H339-L339)*INDEX('Key Metrics'!$E$16:$N$19,MATCH($E339,'Key Metrics'!$E$16:$E$19,0),MATCH(Z$1,'Key Metrics'!$E$16:$M$16,0)),0)</f>
        <v>0</v>
      </c>
      <c r="AA339" s="9">
        <f t="shared" si="58"/>
        <v>101855.16</v>
      </c>
      <c r="AB339" s="9">
        <f t="shared" si="59"/>
        <v>101856.26977</v>
      </c>
    </row>
    <row r="340" spans="1:28" x14ac:dyDescent="0.55000000000000004">
      <c r="A340" t="str">
        <f t="shared" si="5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COUNTIF(deals_closed!$D$2:$D$20001,Calculations!B110)</f>
        <v>13</v>
      </c>
      <c r="H340" s="7">
        <f>SUMIF(deals_closed!$D:$D,Calculations!B110,deals_closed!$C:$C)</f>
        <v>474301</v>
      </c>
      <c r="I340" s="5">
        <f>VLOOKUP(E340,'2018_commission_structure'!$A$1:$I$4,9,FALSE)</f>
        <v>750000</v>
      </c>
      <c r="J340" s="9">
        <f t="shared" si="51"/>
        <v>937500</v>
      </c>
      <c r="K340" s="10">
        <f t="shared" si="52"/>
        <v>1125000</v>
      </c>
      <c r="L340" s="9">
        <f t="shared" si="53"/>
        <v>1500000</v>
      </c>
      <c r="M340" s="8">
        <f t="shared" si="54"/>
        <v>0.63240133333333337</v>
      </c>
      <c r="N340" t="str">
        <f t="shared" si="55"/>
        <v>0-100%</v>
      </c>
      <c r="O340" s="9">
        <f>MIN($H340,$I340)*INDEX('2018_commission_structure'!$A$1:$I$4,MATCH($E340,'2018_commission_structure'!$A$1:$A$4,0),MATCH(O$1,'2018_commission_structure'!$A$1:$I$1,0))</f>
        <v>71145.149999999994</v>
      </c>
      <c r="P340" s="9">
        <f>IF(H340&gt;I340, MIN(H340-I340, J340-I340)*INDEX('2018_commission_structure'!$A$1:$I$4,MATCH($E340,'2018_commission_structure'!$A$1:$A$4,0),MATCH(P$1,'2018_commission_structure'!$A$1:$I$1,0)),0)</f>
        <v>0</v>
      </c>
      <c r="Q340" s="9">
        <f>IF($H340&gt;J340, MIN($H340-J340, K340-J340)*INDEX('2018_commission_structure'!$A$1:$I$4,MATCH($E340,'2018_commission_structure'!$A$1:$A$4,0),MATCH(Q$1,'2018_commission_structure'!$A$1:$I$1,0)),0)</f>
        <v>0</v>
      </c>
      <c r="R340" s="9">
        <f>IF($H340&gt;K340, MIN($H340-K340, L340-K340)*INDEX('2018_commission_structure'!$A$1:$I$4,MATCH($E340,'2018_commission_structure'!$A$1:$A$4,0),MATCH(R$1,'2018_commission_structure'!$A$1:$I$1,0)),0)</f>
        <v>0</v>
      </c>
      <c r="S340" s="9">
        <f>IF(H340&gt;L340,(H340-L340)*INDEX('2018_commission_structure'!$A$1:$I$4,MATCH($E340,'2018_commission_structure'!$A$1:$A$4,0),MATCH(S$1,'2018_commission_structure'!$A$1:$I$1,0)),0)</f>
        <v>0</v>
      </c>
      <c r="T340" s="9">
        <f t="shared" si="56"/>
        <v>71145.149999999994</v>
      </c>
      <c r="U340" s="9">
        <f t="shared" si="57"/>
        <v>172953.15</v>
      </c>
      <c r="V340" s="9">
        <f>MIN($I340,$H340)*INDEX('Key Metrics'!$E$16:$N$19,MATCH($E340,'Key Metrics'!$E$16:$E$19,0),MATCH(V$1,'Key Metrics'!$E$16:$M$16,0))</f>
        <v>71145.149999999994</v>
      </c>
      <c r="W340" s="9">
        <f>IF($H340&gt;I340, MIN($H340-I340, J340-I340)*INDEX('Key Metrics'!$E$16:$N$19,MATCH($E340,'Key Metrics'!$E$16:$E$19,0),MATCH(W$1,'Key Metrics'!$E$16:$M$16,0)),0)</f>
        <v>0</v>
      </c>
      <c r="X340" s="9">
        <f>IF($H340&gt;J340, MIN($H340-J340, K340-J340)*INDEX('Key Metrics'!$E$16:$N$19,MATCH($E340,'Key Metrics'!$E$16:$E$19,0),MATCH(X$1,'Key Metrics'!$E$16:$M$16,0)),0)</f>
        <v>0</v>
      </c>
      <c r="Y340" s="9">
        <f>IF($H340&gt;K340, MIN($H340-K340, L340-K340)*INDEX('Key Metrics'!$E$16:$N$19,MATCH($E340,'Key Metrics'!$E$16:$E$19,0),MATCH(Y$1,'Key Metrics'!$E$16:$M$16,0)),0)</f>
        <v>0</v>
      </c>
      <c r="Z340" s="9">
        <f>IF($H340&gt;L340,($H340-L340)*INDEX('Key Metrics'!$E$16:$N$19,MATCH($E340,'Key Metrics'!$E$16:$E$19,0),MATCH(Z$1,'Key Metrics'!$E$16:$M$16,0)),0)</f>
        <v>0</v>
      </c>
      <c r="AA340" s="9">
        <f t="shared" si="58"/>
        <v>71145.149999999994</v>
      </c>
      <c r="AB340" s="9">
        <f t="shared" si="59"/>
        <v>71145.78240133333</v>
      </c>
    </row>
    <row r="341" spans="1:28" x14ac:dyDescent="0.55000000000000004">
      <c r="A341" t="str">
        <f t="shared" si="5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COUNTIF(deals_closed!$D$2:$D$20001,Calculations!B540)</f>
        <v>21</v>
      </c>
      <c r="H341" s="7">
        <f>SUMIF(deals_closed!$D:$D,Calculations!B540,deals_closed!$C:$C)</f>
        <v>689066</v>
      </c>
      <c r="I341" s="5">
        <f>VLOOKUP(E341,'2018_commission_structure'!$A$1:$I$4,9,FALSE)</f>
        <v>500000</v>
      </c>
      <c r="J341" s="9">
        <f t="shared" si="51"/>
        <v>625000</v>
      </c>
      <c r="K341" s="10">
        <f t="shared" si="52"/>
        <v>750000</v>
      </c>
      <c r="L341" s="9">
        <f t="shared" si="53"/>
        <v>1000000</v>
      </c>
      <c r="M341" s="8">
        <f t="shared" si="54"/>
        <v>1.3781319999999999</v>
      </c>
      <c r="N341" t="str">
        <f t="shared" si="55"/>
        <v>125-150%</v>
      </c>
      <c r="O341" s="9">
        <f>MIN($H341,$I341)*INDEX('2018_commission_structure'!$A$1:$I$4,MATCH($E341,'2018_commission_structure'!$A$1:$A$4,0),MATCH(O$1,'2018_commission_structure'!$A$1:$I$1,0))</f>
        <v>50000</v>
      </c>
      <c r="P341" s="9">
        <f>IF(H341&gt;I341, MIN(H341-I341, J341-I341)*INDEX('2018_commission_structure'!$A$1:$I$4,MATCH($E341,'2018_commission_structure'!$A$1:$A$4,0),MATCH(P$1,'2018_commission_structure'!$A$1:$I$1,0)),0)</f>
        <v>18750</v>
      </c>
      <c r="Q341" s="9">
        <f>IF($H341&gt;J341, MIN($H341-J341, K341-J341)*INDEX('2018_commission_structure'!$A$1:$I$4,MATCH($E341,'2018_commission_structure'!$A$1:$A$4,0),MATCH(Q$1,'2018_commission_structure'!$A$1:$I$1,0)),0)</f>
        <v>11531.88</v>
      </c>
      <c r="R341" s="9">
        <f>IF($H341&gt;K341, MIN($H341-K341, L341-K341)*INDEX('2018_commission_structure'!$A$1:$I$4,MATCH($E341,'2018_commission_structure'!$A$1:$A$4,0),MATCH(R$1,'2018_commission_structure'!$A$1:$I$1,0)),0)</f>
        <v>0</v>
      </c>
      <c r="S341" s="9">
        <f>IF(H341&gt;L341,(H341-L341)*INDEX('2018_commission_structure'!$A$1:$I$4,MATCH($E341,'2018_commission_structure'!$A$1:$A$4,0),MATCH(S$1,'2018_commission_structure'!$A$1:$I$1,0)),0)</f>
        <v>0</v>
      </c>
      <c r="T341" s="9">
        <f t="shared" si="56"/>
        <v>80281.88</v>
      </c>
      <c r="U341" s="9">
        <f t="shared" si="57"/>
        <v>137439.88</v>
      </c>
      <c r="V341" s="9">
        <f>MIN($I341,$H341)*INDEX('Key Metrics'!$E$16:$N$19,MATCH($E341,'Key Metrics'!$E$16:$E$19,0),MATCH(V$1,'Key Metrics'!$E$16:$M$16,0))</f>
        <v>60000</v>
      </c>
      <c r="W341" s="9">
        <f>IF($H341&gt;I341, MIN($H341-I341, J341-I341)*INDEX('Key Metrics'!$E$16:$N$19,MATCH($E341,'Key Metrics'!$E$16:$E$19,0),MATCH(W$1,'Key Metrics'!$E$16:$M$16,0)),0)</f>
        <v>21250</v>
      </c>
      <c r="X341" s="9">
        <f>IF($H341&gt;J341, MIN($H341-J341, K341-J341)*INDEX('Key Metrics'!$E$16:$N$19,MATCH($E341,'Key Metrics'!$E$16:$E$19,0),MATCH(X$1,'Key Metrics'!$E$16:$M$16,0)),0)</f>
        <v>12813.2</v>
      </c>
      <c r="Y341" s="9">
        <f>IF($H341&gt;K341, MIN($H341-K341, L341-K341)*INDEX('Key Metrics'!$E$16:$N$19,MATCH($E341,'Key Metrics'!$E$16:$E$19,0),MATCH(Y$1,'Key Metrics'!$E$16:$M$16,0)),0)</f>
        <v>0</v>
      </c>
      <c r="Z341" s="9">
        <f>IF($H341&gt;L341,($H341-L341)*INDEX('Key Metrics'!$E$16:$N$19,MATCH($E341,'Key Metrics'!$E$16:$E$19,0),MATCH(Z$1,'Key Metrics'!$E$16:$M$16,0)),0)</f>
        <v>0</v>
      </c>
      <c r="AA341" s="9">
        <f t="shared" si="58"/>
        <v>94063.2</v>
      </c>
      <c r="AB341" s="9">
        <f t="shared" si="59"/>
        <v>94064.578131999995</v>
      </c>
    </row>
    <row r="342" spans="1:28" x14ac:dyDescent="0.55000000000000004">
      <c r="A342" t="str">
        <f t="shared" si="5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COUNTIF(deals_closed!$D$2:$D$20001,Calculations!B129)</f>
        <v>17</v>
      </c>
      <c r="H342" s="7">
        <f>SUMIF(deals_closed!$D:$D,Calculations!B129,deals_closed!$C:$C)</f>
        <v>610839</v>
      </c>
      <c r="I342" s="5">
        <f>VLOOKUP(E342,'2018_commission_structure'!$A$1:$I$4,9,FALSE)</f>
        <v>600000</v>
      </c>
      <c r="J342" s="9">
        <f t="shared" si="51"/>
        <v>750000</v>
      </c>
      <c r="K342" s="10">
        <f t="shared" si="52"/>
        <v>900000</v>
      </c>
      <c r="L342" s="9">
        <f t="shared" si="53"/>
        <v>1200000</v>
      </c>
      <c r="M342" s="8">
        <f t="shared" si="54"/>
        <v>1.018065</v>
      </c>
      <c r="N342" t="str">
        <f t="shared" si="55"/>
        <v>100-125%</v>
      </c>
      <c r="O342" s="9">
        <f>MIN($H342,$I342)*INDEX('2018_commission_structure'!$A$1:$I$4,MATCH($E342,'2018_commission_structure'!$A$1:$A$4,0),MATCH(O$1,'2018_commission_structure'!$A$1:$I$1,0))</f>
        <v>78000</v>
      </c>
      <c r="P342" s="9">
        <f>IF(H342&gt;I342, MIN(H342-I342, J342-I342)*INDEX('2018_commission_structure'!$A$1:$I$4,MATCH($E342,'2018_commission_structure'!$A$1:$A$4,0),MATCH(P$1,'2018_commission_structure'!$A$1:$I$1,0)),0)</f>
        <v>1842.63</v>
      </c>
      <c r="Q342" s="9">
        <f>IF($H342&gt;J342, MIN($H342-J342, K342-J342)*INDEX('2018_commission_structure'!$A$1:$I$4,MATCH($E342,'2018_commission_structure'!$A$1:$A$4,0),MATCH(Q$1,'2018_commission_structure'!$A$1:$I$1,0)),0)</f>
        <v>0</v>
      </c>
      <c r="R342" s="9">
        <f>IF($H342&gt;K342, MIN($H342-K342, L342-K342)*INDEX('2018_commission_structure'!$A$1:$I$4,MATCH($E342,'2018_commission_structure'!$A$1:$A$4,0),MATCH(R$1,'2018_commission_structure'!$A$1:$I$1,0)),0)</f>
        <v>0</v>
      </c>
      <c r="S342" s="9">
        <f>IF(H342&gt;L342,(H342-L342)*INDEX('2018_commission_structure'!$A$1:$I$4,MATCH($E342,'2018_commission_structure'!$A$1:$A$4,0),MATCH(S$1,'2018_commission_structure'!$A$1:$I$1,0)),0)</f>
        <v>0</v>
      </c>
      <c r="T342" s="9">
        <f t="shared" si="56"/>
        <v>79842.63</v>
      </c>
      <c r="U342" s="9">
        <f t="shared" si="57"/>
        <v>137597.63</v>
      </c>
      <c r="V342" s="9">
        <f>MIN($I342,$H342)*INDEX('Key Metrics'!$E$16:$N$19,MATCH($E342,'Key Metrics'!$E$16:$E$19,0),MATCH(V$1,'Key Metrics'!$E$16:$M$16,0))</f>
        <v>90000</v>
      </c>
      <c r="W342" s="9">
        <f>IF($H342&gt;I342, MIN($H342-I342, J342-I342)*INDEX('Key Metrics'!$E$16:$N$19,MATCH($E342,'Key Metrics'!$E$16:$E$19,0),MATCH(W$1,'Key Metrics'!$E$16:$M$16,0)),0)</f>
        <v>1951.02</v>
      </c>
      <c r="X342" s="9">
        <f>IF($H342&gt;J342, MIN($H342-J342, K342-J342)*INDEX('Key Metrics'!$E$16:$N$19,MATCH($E342,'Key Metrics'!$E$16:$E$19,0),MATCH(X$1,'Key Metrics'!$E$16:$M$16,0)),0)</f>
        <v>0</v>
      </c>
      <c r="Y342" s="9">
        <f>IF($H342&gt;K342, MIN($H342-K342, L342-K342)*INDEX('Key Metrics'!$E$16:$N$19,MATCH($E342,'Key Metrics'!$E$16:$E$19,0),MATCH(Y$1,'Key Metrics'!$E$16:$M$16,0)),0)</f>
        <v>0</v>
      </c>
      <c r="Z342" s="9">
        <f>IF($H342&gt;L342,($H342-L342)*INDEX('Key Metrics'!$E$16:$N$19,MATCH($E342,'Key Metrics'!$E$16:$E$19,0),MATCH(Z$1,'Key Metrics'!$E$16:$M$16,0)),0)</f>
        <v>0</v>
      </c>
      <c r="AA342" s="9">
        <f t="shared" si="58"/>
        <v>91951.02</v>
      </c>
      <c r="AB342" s="9">
        <f t="shared" si="59"/>
        <v>91952.038065000001</v>
      </c>
    </row>
    <row r="343" spans="1:28" x14ac:dyDescent="0.55000000000000004">
      <c r="A343" t="str">
        <f t="shared" si="5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COUNTIF(deals_closed!$D$2:$D$20001,Calculations!B168)</f>
        <v>20</v>
      </c>
      <c r="H343" s="7">
        <f>SUMIF(deals_closed!$D:$D,Calculations!B168,deals_closed!$C:$C)</f>
        <v>724529</v>
      </c>
      <c r="I343" s="5">
        <f>VLOOKUP(E343,'2018_commission_structure'!$A$1:$I$4,9,FALSE)</f>
        <v>500000</v>
      </c>
      <c r="J343" s="9">
        <f t="shared" si="51"/>
        <v>625000</v>
      </c>
      <c r="K343" s="10">
        <f t="shared" si="52"/>
        <v>750000</v>
      </c>
      <c r="L343" s="9">
        <f t="shared" si="53"/>
        <v>1000000</v>
      </c>
      <c r="M343" s="8">
        <f t="shared" si="54"/>
        <v>1.449058</v>
      </c>
      <c r="N343" t="str">
        <f t="shared" si="55"/>
        <v>125-150%</v>
      </c>
      <c r="O343" s="9">
        <f>MIN($H343,$I343)*INDEX('2018_commission_structure'!$A$1:$I$4,MATCH($E343,'2018_commission_structure'!$A$1:$A$4,0),MATCH(O$1,'2018_commission_structure'!$A$1:$I$1,0))</f>
        <v>50000</v>
      </c>
      <c r="P343" s="9">
        <f>IF(H343&gt;I343, MIN(H343-I343, J343-I343)*INDEX('2018_commission_structure'!$A$1:$I$4,MATCH($E343,'2018_commission_structure'!$A$1:$A$4,0),MATCH(P$1,'2018_commission_structure'!$A$1:$I$1,0)),0)</f>
        <v>18750</v>
      </c>
      <c r="Q343" s="9">
        <f>IF($H343&gt;J343, MIN($H343-J343, K343-J343)*INDEX('2018_commission_structure'!$A$1:$I$4,MATCH($E343,'2018_commission_structure'!$A$1:$A$4,0),MATCH(Q$1,'2018_commission_structure'!$A$1:$I$1,0)),0)</f>
        <v>17915.219999999998</v>
      </c>
      <c r="R343" s="9">
        <f>IF($H343&gt;K343, MIN($H343-K343, L343-K343)*INDEX('2018_commission_structure'!$A$1:$I$4,MATCH($E343,'2018_commission_structure'!$A$1:$A$4,0),MATCH(R$1,'2018_commission_structure'!$A$1:$I$1,0)),0)</f>
        <v>0</v>
      </c>
      <c r="S343" s="9">
        <f>IF(H343&gt;L343,(H343-L343)*INDEX('2018_commission_structure'!$A$1:$I$4,MATCH($E343,'2018_commission_structure'!$A$1:$A$4,0),MATCH(S$1,'2018_commission_structure'!$A$1:$I$1,0)),0)</f>
        <v>0</v>
      </c>
      <c r="T343" s="9">
        <f t="shared" si="56"/>
        <v>86665.22</v>
      </c>
      <c r="U343" s="9">
        <f t="shared" si="57"/>
        <v>136624.22</v>
      </c>
      <c r="V343" s="9">
        <f>MIN($I343,$H343)*INDEX('Key Metrics'!$E$16:$N$19,MATCH($E343,'Key Metrics'!$E$16:$E$19,0),MATCH(V$1,'Key Metrics'!$E$16:$M$16,0))</f>
        <v>60000</v>
      </c>
      <c r="W343" s="9">
        <f>IF($H343&gt;I343, MIN($H343-I343, J343-I343)*INDEX('Key Metrics'!$E$16:$N$19,MATCH($E343,'Key Metrics'!$E$16:$E$19,0),MATCH(W$1,'Key Metrics'!$E$16:$M$16,0)),0)</f>
        <v>21250</v>
      </c>
      <c r="X343" s="9">
        <f>IF($H343&gt;J343, MIN($H343-J343, K343-J343)*INDEX('Key Metrics'!$E$16:$N$19,MATCH($E343,'Key Metrics'!$E$16:$E$19,0),MATCH(X$1,'Key Metrics'!$E$16:$M$16,0)),0)</f>
        <v>19905.800000000003</v>
      </c>
      <c r="Y343" s="9">
        <f>IF($H343&gt;K343, MIN($H343-K343, L343-K343)*INDEX('Key Metrics'!$E$16:$N$19,MATCH($E343,'Key Metrics'!$E$16:$E$19,0),MATCH(Y$1,'Key Metrics'!$E$16:$M$16,0)),0)</f>
        <v>0</v>
      </c>
      <c r="Z343" s="9">
        <f>IF($H343&gt;L343,($H343-L343)*INDEX('Key Metrics'!$E$16:$N$19,MATCH($E343,'Key Metrics'!$E$16:$E$19,0),MATCH(Z$1,'Key Metrics'!$E$16:$M$16,0)),0)</f>
        <v>0</v>
      </c>
      <c r="AA343" s="9">
        <f t="shared" si="58"/>
        <v>101155.8</v>
      </c>
      <c r="AB343" s="9">
        <f t="shared" si="59"/>
        <v>101157.249058</v>
      </c>
    </row>
    <row r="344" spans="1:28" x14ac:dyDescent="0.55000000000000004">
      <c r="A344" t="str">
        <f t="shared" si="5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COUNTIF(deals_closed!$D$2:$D$20001,Calculations!B693)</f>
        <v>24</v>
      </c>
      <c r="H344" s="7">
        <f>SUMIF(deals_closed!$D:$D,Calculations!B693,deals_closed!$C:$C)</f>
        <v>805015</v>
      </c>
      <c r="I344" s="5">
        <f>VLOOKUP(E344,'2018_commission_structure'!$A$1:$I$4,9,FALSE)</f>
        <v>600000</v>
      </c>
      <c r="J344" s="9">
        <f t="shared" si="51"/>
        <v>750000</v>
      </c>
      <c r="K344" s="10">
        <f t="shared" si="52"/>
        <v>900000</v>
      </c>
      <c r="L344" s="9">
        <f t="shared" si="53"/>
        <v>1200000</v>
      </c>
      <c r="M344" s="8">
        <f t="shared" si="54"/>
        <v>1.3416916666666667</v>
      </c>
      <c r="N344" t="str">
        <f t="shared" si="55"/>
        <v>125-150%</v>
      </c>
      <c r="O344" s="9">
        <f>MIN($H344,$I344)*INDEX('2018_commission_structure'!$A$1:$I$4,MATCH($E344,'2018_commission_structure'!$A$1:$A$4,0),MATCH(O$1,'2018_commission_structure'!$A$1:$I$1,0))</f>
        <v>78000</v>
      </c>
      <c r="P344" s="9">
        <f>IF(H344&gt;I344, MIN(H344-I344, J344-I344)*INDEX('2018_commission_structure'!$A$1:$I$4,MATCH($E344,'2018_commission_structure'!$A$1:$A$4,0),MATCH(P$1,'2018_commission_structure'!$A$1:$I$1,0)),0)</f>
        <v>25500.000000000004</v>
      </c>
      <c r="Q344" s="9">
        <f>IF($H344&gt;J344, MIN($H344-J344, K344-J344)*INDEX('2018_commission_structure'!$A$1:$I$4,MATCH($E344,'2018_commission_structure'!$A$1:$A$4,0),MATCH(Q$1,'2018_commission_structure'!$A$1:$I$1,0)),0)</f>
        <v>11553.15</v>
      </c>
      <c r="R344" s="9">
        <f>IF($H344&gt;K344, MIN($H344-K344, L344-K344)*INDEX('2018_commission_structure'!$A$1:$I$4,MATCH($E344,'2018_commission_structure'!$A$1:$A$4,0),MATCH(R$1,'2018_commission_structure'!$A$1:$I$1,0)),0)</f>
        <v>0</v>
      </c>
      <c r="S344" s="9">
        <f>IF(H344&gt;L344,(H344-L344)*INDEX('2018_commission_structure'!$A$1:$I$4,MATCH($E344,'2018_commission_structure'!$A$1:$A$4,0),MATCH(S$1,'2018_commission_structure'!$A$1:$I$1,0)),0)</f>
        <v>0</v>
      </c>
      <c r="T344" s="9">
        <f t="shared" si="56"/>
        <v>115053.15</v>
      </c>
      <c r="U344" s="9">
        <f t="shared" si="57"/>
        <v>193159.15</v>
      </c>
      <c r="V344" s="9">
        <f>MIN($I344,$H344)*INDEX('Key Metrics'!$E$16:$N$19,MATCH($E344,'Key Metrics'!$E$16:$E$19,0),MATCH(V$1,'Key Metrics'!$E$16:$M$16,0))</f>
        <v>90000</v>
      </c>
      <c r="W344" s="9">
        <f>IF($H344&gt;I344, MIN($H344-I344, J344-I344)*INDEX('Key Metrics'!$E$16:$N$19,MATCH($E344,'Key Metrics'!$E$16:$E$19,0),MATCH(W$1,'Key Metrics'!$E$16:$M$16,0)),0)</f>
        <v>27000</v>
      </c>
      <c r="X344" s="9">
        <f>IF($H344&gt;J344, MIN($H344-J344, K344-J344)*INDEX('Key Metrics'!$E$16:$N$19,MATCH($E344,'Key Metrics'!$E$16:$E$19,0),MATCH(X$1,'Key Metrics'!$E$16:$M$16,0)),0)</f>
        <v>13753.75</v>
      </c>
      <c r="Y344" s="9">
        <f>IF($H344&gt;K344, MIN($H344-K344, L344-K344)*INDEX('Key Metrics'!$E$16:$N$19,MATCH($E344,'Key Metrics'!$E$16:$E$19,0),MATCH(Y$1,'Key Metrics'!$E$16:$M$16,0)),0)</f>
        <v>0</v>
      </c>
      <c r="Z344" s="9">
        <f>IF($H344&gt;L344,($H344-L344)*INDEX('Key Metrics'!$E$16:$N$19,MATCH($E344,'Key Metrics'!$E$16:$E$19,0),MATCH(Z$1,'Key Metrics'!$E$16:$M$16,0)),0)</f>
        <v>0</v>
      </c>
      <c r="AA344" s="9">
        <f t="shared" si="58"/>
        <v>130753.75</v>
      </c>
      <c r="AB344" s="9">
        <f t="shared" si="59"/>
        <v>130755.09169166666</v>
      </c>
    </row>
    <row r="345" spans="1:28" x14ac:dyDescent="0.55000000000000004">
      <c r="A345" t="str">
        <f t="shared" si="5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COUNTIF(deals_closed!$D$2:$D$20001,Calculations!B162)</f>
        <v>18</v>
      </c>
      <c r="H345" s="7">
        <f>SUMIF(deals_closed!$D:$D,Calculations!B162,deals_closed!$C:$C)</f>
        <v>685881</v>
      </c>
      <c r="I345" s="5">
        <f>VLOOKUP(E345,'2018_commission_structure'!$A$1:$I$4,9,FALSE)</f>
        <v>500000</v>
      </c>
      <c r="J345" s="9">
        <f t="shared" si="51"/>
        <v>625000</v>
      </c>
      <c r="K345" s="10">
        <f t="shared" si="52"/>
        <v>750000</v>
      </c>
      <c r="L345" s="9">
        <f t="shared" si="53"/>
        <v>1000000</v>
      </c>
      <c r="M345" s="8">
        <f t="shared" si="54"/>
        <v>1.3717619999999999</v>
      </c>
      <c r="N345" t="str">
        <f t="shared" si="55"/>
        <v>125-150%</v>
      </c>
      <c r="O345" s="9">
        <f>MIN($H345,$I345)*INDEX('2018_commission_structure'!$A$1:$I$4,MATCH($E345,'2018_commission_structure'!$A$1:$A$4,0),MATCH(O$1,'2018_commission_structure'!$A$1:$I$1,0))</f>
        <v>50000</v>
      </c>
      <c r="P345" s="9">
        <f>IF(H345&gt;I345, MIN(H345-I345, J345-I345)*INDEX('2018_commission_structure'!$A$1:$I$4,MATCH($E345,'2018_commission_structure'!$A$1:$A$4,0),MATCH(P$1,'2018_commission_structure'!$A$1:$I$1,0)),0)</f>
        <v>18750</v>
      </c>
      <c r="Q345" s="9">
        <f>IF($H345&gt;J345, MIN($H345-J345, K345-J345)*INDEX('2018_commission_structure'!$A$1:$I$4,MATCH($E345,'2018_commission_structure'!$A$1:$A$4,0),MATCH(Q$1,'2018_commission_structure'!$A$1:$I$1,0)),0)</f>
        <v>10958.58</v>
      </c>
      <c r="R345" s="9">
        <f>IF($H345&gt;K345, MIN($H345-K345, L345-K345)*INDEX('2018_commission_structure'!$A$1:$I$4,MATCH($E345,'2018_commission_structure'!$A$1:$A$4,0),MATCH(R$1,'2018_commission_structure'!$A$1:$I$1,0)),0)</f>
        <v>0</v>
      </c>
      <c r="S345" s="9">
        <f>IF(H345&gt;L345,(H345-L345)*INDEX('2018_commission_structure'!$A$1:$I$4,MATCH($E345,'2018_commission_structure'!$A$1:$A$4,0),MATCH(S$1,'2018_commission_structure'!$A$1:$I$1,0)),0)</f>
        <v>0</v>
      </c>
      <c r="T345" s="9">
        <f t="shared" si="56"/>
        <v>79708.58</v>
      </c>
      <c r="U345" s="9">
        <f t="shared" si="57"/>
        <v>119208.58</v>
      </c>
      <c r="V345" s="9">
        <f>MIN($I345,$H345)*INDEX('Key Metrics'!$E$16:$N$19,MATCH($E345,'Key Metrics'!$E$16:$E$19,0),MATCH(V$1,'Key Metrics'!$E$16:$M$16,0))</f>
        <v>60000</v>
      </c>
      <c r="W345" s="9">
        <f>IF($H345&gt;I345, MIN($H345-I345, J345-I345)*INDEX('Key Metrics'!$E$16:$N$19,MATCH($E345,'Key Metrics'!$E$16:$E$19,0),MATCH(W$1,'Key Metrics'!$E$16:$M$16,0)),0)</f>
        <v>21250</v>
      </c>
      <c r="X345" s="9">
        <f>IF($H345&gt;J345, MIN($H345-J345, K345-J345)*INDEX('Key Metrics'!$E$16:$N$19,MATCH($E345,'Key Metrics'!$E$16:$E$19,0),MATCH(X$1,'Key Metrics'!$E$16:$M$16,0)),0)</f>
        <v>12176.2</v>
      </c>
      <c r="Y345" s="9">
        <f>IF($H345&gt;K345, MIN($H345-K345, L345-K345)*INDEX('Key Metrics'!$E$16:$N$19,MATCH($E345,'Key Metrics'!$E$16:$E$19,0),MATCH(Y$1,'Key Metrics'!$E$16:$M$16,0)),0)</f>
        <v>0</v>
      </c>
      <c r="Z345" s="9">
        <f>IF($H345&gt;L345,($H345-L345)*INDEX('Key Metrics'!$E$16:$N$19,MATCH($E345,'Key Metrics'!$E$16:$E$19,0),MATCH(Z$1,'Key Metrics'!$E$16:$M$16,0)),0)</f>
        <v>0</v>
      </c>
      <c r="AA345" s="9">
        <f t="shared" si="58"/>
        <v>93426.2</v>
      </c>
      <c r="AB345" s="9">
        <f t="shared" si="59"/>
        <v>93427.571761999992</v>
      </c>
    </row>
    <row r="346" spans="1:28" x14ac:dyDescent="0.55000000000000004">
      <c r="A346" t="str">
        <f t="shared" si="5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COUNTIF(deals_closed!$D$2:$D$20001,Calculations!B262)</f>
        <v>13</v>
      </c>
      <c r="H346" s="7">
        <f>SUMIF(deals_closed!$D:$D,Calculations!B262,deals_closed!$C:$C)</f>
        <v>417717</v>
      </c>
      <c r="I346" s="5">
        <f>VLOOKUP(E346,'2018_commission_structure'!$A$1:$I$4,9,FALSE)</f>
        <v>600000</v>
      </c>
      <c r="J346" s="9">
        <f t="shared" si="51"/>
        <v>750000</v>
      </c>
      <c r="K346" s="10">
        <f t="shared" si="52"/>
        <v>900000</v>
      </c>
      <c r="L346" s="9">
        <f t="shared" si="53"/>
        <v>1200000</v>
      </c>
      <c r="M346" s="8">
        <f t="shared" si="54"/>
        <v>0.69619500000000001</v>
      </c>
      <c r="N346" t="str">
        <f t="shared" si="55"/>
        <v>0-100%</v>
      </c>
      <c r="O346" s="9">
        <f>MIN($H346,$I346)*INDEX('2018_commission_structure'!$A$1:$I$4,MATCH($E346,'2018_commission_structure'!$A$1:$A$4,0),MATCH(O$1,'2018_commission_structure'!$A$1:$I$1,0))</f>
        <v>54303.21</v>
      </c>
      <c r="P346" s="9">
        <f>IF(H346&gt;I346, MIN(H346-I346, J346-I346)*INDEX('2018_commission_structure'!$A$1:$I$4,MATCH($E346,'2018_commission_structure'!$A$1:$A$4,0),MATCH(P$1,'2018_commission_structure'!$A$1:$I$1,0)),0)</f>
        <v>0</v>
      </c>
      <c r="Q346" s="9">
        <f>IF($H346&gt;J346, MIN($H346-J346, K346-J346)*INDEX('2018_commission_structure'!$A$1:$I$4,MATCH($E346,'2018_commission_structure'!$A$1:$A$4,0),MATCH(Q$1,'2018_commission_structure'!$A$1:$I$1,0)),0)</f>
        <v>0</v>
      </c>
      <c r="R346" s="9">
        <f>IF($H346&gt;K346, MIN($H346-K346, L346-K346)*INDEX('2018_commission_structure'!$A$1:$I$4,MATCH($E346,'2018_commission_structure'!$A$1:$A$4,0),MATCH(R$1,'2018_commission_structure'!$A$1:$I$1,0)),0)</f>
        <v>0</v>
      </c>
      <c r="S346" s="9">
        <f>IF(H346&gt;L346,(H346-L346)*INDEX('2018_commission_structure'!$A$1:$I$4,MATCH($E346,'2018_commission_structure'!$A$1:$A$4,0),MATCH(S$1,'2018_commission_structure'!$A$1:$I$1,0)),0)</f>
        <v>0</v>
      </c>
      <c r="T346" s="9">
        <f t="shared" si="56"/>
        <v>54303.21</v>
      </c>
      <c r="U346" s="9">
        <f t="shared" si="57"/>
        <v>105934.20999999999</v>
      </c>
      <c r="V346" s="9">
        <f>MIN($I346,$H346)*INDEX('Key Metrics'!$E$16:$N$19,MATCH($E346,'Key Metrics'!$E$16:$E$19,0),MATCH(V$1,'Key Metrics'!$E$16:$M$16,0))</f>
        <v>62657.549999999996</v>
      </c>
      <c r="W346" s="9">
        <f>IF($H346&gt;I346, MIN($H346-I346, J346-I346)*INDEX('Key Metrics'!$E$16:$N$19,MATCH($E346,'Key Metrics'!$E$16:$E$19,0),MATCH(W$1,'Key Metrics'!$E$16:$M$16,0)),0)</f>
        <v>0</v>
      </c>
      <c r="X346" s="9">
        <f>IF($H346&gt;J346, MIN($H346-J346, K346-J346)*INDEX('Key Metrics'!$E$16:$N$19,MATCH($E346,'Key Metrics'!$E$16:$E$19,0),MATCH(X$1,'Key Metrics'!$E$16:$M$16,0)),0)</f>
        <v>0</v>
      </c>
      <c r="Y346" s="9">
        <f>IF($H346&gt;K346, MIN($H346-K346, L346-K346)*INDEX('Key Metrics'!$E$16:$N$19,MATCH($E346,'Key Metrics'!$E$16:$E$19,0),MATCH(Y$1,'Key Metrics'!$E$16:$M$16,0)),0)</f>
        <v>0</v>
      </c>
      <c r="Z346" s="9">
        <f>IF($H346&gt;L346,($H346-L346)*INDEX('Key Metrics'!$E$16:$N$19,MATCH($E346,'Key Metrics'!$E$16:$E$19,0),MATCH(Z$1,'Key Metrics'!$E$16:$M$16,0)),0)</f>
        <v>0</v>
      </c>
      <c r="AA346" s="9">
        <f t="shared" si="58"/>
        <v>62657.549999999996</v>
      </c>
      <c r="AB346" s="9">
        <f t="shared" si="59"/>
        <v>62658.246194999992</v>
      </c>
    </row>
    <row r="347" spans="1:28" x14ac:dyDescent="0.55000000000000004">
      <c r="A347" t="str">
        <f t="shared" si="5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COUNTIF(deals_closed!$D$2:$D$20001,Calculations!B92)</f>
        <v>22</v>
      </c>
      <c r="H347" s="7">
        <f>SUMIF(deals_closed!$D:$D,Calculations!B92,deals_closed!$C:$C)</f>
        <v>747967</v>
      </c>
      <c r="I347" s="5">
        <f>VLOOKUP(E347,'2018_commission_structure'!$A$1:$I$4,9,FALSE)</f>
        <v>600000</v>
      </c>
      <c r="J347" s="9">
        <f t="shared" si="51"/>
        <v>750000</v>
      </c>
      <c r="K347" s="10">
        <f t="shared" si="52"/>
        <v>900000</v>
      </c>
      <c r="L347" s="9">
        <f t="shared" si="53"/>
        <v>1200000</v>
      </c>
      <c r="M347" s="8">
        <f t="shared" si="54"/>
        <v>1.2466116666666667</v>
      </c>
      <c r="N347" t="str">
        <f t="shared" si="55"/>
        <v>100-125%</v>
      </c>
      <c r="O347" s="9">
        <f>MIN($H347,$I347)*INDEX('2018_commission_structure'!$A$1:$I$4,MATCH($E347,'2018_commission_structure'!$A$1:$A$4,0),MATCH(O$1,'2018_commission_structure'!$A$1:$I$1,0))</f>
        <v>78000</v>
      </c>
      <c r="P347" s="9">
        <f>IF(H347&gt;I347, MIN(H347-I347, J347-I347)*INDEX('2018_commission_structure'!$A$1:$I$4,MATCH($E347,'2018_commission_structure'!$A$1:$A$4,0),MATCH(P$1,'2018_commission_structure'!$A$1:$I$1,0)),0)</f>
        <v>25154.390000000003</v>
      </c>
      <c r="Q347" s="9">
        <f>IF($H347&gt;J347, MIN($H347-J347, K347-J347)*INDEX('2018_commission_structure'!$A$1:$I$4,MATCH($E347,'2018_commission_structure'!$A$1:$A$4,0),MATCH(Q$1,'2018_commission_structure'!$A$1:$I$1,0)),0)</f>
        <v>0</v>
      </c>
      <c r="R347" s="9">
        <f>IF($H347&gt;K347, MIN($H347-K347, L347-K347)*INDEX('2018_commission_structure'!$A$1:$I$4,MATCH($E347,'2018_commission_structure'!$A$1:$A$4,0),MATCH(R$1,'2018_commission_structure'!$A$1:$I$1,0)),0)</f>
        <v>0</v>
      </c>
      <c r="S347" s="9">
        <f>IF(H347&gt;L347,(H347-L347)*INDEX('2018_commission_structure'!$A$1:$I$4,MATCH($E347,'2018_commission_structure'!$A$1:$A$4,0),MATCH(S$1,'2018_commission_structure'!$A$1:$I$1,0)),0)</f>
        <v>0</v>
      </c>
      <c r="T347" s="9">
        <f t="shared" si="56"/>
        <v>103154.39</v>
      </c>
      <c r="U347" s="9">
        <f t="shared" si="57"/>
        <v>158696.39000000001</v>
      </c>
      <c r="V347" s="9">
        <f>MIN($I347,$H347)*INDEX('Key Metrics'!$E$16:$N$19,MATCH($E347,'Key Metrics'!$E$16:$E$19,0),MATCH(V$1,'Key Metrics'!$E$16:$M$16,0))</f>
        <v>90000</v>
      </c>
      <c r="W347" s="9">
        <f>IF($H347&gt;I347, MIN($H347-I347, J347-I347)*INDEX('Key Metrics'!$E$16:$N$19,MATCH($E347,'Key Metrics'!$E$16:$E$19,0),MATCH(W$1,'Key Metrics'!$E$16:$M$16,0)),0)</f>
        <v>26634.059999999998</v>
      </c>
      <c r="X347" s="9">
        <f>IF($H347&gt;J347, MIN($H347-J347, K347-J347)*INDEX('Key Metrics'!$E$16:$N$19,MATCH($E347,'Key Metrics'!$E$16:$E$19,0),MATCH(X$1,'Key Metrics'!$E$16:$M$16,0)),0)</f>
        <v>0</v>
      </c>
      <c r="Y347" s="9">
        <f>IF($H347&gt;K347, MIN($H347-K347, L347-K347)*INDEX('Key Metrics'!$E$16:$N$19,MATCH($E347,'Key Metrics'!$E$16:$E$19,0),MATCH(Y$1,'Key Metrics'!$E$16:$M$16,0)),0)</f>
        <v>0</v>
      </c>
      <c r="Z347" s="9">
        <f>IF($H347&gt;L347,($H347-L347)*INDEX('Key Metrics'!$E$16:$N$19,MATCH($E347,'Key Metrics'!$E$16:$E$19,0),MATCH(Z$1,'Key Metrics'!$E$16:$M$16,0)),0)</f>
        <v>0</v>
      </c>
      <c r="AA347" s="9">
        <f t="shared" si="58"/>
        <v>116634.06</v>
      </c>
      <c r="AB347" s="9">
        <f t="shared" si="59"/>
        <v>116635.30661166666</v>
      </c>
    </row>
    <row r="348" spans="1:28" x14ac:dyDescent="0.55000000000000004">
      <c r="A348" t="str">
        <f t="shared" si="5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COUNTIF(deals_closed!$D$2:$D$20001,Calculations!B327)</f>
        <v>17</v>
      </c>
      <c r="H348" s="7">
        <f>SUMIF(deals_closed!$D:$D,Calculations!B327,deals_closed!$C:$C)</f>
        <v>609192</v>
      </c>
      <c r="I348" s="5">
        <f>VLOOKUP(E348,'2018_commission_structure'!$A$1:$I$4,9,FALSE)</f>
        <v>600000</v>
      </c>
      <c r="J348" s="9">
        <f t="shared" si="51"/>
        <v>750000</v>
      </c>
      <c r="K348" s="10">
        <f t="shared" si="52"/>
        <v>900000</v>
      </c>
      <c r="L348" s="9">
        <f t="shared" si="53"/>
        <v>1200000</v>
      </c>
      <c r="M348" s="8">
        <f t="shared" si="54"/>
        <v>1.01532</v>
      </c>
      <c r="N348" t="str">
        <f t="shared" si="55"/>
        <v>100-125%</v>
      </c>
      <c r="O348" s="9">
        <f>MIN($H348,$I348)*INDEX('2018_commission_structure'!$A$1:$I$4,MATCH($E348,'2018_commission_structure'!$A$1:$A$4,0),MATCH(O$1,'2018_commission_structure'!$A$1:$I$1,0))</f>
        <v>78000</v>
      </c>
      <c r="P348" s="9">
        <f>IF(H348&gt;I348, MIN(H348-I348, J348-I348)*INDEX('2018_commission_structure'!$A$1:$I$4,MATCH($E348,'2018_commission_structure'!$A$1:$A$4,0),MATCH(P$1,'2018_commission_structure'!$A$1:$I$1,0)),0)</f>
        <v>1562.64</v>
      </c>
      <c r="Q348" s="9">
        <f>IF($H348&gt;J348, MIN($H348-J348, K348-J348)*INDEX('2018_commission_structure'!$A$1:$I$4,MATCH($E348,'2018_commission_structure'!$A$1:$A$4,0),MATCH(Q$1,'2018_commission_structure'!$A$1:$I$1,0)),0)</f>
        <v>0</v>
      </c>
      <c r="R348" s="9">
        <f>IF($H348&gt;K348, MIN($H348-K348, L348-K348)*INDEX('2018_commission_structure'!$A$1:$I$4,MATCH($E348,'2018_commission_structure'!$A$1:$A$4,0),MATCH(R$1,'2018_commission_structure'!$A$1:$I$1,0)),0)</f>
        <v>0</v>
      </c>
      <c r="S348" s="9">
        <f>IF(H348&gt;L348,(H348-L348)*INDEX('2018_commission_structure'!$A$1:$I$4,MATCH($E348,'2018_commission_structure'!$A$1:$A$4,0),MATCH(S$1,'2018_commission_structure'!$A$1:$I$1,0)),0)</f>
        <v>0</v>
      </c>
      <c r="T348" s="9">
        <f t="shared" si="56"/>
        <v>79562.64</v>
      </c>
      <c r="U348" s="9">
        <f t="shared" si="57"/>
        <v>139229.64000000001</v>
      </c>
      <c r="V348" s="9">
        <f>MIN($I348,$H348)*INDEX('Key Metrics'!$E$16:$N$19,MATCH($E348,'Key Metrics'!$E$16:$E$19,0),MATCH(V$1,'Key Metrics'!$E$16:$M$16,0))</f>
        <v>90000</v>
      </c>
      <c r="W348" s="9">
        <f>IF($H348&gt;I348, MIN($H348-I348, J348-I348)*INDEX('Key Metrics'!$E$16:$N$19,MATCH($E348,'Key Metrics'!$E$16:$E$19,0),MATCH(W$1,'Key Metrics'!$E$16:$M$16,0)),0)</f>
        <v>1654.56</v>
      </c>
      <c r="X348" s="9">
        <f>IF($H348&gt;J348, MIN($H348-J348, K348-J348)*INDEX('Key Metrics'!$E$16:$N$19,MATCH($E348,'Key Metrics'!$E$16:$E$19,0),MATCH(X$1,'Key Metrics'!$E$16:$M$16,0)),0)</f>
        <v>0</v>
      </c>
      <c r="Y348" s="9">
        <f>IF($H348&gt;K348, MIN($H348-K348, L348-K348)*INDEX('Key Metrics'!$E$16:$N$19,MATCH($E348,'Key Metrics'!$E$16:$E$19,0),MATCH(Y$1,'Key Metrics'!$E$16:$M$16,0)),0)</f>
        <v>0</v>
      </c>
      <c r="Z348" s="9">
        <f>IF($H348&gt;L348,($H348-L348)*INDEX('Key Metrics'!$E$16:$N$19,MATCH($E348,'Key Metrics'!$E$16:$E$19,0),MATCH(Z$1,'Key Metrics'!$E$16:$M$16,0)),0)</f>
        <v>0</v>
      </c>
      <c r="AA348" s="9">
        <f t="shared" si="58"/>
        <v>91654.56</v>
      </c>
      <c r="AB348" s="9">
        <f t="shared" si="59"/>
        <v>91655.575320000004</v>
      </c>
    </row>
    <row r="349" spans="1:28" x14ac:dyDescent="0.55000000000000004">
      <c r="A349" t="str">
        <f t="shared" si="5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COUNTIF(deals_closed!$D$2:$D$20001,Calculations!B737)</f>
        <v>18</v>
      </c>
      <c r="H349" s="7">
        <f>SUMIF(deals_closed!$D:$D,Calculations!B737,deals_closed!$C:$C)</f>
        <v>585405</v>
      </c>
      <c r="I349" s="5">
        <f>VLOOKUP(E349,'2018_commission_structure'!$A$1:$I$4,9,FALSE)</f>
        <v>500000</v>
      </c>
      <c r="J349" s="9">
        <f t="shared" si="51"/>
        <v>625000</v>
      </c>
      <c r="K349" s="10">
        <f t="shared" si="52"/>
        <v>750000</v>
      </c>
      <c r="L349" s="9">
        <f t="shared" si="53"/>
        <v>1000000</v>
      </c>
      <c r="M349" s="8">
        <f t="shared" si="54"/>
        <v>1.1708099999999999</v>
      </c>
      <c r="N349" t="str">
        <f t="shared" si="55"/>
        <v>100-125%</v>
      </c>
      <c r="O349" s="9">
        <f>MIN($H349,$I349)*INDEX('2018_commission_structure'!$A$1:$I$4,MATCH($E349,'2018_commission_structure'!$A$1:$A$4,0),MATCH(O$1,'2018_commission_structure'!$A$1:$I$1,0))</f>
        <v>50000</v>
      </c>
      <c r="P349" s="9">
        <f>IF(H349&gt;I349, MIN(H349-I349, J349-I349)*INDEX('2018_commission_structure'!$A$1:$I$4,MATCH($E349,'2018_commission_structure'!$A$1:$A$4,0),MATCH(P$1,'2018_commission_structure'!$A$1:$I$1,0)),0)</f>
        <v>12810.75</v>
      </c>
      <c r="Q349" s="9">
        <f>IF($H349&gt;J349, MIN($H349-J349, K349-J349)*INDEX('2018_commission_structure'!$A$1:$I$4,MATCH($E349,'2018_commission_structure'!$A$1:$A$4,0),MATCH(Q$1,'2018_commission_structure'!$A$1:$I$1,0)),0)</f>
        <v>0</v>
      </c>
      <c r="R349" s="9">
        <f>IF($H349&gt;K349, MIN($H349-K349, L349-K349)*INDEX('2018_commission_structure'!$A$1:$I$4,MATCH($E349,'2018_commission_structure'!$A$1:$A$4,0),MATCH(R$1,'2018_commission_structure'!$A$1:$I$1,0)),0)</f>
        <v>0</v>
      </c>
      <c r="S349" s="9">
        <f>IF(H349&gt;L349,(H349-L349)*INDEX('2018_commission_structure'!$A$1:$I$4,MATCH($E349,'2018_commission_structure'!$A$1:$A$4,0),MATCH(S$1,'2018_commission_structure'!$A$1:$I$1,0)),0)</f>
        <v>0</v>
      </c>
      <c r="T349" s="9">
        <f t="shared" si="56"/>
        <v>62810.75</v>
      </c>
      <c r="U349" s="9">
        <f t="shared" si="57"/>
        <v>112314.75</v>
      </c>
      <c r="V349" s="9">
        <f>MIN($I349,$H349)*INDEX('Key Metrics'!$E$16:$N$19,MATCH($E349,'Key Metrics'!$E$16:$E$19,0),MATCH(V$1,'Key Metrics'!$E$16:$M$16,0))</f>
        <v>60000</v>
      </c>
      <c r="W349" s="9">
        <f>IF($H349&gt;I349, MIN($H349-I349, J349-I349)*INDEX('Key Metrics'!$E$16:$N$19,MATCH($E349,'Key Metrics'!$E$16:$E$19,0),MATCH(W$1,'Key Metrics'!$E$16:$M$16,0)),0)</f>
        <v>14518.85</v>
      </c>
      <c r="X349" s="9">
        <f>IF($H349&gt;J349, MIN($H349-J349, K349-J349)*INDEX('Key Metrics'!$E$16:$N$19,MATCH($E349,'Key Metrics'!$E$16:$E$19,0),MATCH(X$1,'Key Metrics'!$E$16:$M$16,0)),0)</f>
        <v>0</v>
      </c>
      <c r="Y349" s="9">
        <f>IF($H349&gt;K349, MIN($H349-K349, L349-K349)*INDEX('Key Metrics'!$E$16:$N$19,MATCH($E349,'Key Metrics'!$E$16:$E$19,0),MATCH(Y$1,'Key Metrics'!$E$16:$M$16,0)),0)</f>
        <v>0</v>
      </c>
      <c r="Z349" s="9">
        <f>IF($H349&gt;L349,($H349-L349)*INDEX('Key Metrics'!$E$16:$N$19,MATCH($E349,'Key Metrics'!$E$16:$E$19,0),MATCH(Z$1,'Key Metrics'!$E$16:$M$16,0)),0)</f>
        <v>0</v>
      </c>
      <c r="AA349" s="9">
        <f t="shared" si="58"/>
        <v>74518.850000000006</v>
      </c>
      <c r="AB349" s="9">
        <f t="shared" si="59"/>
        <v>74520.020810000002</v>
      </c>
    </row>
    <row r="350" spans="1:28" x14ac:dyDescent="0.55000000000000004">
      <c r="A350" t="str">
        <f t="shared" si="5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COUNTIF(deals_closed!$D$2:$D$20001,Calculations!B36)</f>
        <v>19</v>
      </c>
      <c r="H350" s="7">
        <f>SUMIF(deals_closed!$D:$D,Calculations!B36,deals_closed!$C:$C)</f>
        <v>656054</v>
      </c>
      <c r="I350" s="5">
        <f>VLOOKUP(E350,'2018_commission_structure'!$A$1:$I$4,9,FALSE)</f>
        <v>750000</v>
      </c>
      <c r="J350" s="9">
        <f t="shared" si="51"/>
        <v>937500</v>
      </c>
      <c r="K350" s="10">
        <f t="shared" si="52"/>
        <v>1125000</v>
      </c>
      <c r="L350" s="9">
        <f t="shared" si="53"/>
        <v>1500000</v>
      </c>
      <c r="M350" s="8">
        <f t="shared" si="54"/>
        <v>0.87473866666666666</v>
      </c>
      <c r="N350" t="str">
        <f t="shared" si="55"/>
        <v>0-100%</v>
      </c>
      <c r="O350" s="9">
        <f>MIN($H350,$I350)*INDEX('2018_commission_structure'!$A$1:$I$4,MATCH($E350,'2018_commission_structure'!$A$1:$A$4,0),MATCH(O$1,'2018_commission_structure'!$A$1:$I$1,0))</f>
        <v>98408.099999999991</v>
      </c>
      <c r="P350" s="9">
        <f>IF(H350&gt;I350, MIN(H350-I350, J350-I350)*INDEX('2018_commission_structure'!$A$1:$I$4,MATCH($E350,'2018_commission_structure'!$A$1:$A$4,0),MATCH(P$1,'2018_commission_structure'!$A$1:$I$1,0)),0)</f>
        <v>0</v>
      </c>
      <c r="Q350" s="9">
        <f>IF($H350&gt;J350, MIN($H350-J350, K350-J350)*INDEX('2018_commission_structure'!$A$1:$I$4,MATCH($E350,'2018_commission_structure'!$A$1:$A$4,0),MATCH(Q$1,'2018_commission_structure'!$A$1:$I$1,0)),0)</f>
        <v>0</v>
      </c>
      <c r="R350" s="9">
        <f>IF($H350&gt;K350, MIN($H350-K350, L350-K350)*INDEX('2018_commission_structure'!$A$1:$I$4,MATCH($E350,'2018_commission_structure'!$A$1:$A$4,0),MATCH(R$1,'2018_commission_structure'!$A$1:$I$1,0)),0)</f>
        <v>0</v>
      </c>
      <c r="S350" s="9">
        <f>IF(H350&gt;L350,(H350-L350)*INDEX('2018_commission_structure'!$A$1:$I$4,MATCH($E350,'2018_commission_structure'!$A$1:$A$4,0),MATCH(S$1,'2018_commission_structure'!$A$1:$I$1,0)),0)</f>
        <v>0</v>
      </c>
      <c r="T350" s="9">
        <f t="shared" si="56"/>
        <v>98408.099999999991</v>
      </c>
      <c r="U350" s="9">
        <f t="shared" si="57"/>
        <v>204421.09999999998</v>
      </c>
      <c r="V350" s="9">
        <f>MIN($I350,$H350)*INDEX('Key Metrics'!$E$16:$N$19,MATCH($E350,'Key Metrics'!$E$16:$E$19,0),MATCH(V$1,'Key Metrics'!$E$16:$M$16,0))</f>
        <v>98408.099999999991</v>
      </c>
      <c r="W350" s="9">
        <f>IF($H350&gt;I350, MIN($H350-I350, J350-I350)*INDEX('Key Metrics'!$E$16:$N$19,MATCH($E350,'Key Metrics'!$E$16:$E$19,0),MATCH(W$1,'Key Metrics'!$E$16:$M$16,0)),0)</f>
        <v>0</v>
      </c>
      <c r="X350" s="9">
        <f>IF($H350&gt;J350, MIN($H350-J350, K350-J350)*INDEX('Key Metrics'!$E$16:$N$19,MATCH($E350,'Key Metrics'!$E$16:$E$19,0),MATCH(X$1,'Key Metrics'!$E$16:$M$16,0)),0)</f>
        <v>0</v>
      </c>
      <c r="Y350" s="9">
        <f>IF($H350&gt;K350, MIN($H350-K350, L350-K350)*INDEX('Key Metrics'!$E$16:$N$19,MATCH($E350,'Key Metrics'!$E$16:$E$19,0),MATCH(Y$1,'Key Metrics'!$E$16:$M$16,0)),0)</f>
        <v>0</v>
      </c>
      <c r="Z350" s="9">
        <f>IF($H350&gt;L350,($H350-L350)*INDEX('Key Metrics'!$E$16:$N$19,MATCH($E350,'Key Metrics'!$E$16:$E$19,0),MATCH(Z$1,'Key Metrics'!$E$16:$M$16,0)),0)</f>
        <v>0</v>
      </c>
      <c r="AA350" s="9">
        <f t="shared" si="58"/>
        <v>98408.099999999991</v>
      </c>
      <c r="AB350" s="9">
        <f t="shared" si="59"/>
        <v>98408.974738666657</v>
      </c>
    </row>
    <row r="351" spans="1:28" x14ac:dyDescent="0.55000000000000004">
      <c r="A351" t="str">
        <f t="shared" si="5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COUNTIF(deals_closed!$D$2:$D$20001,Calculations!B104)</f>
        <v>21</v>
      </c>
      <c r="H351" s="7">
        <f>SUMIF(deals_closed!$D:$D,Calculations!B104,deals_closed!$C:$C)</f>
        <v>631287</v>
      </c>
      <c r="I351" s="5">
        <f>VLOOKUP(E351,'2018_commission_structure'!$A$1:$I$4,9,FALSE)</f>
        <v>500000</v>
      </c>
      <c r="J351" s="9">
        <f t="shared" si="51"/>
        <v>625000</v>
      </c>
      <c r="K351" s="10">
        <f t="shared" si="52"/>
        <v>750000</v>
      </c>
      <c r="L351" s="9">
        <f t="shared" si="53"/>
        <v>1000000</v>
      </c>
      <c r="M351" s="8">
        <f t="shared" si="54"/>
        <v>1.2625740000000001</v>
      </c>
      <c r="N351" t="str">
        <f t="shared" si="55"/>
        <v>125-150%</v>
      </c>
      <c r="O351" s="9">
        <f>MIN($H351,$I351)*INDEX('2018_commission_structure'!$A$1:$I$4,MATCH($E351,'2018_commission_structure'!$A$1:$A$4,0),MATCH(O$1,'2018_commission_structure'!$A$1:$I$1,0))</f>
        <v>50000</v>
      </c>
      <c r="P351" s="9">
        <f>IF(H351&gt;I351, MIN(H351-I351, J351-I351)*INDEX('2018_commission_structure'!$A$1:$I$4,MATCH($E351,'2018_commission_structure'!$A$1:$A$4,0),MATCH(P$1,'2018_commission_structure'!$A$1:$I$1,0)),0)</f>
        <v>18750</v>
      </c>
      <c r="Q351" s="9">
        <f>IF($H351&gt;J351, MIN($H351-J351, K351-J351)*INDEX('2018_commission_structure'!$A$1:$I$4,MATCH($E351,'2018_commission_structure'!$A$1:$A$4,0),MATCH(Q$1,'2018_commission_structure'!$A$1:$I$1,0)),0)</f>
        <v>1131.6599999999999</v>
      </c>
      <c r="R351" s="9">
        <f>IF($H351&gt;K351, MIN($H351-K351, L351-K351)*INDEX('2018_commission_structure'!$A$1:$I$4,MATCH($E351,'2018_commission_structure'!$A$1:$A$4,0),MATCH(R$1,'2018_commission_structure'!$A$1:$I$1,0)),0)</f>
        <v>0</v>
      </c>
      <c r="S351" s="9">
        <f>IF(H351&gt;L351,(H351-L351)*INDEX('2018_commission_structure'!$A$1:$I$4,MATCH($E351,'2018_commission_structure'!$A$1:$A$4,0),MATCH(S$1,'2018_commission_structure'!$A$1:$I$1,0)),0)</f>
        <v>0</v>
      </c>
      <c r="T351" s="9">
        <f t="shared" si="56"/>
        <v>69881.66</v>
      </c>
      <c r="U351" s="9">
        <f t="shared" si="57"/>
        <v>116219.66</v>
      </c>
      <c r="V351" s="9">
        <f>MIN($I351,$H351)*INDEX('Key Metrics'!$E$16:$N$19,MATCH($E351,'Key Metrics'!$E$16:$E$19,0),MATCH(V$1,'Key Metrics'!$E$16:$M$16,0))</f>
        <v>60000</v>
      </c>
      <c r="W351" s="9">
        <f>IF($H351&gt;I351, MIN($H351-I351, J351-I351)*INDEX('Key Metrics'!$E$16:$N$19,MATCH($E351,'Key Metrics'!$E$16:$E$19,0),MATCH(W$1,'Key Metrics'!$E$16:$M$16,0)),0)</f>
        <v>21250</v>
      </c>
      <c r="X351" s="9">
        <f>IF($H351&gt;J351, MIN($H351-J351, K351-J351)*INDEX('Key Metrics'!$E$16:$N$19,MATCH($E351,'Key Metrics'!$E$16:$E$19,0),MATCH(X$1,'Key Metrics'!$E$16:$M$16,0)),0)</f>
        <v>1257.4000000000001</v>
      </c>
      <c r="Y351" s="9">
        <f>IF($H351&gt;K351, MIN($H351-K351, L351-K351)*INDEX('Key Metrics'!$E$16:$N$19,MATCH($E351,'Key Metrics'!$E$16:$E$19,0),MATCH(Y$1,'Key Metrics'!$E$16:$M$16,0)),0)</f>
        <v>0</v>
      </c>
      <c r="Z351" s="9">
        <f>IF($H351&gt;L351,($H351-L351)*INDEX('Key Metrics'!$E$16:$N$19,MATCH($E351,'Key Metrics'!$E$16:$E$19,0),MATCH(Z$1,'Key Metrics'!$E$16:$M$16,0)),0)</f>
        <v>0</v>
      </c>
      <c r="AA351" s="9">
        <f t="shared" si="58"/>
        <v>82507.399999999994</v>
      </c>
      <c r="AB351" s="9">
        <f t="shared" si="59"/>
        <v>82508.662573999987</v>
      </c>
    </row>
    <row r="352" spans="1:28" x14ac:dyDescent="0.55000000000000004">
      <c r="A352" t="str">
        <f t="shared" si="5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COUNTIF(deals_closed!$D$2:$D$20001,Calculations!B419)</f>
        <v>23</v>
      </c>
      <c r="H352" s="7">
        <f>SUMIF(deals_closed!$D:$D,Calculations!B419,deals_closed!$C:$C)</f>
        <v>854317</v>
      </c>
      <c r="I352" s="5">
        <f>VLOOKUP(E352,'2018_commission_structure'!$A$1:$I$4,9,FALSE)</f>
        <v>600000</v>
      </c>
      <c r="J352" s="9">
        <f t="shared" si="51"/>
        <v>750000</v>
      </c>
      <c r="K352" s="10">
        <f t="shared" si="52"/>
        <v>900000</v>
      </c>
      <c r="L352" s="9">
        <f t="shared" si="53"/>
        <v>1200000</v>
      </c>
      <c r="M352" s="8">
        <f t="shared" si="54"/>
        <v>1.4238616666666666</v>
      </c>
      <c r="N352" t="str">
        <f t="shared" si="55"/>
        <v>125-150%</v>
      </c>
      <c r="O352" s="9">
        <f>MIN($H352,$I352)*INDEX('2018_commission_structure'!$A$1:$I$4,MATCH($E352,'2018_commission_structure'!$A$1:$A$4,0),MATCH(O$1,'2018_commission_structure'!$A$1:$I$1,0))</f>
        <v>78000</v>
      </c>
      <c r="P352" s="9">
        <f>IF(H352&gt;I352, MIN(H352-I352, J352-I352)*INDEX('2018_commission_structure'!$A$1:$I$4,MATCH($E352,'2018_commission_structure'!$A$1:$A$4,0),MATCH(P$1,'2018_commission_structure'!$A$1:$I$1,0)),0)</f>
        <v>25500.000000000004</v>
      </c>
      <c r="Q352" s="9">
        <f>IF($H352&gt;J352, MIN($H352-J352, K352-J352)*INDEX('2018_commission_structure'!$A$1:$I$4,MATCH($E352,'2018_commission_structure'!$A$1:$A$4,0),MATCH(Q$1,'2018_commission_structure'!$A$1:$I$1,0)),0)</f>
        <v>21906.57</v>
      </c>
      <c r="R352" s="9">
        <f>IF($H352&gt;K352, MIN($H352-K352, L352-K352)*INDEX('2018_commission_structure'!$A$1:$I$4,MATCH($E352,'2018_commission_structure'!$A$1:$A$4,0),MATCH(R$1,'2018_commission_structure'!$A$1:$I$1,0)),0)</f>
        <v>0</v>
      </c>
      <c r="S352" s="9">
        <f>IF(H352&gt;L352,(H352-L352)*INDEX('2018_commission_structure'!$A$1:$I$4,MATCH($E352,'2018_commission_structure'!$A$1:$A$4,0),MATCH(S$1,'2018_commission_structure'!$A$1:$I$1,0)),0)</f>
        <v>0</v>
      </c>
      <c r="T352" s="9">
        <f t="shared" si="56"/>
        <v>125406.57</v>
      </c>
      <c r="U352" s="9">
        <f t="shared" si="57"/>
        <v>195877.57</v>
      </c>
      <c r="V352" s="9">
        <f>MIN($I352,$H352)*INDEX('Key Metrics'!$E$16:$N$19,MATCH($E352,'Key Metrics'!$E$16:$E$19,0),MATCH(V$1,'Key Metrics'!$E$16:$M$16,0))</f>
        <v>90000</v>
      </c>
      <c r="W352" s="9">
        <f>IF($H352&gt;I352, MIN($H352-I352, J352-I352)*INDEX('Key Metrics'!$E$16:$N$19,MATCH($E352,'Key Metrics'!$E$16:$E$19,0),MATCH(W$1,'Key Metrics'!$E$16:$M$16,0)),0)</f>
        <v>27000</v>
      </c>
      <c r="X352" s="9">
        <f>IF($H352&gt;J352, MIN($H352-J352, K352-J352)*INDEX('Key Metrics'!$E$16:$N$19,MATCH($E352,'Key Metrics'!$E$16:$E$19,0),MATCH(X$1,'Key Metrics'!$E$16:$M$16,0)),0)</f>
        <v>26079.25</v>
      </c>
      <c r="Y352" s="9">
        <f>IF($H352&gt;K352, MIN($H352-K352, L352-K352)*INDEX('Key Metrics'!$E$16:$N$19,MATCH($E352,'Key Metrics'!$E$16:$E$19,0),MATCH(Y$1,'Key Metrics'!$E$16:$M$16,0)),0)</f>
        <v>0</v>
      </c>
      <c r="Z352" s="9">
        <f>IF($H352&gt;L352,($H352-L352)*INDEX('Key Metrics'!$E$16:$N$19,MATCH($E352,'Key Metrics'!$E$16:$E$19,0),MATCH(Z$1,'Key Metrics'!$E$16:$M$16,0)),0)</f>
        <v>0</v>
      </c>
      <c r="AA352" s="9">
        <f t="shared" si="58"/>
        <v>143079.25</v>
      </c>
      <c r="AB352" s="9">
        <f t="shared" si="59"/>
        <v>143080.67386166667</v>
      </c>
    </row>
    <row r="353" spans="1:28" x14ac:dyDescent="0.55000000000000004">
      <c r="A353" t="str">
        <f t="shared" si="5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COUNTIF(deals_closed!$D$2:$D$20001,Calculations!B748)</f>
        <v>21</v>
      </c>
      <c r="H353" s="7">
        <f>SUMIF(deals_closed!$D:$D,Calculations!B748,deals_closed!$C:$C)</f>
        <v>621231</v>
      </c>
      <c r="I353" s="5">
        <f>VLOOKUP(E353,'2018_commission_structure'!$A$1:$I$4,9,FALSE)</f>
        <v>600000</v>
      </c>
      <c r="J353" s="9">
        <f t="shared" si="51"/>
        <v>750000</v>
      </c>
      <c r="K353" s="10">
        <f t="shared" si="52"/>
        <v>900000</v>
      </c>
      <c r="L353" s="9">
        <f t="shared" si="53"/>
        <v>1200000</v>
      </c>
      <c r="M353" s="8">
        <f t="shared" si="54"/>
        <v>1.035385</v>
      </c>
      <c r="N353" t="str">
        <f t="shared" si="55"/>
        <v>100-125%</v>
      </c>
      <c r="O353" s="9">
        <f>MIN($H353,$I353)*INDEX('2018_commission_structure'!$A$1:$I$4,MATCH($E353,'2018_commission_structure'!$A$1:$A$4,0),MATCH(O$1,'2018_commission_structure'!$A$1:$I$1,0))</f>
        <v>78000</v>
      </c>
      <c r="P353" s="9">
        <f>IF(H353&gt;I353, MIN(H353-I353, J353-I353)*INDEX('2018_commission_structure'!$A$1:$I$4,MATCH($E353,'2018_commission_structure'!$A$1:$A$4,0),MATCH(P$1,'2018_commission_structure'!$A$1:$I$1,0)),0)</f>
        <v>3609.2700000000004</v>
      </c>
      <c r="Q353" s="9">
        <f>IF($H353&gt;J353, MIN($H353-J353, K353-J353)*INDEX('2018_commission_structure'!$A$1:$I$4,MATCH($E353,'2018_commission_structure'!$A$1:$A$4,0),MATCH(Q$1,'2018_commission_structure'!$A$1:$I$1,0)),0)</f>
        <v>0</v>
      </c>
      <c r="R353" s="9">
        <f>IF($H353&gt;K353, MIN($H353-K353, L353-K353)*INDEX('2018_commission_structure'!$A$1:$I$4,MATCH($E353,'2018_commission_structure'!$A$1:$A$4,0),MATCH(R$1,'2018_commission_structure'!$A$1:$I$1,0)),0)</f>
        <v>0</v>
      </c>
      <c r="S353" s="9">
        <f>IF(H353&gt;L353,(H353-L353)*INDEX('2018_commission_structure'!$A$1:$I$4,MATCH($E353,'2018_commission_structure'!$A$1:$A$4,0),MATCH(S$1,'2018_commission_structure'!$A$1:$I$1,0)),0)</f>
        <v>0</v>
      </c>
      <c r="T353" s="9">
        <f t="shared" si="56"/>
        <v>81609.27</v>
      </c>
      <c r="U353" s="9">
        <f t="shared" si="57"/>
        <v>155576.27000000002</v>
      </c>
      <c r="V353" s="9">
        <f>MIN($I353,$H353)*INDEX('Key Metrics'!$E$16:$N$19,MATCH($E353,'Key Metrics'!$E$16:$E$19,0),MATCH(V$1,'Key Metrics'!$E$16:$M$16,0))</f>
        <v>90000</v>
      </c>
      <c r="W353" s="9">
        <f>IF($H353&gt;I353, MIN($H353-I353, J353-I353)*INDEX('Key Metrics'!$E$16:$N$19,MATCH($E353,'Key Metrics'!$E$16:$E$19,0),MATCH(W$1,'Key Metrics'!$E$16:$M$16,0)),0)</f>
        <v>3821.58</v>
      </c>
      <c r="X353" s="9">
        <f>IF($H353&gt;J353, MIN($H353-J353, K353-J353)*INDEX('Key Metrics'!$E$16:$N$19,MATCH($E353,'Key Metrics'!$E$16:$E$19,0),MATCH(X$1,'Key Metrics'!$E$16:$M$16,0)),0)</f>
        <v>0</v>
      </c>
      <c r="Y353" s="9">
        <f>IF($H353&gt;K353, MIN($H353-K353, L353-K353)*INDEX('Key Metrics'!$E$16:$N$19,MATCH($E353,'Key Metrics'!$E$16:$E$19,0),MATCH(Y$1,'Key Metrics'!$E$16:$M$16,0)),0)</f>
        <v>0</v>
      </c>
      <c r="Z353" s="9">
        <f>IF($H353&gt;L353,($H353-L353)*INDEX('Key Metrics'!$E$16:$N$19,MATCH($E353,'Key Metrics'!$E$16:$E$19,0),MATCH(Z$1,'Key Metrics'!$E$16:$M$16,0)),0)</f>
        <v>0</v>
      </c>
      <c r="AA353" s="9">
        <f t="shared" si="58"/>
        <v>93821.58</v>
      </c>
      <c r="AB353" s="9">
        <f t="shared" si="59"/>
        <v>93822.615384999997</v>
      </c>
    </row>
    <row r="354" spans="1:28" x14ac:dyDescent="0.55000000000000004">
      <c r="A354" t="str">
        <f t="shared" si="5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COUNTIF(deals_closed!$D$2:$D$20001,Calculations!B776)</f>
        <v>27</v>
      </c>
      <c r="H354" s="7">
        <f>SUMIF(deals_closed!$D:$D,Calculations!B776,deals_closed!$C:$C)</f>
        <v>948935</v>
      </c>
      <c r="I354" s="5">
        <f>VLOOKUP(E354,'2018_commission_structure'!$A$1:$I$4,9,FALSE)</f>
        <v>600000</v>
      </c>
      <c r="J354" s="9">
        <f t="shared" si="51"/>
        <v>750000</v>
      </c>
      <c r="K354" s="10">
        <f t="shared" si="52"/>
        <v>900000</v>
      </c>
      <c r="L354" s="9">
        <f t="shared" si="53"/>
        <v>1200000</v>
      </c>
      <c r="M354" s="8">
        <f t="shared" si="54"/>
        <v>1.5815583333333334</v>
      </c>
      <c r="N354" t="str">
        <f t="shared" si="55"/>
        <v>150-200%</v>
      </c>
      <c r="O354" s="9">
        <f>MIN($H354,$I354)*INDEX('2018_commission_structure'!$A$1:$I$4,MATCH($E354,'2018_commission_structure'!$A$1:$A$4,0),MATCH(O$1,'2018_commission_structure'!$A$1:$I$1,0))</f>
        <v>78000</v>
      </c>
      <c r="P354" s="9">
        <f>IF(H354&gt;I354, MIN(H354-I354, J354-I354)*INDEX('2018_commission_structure'!$A$1:$I$4,MATCH($E354,'2018_commission_structure'!$A$1:$A$4,0),MATCH(P$1,'2018_commission_structure'!$A$1:$I$1,0)),0)</f>
        <v>25500.000000000004</v>
      </c>
      <c r="Q354" s="9">
        <f>IF($H354&gt;J354, MIN($H354-J354, K354-J354)*INDEX('2018_commission_structure'!$A$1:$I$4,MATCH($E354,'2018_commission_structure'!$A$1:$A$4,0),MATCH(Q$1,'2018_commission_structure'!$A$1:$I$1,0)),0)</f>
        <v>31500</v>
      </c>
      <c r="R354" s="9">
        <f>IF($H354&gt;K354, MIN($H354-K354, L354-K354)*INDEX('2018_commission_structure'!$A$1:$I$4,MATCH($E354,'2018_commission_structure'!$A$1:$A$4,0),MATCH(R$1,'2018_commission_structure'!$A$1:$I$1,0)),0)</f>
        <v>12723.1</v>
      </c>
      <c r="S354" s="9">
        <f>IF(H354&gt;L354,(H354-L354)*INDEX('2018_commission_structure'!$A$1:$I$4,MATCH($E354,'2018_commission_structure'!$A$1:$A$4,0),MATCH(S$1,'2018_commission_structure'!$A$1:$I$1,0)),0)</f>
        <v>0</v>
      </c>
      <c r="T354" s="9">
        <f t="shared" si="56"/>
        <v>147723.1</v>
      </c>
      <c r="U354" s="9">
        <f t="shared" si="57"/>
        <v>222690.1</v>
      </c>
      <c r="V354" s="9">
        <f>MIN($I354,$H354)*INDEX('Key Metrics'!$E$16:$N$19,MATCH($E354,'Key Metrics'!$E$16:$E$19,0),MATCH(V$1,'Key Metrics'!$E$16:$M$16,0))</f>
        <v>90000</v>
      </c>
      <c r="W354" s="9">
        <f>IF($H354&gt;I354, MIN($H354-I354, J354-I354)*INDEX('Key Metrics'!$E$16:$N$19,MATCH($E354,'Key Metrics'!$E$16:$E$19,0),MATCH(W$1,'Key Metrics'!$E$16:$M$16,0)),0)</f>
        <v>27000</v>
      </c>
      <c r="X354" s="9">
        <f>IF($H354&gt;J354, MIN($H354-J354, K354-J354)*INDEX('Key Metrics'!$E$16:$N$19,MATCH($E354,'Key Metrics'!$E$16:$E$19,0),MATCH(X$1,'Key Metrics'!$E$16:$M$16,0)),0)</f>
        <v>37500</v>
      </c>
      <c r="Y354" s="9">
        <f>IF($H354&gt;K354, MIN($H354-K354, L354-K354)*INDEX('Key Metrics'!$E$16:$N$19,MATCH($E354,'Key Metrics'!$E$16:$E$19,0),MATCH(Y$1,'Key Metrics'!$E$16:$M$16,0)),0)</f>
        <v>14680.5</v>
      </c>
      <c r="Z354" s="9">
        <f>IF($H354&gt;L354,($H354-L354)*INDEX('Key Metrics'!$E$16:$N$19,MATCH($E354,'Key Metrics'!$E$16:$E$19,0),MATCH(Z$1,'Key Metrics'!$E$16:$M$16,0)),0)</f>
        <v>0</v>
      </c>
      <c r="AA354" s="9">
        <f t="shared" si="58"/>
        <v>169180.5</v>
      </c>
      <c r="AB354" s="9">
        <f t="shared" si="59"/>
        <v>169182.08155833333</v>
      </c>
    </row>
    <row r="355" spans="1:28" x14ac:dyDescent="0.55000000000000004">
      <c r="A355" t="str">
        <f t="shared" si="5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COUNTIF(deals_closed!$D$2:$D$20001,Calculations!B198)</f>
        <v>20</v>
      </c>
      <c r="H355" s="7">
        <f>SUMIF(deals_closed!$D:$D,Calculations!B198,deals_closed!$C:$C)</f>
        <v>711786</v>
      </c>
      <c r="I355" s="5">
        <f>VLOOKUP(E355,'2018_commission_structure'!$A$1:$I$4,9,FALSE)</f>
        <v>500000</v>
      </c>
      <c r="J355" s="9">
        <f t="shared" si="51"/>
        <v>625000</v>
      </c>
      <c r="K355" s="10">
        <f t="shared" si="52"/>
        <v>750000</v>
      </c>
      <c r="L355" s="9">
        <f t="shared" si="53"/>
        <v>1000000</v>
      </c>
      <c r="M355" s="8">
        <f t="shared" si="54"/>
        <v>1.4235720000000001</v>
      </c>
      <c r="N355" t="str">
        <f t="shared" si="55"/>
        <v>125-150%</v>
      </c>
      <c r="O355" s="9">
        <f>MIN($H355,$I355)*INDEX('2018_commission_structure'!$A$1:$I$4,MATCH($E355,'2018_commission_structure'!$A$1:$A$4,0),MATCH(O$1,'2018_commission_structure'!$A$1:$I$1,0))</f>
        <v>50000</v>
      </c>
      <c r="P355" s="9">
        <f>IF(H355&gt;I355, MIN(H355-I355, J355-I355)*INDEX('2018_commission_structure'!$A$1:$I$4,MATCH($E355,'2018_commission_structure'!$A$1:$A$4,0),MATCH(P$1,'2018_commission_structure'!$A$1:$I$1,0)),0)</f>
        <v>18750</v>
      </c>
      <c r="Q355" s="9">
        <f>IF($H355&gt;J355, MIN($H355-J355, K355-J355)*INDEX('2018_commission_structure'!$A$1:$I$4,MATCH($E355,'2018_commission_structure'!$A$1:$A$4,0),MATCH(Q$1,'2018_commission_structure'!$A$1:$I$1,0)),0)</f>
        <v>15621.48</v>
      </c>
      <c r="R355" s="9">
        <f>IF($H355&gt;K355, MIN($H355-K355, L355-K355)*INDEX('2018_commission_structure'!$A$1:$I$4,MATCH($E355,'2018_commission_structure'!$A$1:$A$4,0),MATCH(R$1,'2018_commission_structure'!$A$1:$I$1,0)),0)</f>
        <v>0</v>
      </c>
      <c r="S355" s="9">
        <f>IF(H355&gt;L355,(H355-L355)*INDEX('2018_commission_structure'!$A$1:$I$4,MATCH($E355,'2018_commission_structure'!$A$1:$A$4,0),MATCH(S$1,'2018_commission_structure'!$A$1:$I$1,0)),0)</f>
        <v>0</v>
      </c>
      <c r="T355" s="9">
        <f t="shared" si="56"/>
        <v>84371.48</v>
      </c>
      <c r="U355" s="9">
        <f t="shared" si="57"/>
        <v>135211.47999999998</v>
      </c>
      <c r="V355" s="9">
        <f>MIN($I355,$H355)*INDEX('Key Metrics'!$E$16:$N$19,MATCH($E355,'Key Metrics'!$E$16:$E$19,0),MATCH(V$1,'Key Metrics'!$E$16:$M$16,0))</f>
        <v>60000</v>
      </c>
      <c r="W355" s="9">
        <f>IF($H355&gt;I355, MIN($H355-I355, J355-I355)*INDEX('Key Metrics'!$E$16:$N$19,MATCH($E355,'Key Metrics'!$E$16:$E$19,0),MATCH(W$1,'Key Metrics'!$E$16:$M$16,0)),0)</f>
        <v>21250</v>
      </c>
      <c r="X355" s="9">
        <f>IF($H355&gt;J355, MIN($H355-J355, K355-J355)*INDEX('Key Metrics'!$E$16:$N$19,MATCH($E355,'Key Metrics'!$E$16:$E$19,0),MATCH(X$1,'Key Metrics'!$E$16:$M$16,0)),0)</f>
        <v>17357.2</v>
      </c>
      <c r="Y355" s="9">
        <f>IF($H355&gt;K355, MIN($H355-K355, L355-K355)*INDEX('Key Metrics'!$E$16:$N$19,MATCH($E355,'Key Metrics'!$E$16:$E$19,0),MATCH(Y$1,'Key Metrics'!$E$16:$M$16,0)),0)</f>
        <v>0</v>
      </c>
      <c r="Z355" s="9">
        <f>IF($H355&gt;L355,($H355-L355)*INDEX('Key Metrics'!$E$16:$N$19,MATCH($E355,'Key Metrics'!$E$16:$E$19,0),MATCH(Z$1,'Key Metrics'!$E$16:$M$16,0)),0)</f>
        <v>0</v>
      </c>
      <c r="AA355" s="9">
        <f t="shared" si="58"/>
        <v>98607.2</v>
      </c>
      <c r="AB355" s="9">
        <f t="shared" si="59"/>
        <v>98608.623571999997</v>
      </c>
    </row>
    <row r="356" spans="1:28" x14ac:dyDescent="0.55000000000000004">
      <c r="A356" t="str">
        <f t="shared" si="5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COUNTIF(deals_closed!$D$2:$D$20001,Calculations!B858)</f>
        <v>23</v>
      </c>
      <c r="H356" s="7">
        <f>SUMIF(deals_closed!$D:$D,Calculations!B858,deals_closed!$C:$C)</f>
        <v>798230</v>
      </c>
      <c r="I356" s="5">
        <f>VLOOKUP(E356,'2018_commission_structure'!$A$1:$I$4,9,FALSE)</f>
        <v>500000</v>
      </c>
      <c r="J356" s="9">
        <f t="shared" si="51"/>
        <v>625000</v>
      </c>
      <c r="K356" s="10">
        <f t="shared" si="52"/>
        <v>750000</v>
      </c>
      <c r="L356" s="9">
        <f t="shared" si="53"/>
        <v>1000000</v>
      </c>
      <c r="M356" s="8">
        <f t="shared" si="54"/>
        <v>1.59646</v>
      </c>
      <c r="N356" t="str">
        <f t="shared" si="55"/>
        <v>150-200%</v>
      </c>
      <c r="O356" s="9">
        <f>MIN($H356,$I356)*INDEX('2018_commission_structure'!$A$1:$I$4,MATCH($E356,'2018_commission_structure'!$A$1:$A$4,0),MATCH(O$1,'2018_commission_structure'!$A$1:$I$1,0))</f>
        <v>50000</v>
      </c>
      <c r="P356" s="9">
        <f>IF(H356&gt;I356, MIN(H356-I356, J356-I356)*INDEX('2018_commission_structure'!$A$1:$I$4,MATCH($E356,'2018_commission_structure'!$A$1:$A$4,0),MATCH(P$1,'2018_commission_structure'!$A$1:$I$1,0)),0)</f>
        <v>18750</v>
      </c>
      <c r="Q356" s="9">
        <f>IF($H356&gt;J356, MIN($H356-J356, K356-J356)*INDEX('2018_commission_structure'!$A$1:$I$4,MATCH($E356,'2018_commission_structure'!$A$1:$A$4,0),MATCH(Q$1,'2018_commission_structure'!$A$1:$I$1,0)),0)</f>
        <v>22500</v>
      </c>
      <c r="R356" s="9">
        <f>IF($H356&gt;K356, MIN($H356-K356, L356-K356)*INDEX('2018_commission_structure'!$A$1:$I$4,MATCH($E356,'2018_commission_structure'!$A$1:$A$4,0),MATCH(R$1,'2018_commission_structure'!$A$1:$I$1,0)),0)</f>
        <v>10610.6</v>
      </c>
      <c r="S356" s="9">
        <f>IF(H356&gt;L356,(H356-L356)*INDEX('2018_commission_structure'!$A$1:$I$4,MATCH($E356,'2018_commission_structure'!$A$1:$A$4,0),MATCH(S$1,'2018_commission_structure'!$A$1:$I$1,0)),0)</f>
        <v>0</v>
      </c>
      <c r="T356" s="9">
        <f t="shared" si="56"/>
        <v>101860.6</v>
      </c>
      <c r="U356" s="9">
        <f t="shared" si="57"/>
        <v>139332.6</v>
      </c>
      <c r="V356" s="9">
        <f>MIN($I356,$H356)*INDEX('Key Metrics'!$E$16:$N$19,MATCH($E356,'Key Metrics'!$E$16:$E$19,0),MATCH(V$1,'Key Metrics'!$E$16:$M$16,0))</f>
        <v>60000</v>
      </c>
      <c r="W356" s="9">
        <f>IF($H356&gt;I356, MIN($H356-I356, J356-I356)*INDEX('Key Metrics'!$E$16:$N$19,MATCH($E356,'Key Metrics'!$E$16:$E$19,0),MATCH(W$1,'Key Metrics'!$E$16:$M$16,0)),0)</f>
        <v>21250</v>
      </c>
      <c r="X356" s="9">
        <f>IF($H356&gt;J356, MIN($H356-J356, K356-J356)*INDEX('Key Metrics'!$E$16:$N$19,MATCH($E356,'Key Metrics'!$E$16:$E$19,0),MATCH(X$1,'Key Metrics'!$E$16:$M$16,0)),0)</f>
        <v>25000</v>
      </c>
      <c r="Y356" s="9">
        <f>IF($H356&gt;K356, MIN($H356-K356, L356-K356)*INDEX('Key Metrics'!$E$16:$N$19,MATCH($E356,'Key Metrics'!$E$16:$E$19,0),MATCH(Y$1,'Key Metrics'!$E$16:$M$16,0)),0)</f>
        <v>10610.6</v>
      </c>
      <c r="Z356" s="9">
        <f>IF($H356&gt;L356,($H356-L356)*INDEX('Key Metrics'!$E$16:$N$19,MATCH($E356,'Key Metrics'!$E$16:$E$19,0),MATCH(Z$1,'Key Metrics'!$E$16:$M$16,0)),0)</f>
        <v>0</v>
      </c>
      <c r="AA356" s="9">
        <f t="shared" si="58"/>
        <v>116860.6</v>
      </c>
      <c r="AB356" s="9">
        <f t="shared" si="59"/>
        <v>116862.19646000001</v>
      </c>
    </row>
    <row r="357" spans="1:28" x14ac:dyDescent="0.55000000000000004">
      <c r="A357" t="str">
        <f t="shared" si="5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COUNTIF(deals_closed!$D$2:$D$20001,Calculations!B983)</f>
        <v>18</v>
      </c>
      <c r="H357" s="7">
        <f>SUMIF(deals_closed!$D:$D,Calculations!B983,deals_closed!$C:$C)</f>
        <v>659813</v>
      </c>
      <c r="I357" s="5">
        <f>VLOOKUP(E357,'2018_commission_structure'!$A$1:$I$4,9,FALSE)</f>
        <v>500000</v>
      </c>
      <c r="J357" s="9">
        <f t="shared" si="51"/>
        <v>625000</v>
      </c>
      <c r="K357" s="10">
        <f t="shared" si="52"/>
        <v>750000</v>
      </c>
      <c r="L357" s="9">
        <f t="shared" si="53"/>
        <v>1000000</v>
      </c>
      <c r="M357" s="8">
        <f t="shared" si="54"/>
        <v>1.319626</v>
      </c>
      <c r="N357" t="str">
        <f t="shared" si="55"/>
        <v>125-150%</v>
      </c>
      <c r="O357" s="9">
        <f>MIN($H357,$I357)*INDEX('2018_commission_structure'!$A$1:$I$4,MATCH($E357,'2018_commission_structure'!$A$1:$A$4,0),MATCH(O$1,'2018_commission_structure'!$A$1:$I$1,0))</f>
        <v>50000</v>
      </c>
      <c r="P357" s="9">
        <f>IF(H357&gt;I357, MIN(H357-I357, J357-I357)*INDEX('2018_commission_structure'!$A$1:$I$4,MATCH($E357,'2018_commission_structure'!$A$1:$A$4,0),MATCH(P$1,'2018_commission_structure'!$A$1:$I$1,0)),0)</f>
        <v>18750</v>
      </c>
      <c r="Q357" s="9">
        <f>IF($H357&gt;J357, MIN($H357-J357, K357-J357)*INDEX('2018_commission_structure'!$A$1:$I$4,MATCH($E357,'2018_commission_structure'!$A$1:$A$4,0),MATCH(Q$1,'2018_commission_structure'!$A$1:$I$1,0)),0)</f>
        <v>6266.34</v>
      </c>
      <c r="R357" s="9">
        <f>IF($H357&gt;K357, MIN($H357-K357, L357-K357)*INDEX('2018_commission_structure'!$A$1:$I$4,MATCH($E357,'2018_commission_structure'!$A$1:$A$4,0),MATCH(R$1,'2018_commission_structure'!$A$1:$I$1,0)),0)</f>
        <v>0</v>
      </c>
      <c r="S357" s="9">
        <f>IF(H357&gt;L357,(H357-L357)*INDEX('2018_commission_structure'!$A$1:$I$4,MATCH($E357,'2018_commission_structure'!$A$1:$A$4,0),MATCH(S$1,'2018_commission_structure'!$A$1:$I$1,0)),0)</f>
        <v>0</v>
      </c>
      <c r="T357" s="9">
        <f t="shared" si="56"/>
        <v>75016.34</v>
      </c>
      <c r="U357" s="9">
        <f t="shared" si="57"/>
        <v>109026.34</v>
      </c>
      <c r="V357" s="9">
        <f>MIN($I357,$H357)*INDEX('Key Metrics'!$E$16:$N$19,MATCH($E357,'Key Metrics'!$E$16:$E$19,0),MATCH(V$1,'Key Metrics'!$E$16:$M$16,0))</f>
        <v>60000</v>
      </c>
      <c r="W357" s="9">
        <f>IF($H357&gt;I357, MIN($H357-I357, J357-I357)*INDEX('Key Metrics'!$E$16:$N$19,MATCH($E357,'Key Metrics'!$E$16:$E$19,0),MATCH(W$1,'Key Metrics'!$E$16:$M$16,0)),0)</f>
        <v>21250</v>
      </c>
      <c r="X357" s="9">
        <f>IF($H357&gt;J357, MIN($H357-J357, K357-J357)*INDEX('Key Metrics'!$E$16:$N$19,MATCH($E357,'Key Metrics'!$E$16:$E$19,0),MATCH(X$1,'Key Metrics'!$E$16:$M$16,0)),0)</f>
        <v>6962.6</v>
      </c>
      <c r="Y357" s="9">
        <f>IF($H357&gt;K357, MIN($H357-K357, L357-K357)*INDEX('Key Metrics'!$E$16:$N$19,MATCH($E357,'Key Metrics'!$E$16:$E$19,0),MATCH(Y$1,'Key Metrics'!$E$16:$M$16,0)),0)</f>
        <v>0</v>
      </c>
      <c r="Z357" s="9">
        <f>IF($H357&gt;L357,($H357-L357)*INDEX('Key Metrics'!$E$16:$N$19,MATCH($E357,'Key Metrics'!$E$16:$E$19,0),MATCH(Z$1,'Key Metrics'!$E$16:$M$16,0)),0)</f>
        <v>0</v>
      </c>
      <c r="AA357" s="9">
        <f t="shared" si="58"/>
        <v>88212.6</v>
      </c>
      <c r="AB357" s="9">
        <f t="shared" si="59"/>
        <v>88213.919626000003</v>
      </c>
    </row>
    <row r="358" spans="1:28" x14ac:dyDescent="0.55000000000000004">
      <c r="A358" t="str">
        <f t="shared" si="5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COUNTIF(deals_closed!$D$2:$D$20001,Calculations!B586)</f>
        <v>21</v>
      </c>
      <c r="H358" s="7">
        <f>SUMIF(deals_closed!$D:$D,Calculations!B586,deals_closed!$C:$C)</f>
        <v>808246</v>
      </c>
      <c r="I358" s="5">
        <f>VLOOKUP(E358,'2018_commission_structure'!$A$1:$I$4,9,FALSE)</f>
        <v>600000</v>
      </c>
      <c r="J358" s="9">
        <f t="shared" si="51"/>
        <v>750000</v>
      </c>
      <c r="K358" s="10">
        <f t="shared" si="52"/>
        <v>900000</v>
      </c>
      <c r="L358" s="9">
        <f t="shared" si="53"/>
        <v>1200000</v>
      </c>
      <c r="M358" s="8">
        <f t="shared" si="54"/>
        <v>1.3470766666666667</v>
      </c>
      <c r="N358" t="str">
        <f t="shared" si="55"/>
        <v>125-150%</v>
      </c>
      <c r="O358" s="9">
        <f>MIN($H358,$I358)*INDEX('2018_commission_structure'!$A$1:$I$4,MATCH($E358,'2018_commission_structure'!$A$1:$A$4,0),MATCH(O$1,'2018_commission_structure'!$A$1:$I$1,0))</f>
        <v>78000</v>
      </c>
      <c r="P358" s="9">
        <f>IF(H358&gt;I358, MIN(H358-I358, J358-I358)*INDEX('2018_commission_structure'!$A$1:$I$4,MATCH($E358,'2018_commission_structure'!$A$1:$A$4,0),MATCH(P$1,'2018_commission_structure'!$A$1:$I$1,0)),0)</f>
        <v>25500.000000000004</v>
      </c>
      <c r="Q358" s="9">
        <f>IF($H358&gt;J358, MIN($H358-J358, K358-J358)*INDEX('2018_commission_structure'!$A$1:$I$4,MATCH($E358,'2018_commission_structure'!$A$1:$A$4,0),MATCH(Q$1,'2018_commission_structure'!$A$1:$I$1,0)),0)</f>
        <v>12231.66</v>
      </c>
      <c r="R358" s="9">
        <f>IF($H358&gt;K358, MIN($H358-K358, L358-K358)*INDEX('2018_commission_structure'!$A$1:$I$4,MATCH($E358,'2018_commission_structure'!$A$1:$A$4,0),MATCH(R$1,'2018_commission_structure'!$A$1:$I$1,0)),0)</f>
        <v>0</v>
      </c>
      <c r="S358" s="9">
        <f>IF(H358&gt;L358,(H358-L358)*INDEX('2018_commission_structure'!$A$1:$I$4,MATCH($E358,'2018_commission_structure'!$A$1:$A$4,0),MATCH(S$1,'2018_commission_structure'!$A$1:$I$1,0)),0)</f>
        <v>0</v>
      </c>
      <c r="T358" s="9">
        <f t="shared" si="56"/>
        <v>115731.66</v>
      </c>
      <c r="U358" s="9">
        <f t="shared" si="57"/>
        <v>167865.66</v>
      </c>
      <c r="V358" s="9">
        <f>MIN($I358,$H358)*INDEX('Key Metrics'!$E$16:$N$19,MATCH($E358,'Key Metrics'!$E$16:$E$19,0),MATCH(V$1,'Key Metrics'!$E$16:$M$16,0))</f>
        <v>90000</v>
      </c>
      <c r="W358" s="9">
        <f>IF($H358&gt;I358, MIN($H358-I358, J358-I358)*INDEX('Key Metrics'!$E$16:$N$19,MATCH($E358,'Key Metrics'!$E$16:$E$19,0),MATCH(W$1,'Key Metrics'!$E$16:$M$16,0)),0)</f>
        <v>27000</v>
      </c>
      <c r="X358" s="9">
        <f>IF($H358&gt;J358, MIN($H358-J358, K358-J358)*INDEX('Key Metrics'!$E$16:$N$19,MATCH($E358,'Key Metrics'!$E$16:$E$19,0),MATCH(X$1,'Key Metrics'!$E$16:$M$16,0)),0)</f>
        <v>14561.5</v>
      </c>
      <c r="Y358" s="9">
        <f>IF($H358&gt;K358, MIN($H358-K358, L358-K358)*INDEX('Key Metrics'!$E$16:$N$19,MATCH($E358,'Key Metrics'!$E$16:$E$19,0),MATCH(Y$1,'Key Metrics'!$E$16:$M$16,0)),0)</f>
        <v>0</v>
      </c>
      <c r="Z358" s="9">
        <f>IF($H358&gt;L358,($H358-L358)*INDEX('Key Metrics'!$E$16:$N$19,MATCH($E358,'Key Metrics'!$E$16:$E$19,0),MATCH(Z$1,'Key Metrics'!$E$16:$M$16,0)),0)</f>
        <v>0</v>
      </c>
      <c r="AA358" s="9">
        <f t="shared" si="58"/>
        <v>131561.5</v>
      </c>
      <c r="AB358" s="9">
        <f t="shared" si="59"/>
        <v>131562.84707666666</v>
      </c>
    </row>
    <row r="359" spans="1:28" x14ac:dyDescent="0.55000000000000004">
      <c r="A359" t="str">
        <f t="shared" si="5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COUNTIF(deals_closed!$D$2:$D$20001,Calculations!B150)</f>
        <v>22</v>
      </c>
      <c r="H359" s="7">
        <f>SUMIF(deals_closed!$D:$D,Calculations!B150,deals_closed!$C:$C)</f>
        <v>588509</v>
      </c>
      <c r="I359" s="5">
        <f>VLOOKUP(E359,'2018_commission_structure'!$A$1:$I$4,9,FALSE)</f>
        <v>750000</v>
      </c>
      <c r="J359" s="9">
        <f t="shared" si="51"/>
        <v>937500</v>
      </c>
      <c r="K359" s="10">
        <f t="shared" si="52"/>
        <v>1125000</v>
      </c>
      <c r="L359" s="9">
        <f t="shared" si="53"/>
        <v>1500000</v>
      </c>
      <c r="M359" s="8">
        <f t="shared" si="54"/>
        <v>0.78467866666666664</v>
      </c>
      <c r="N359" t="str">
        <f t="shared" si="55"/>
        <v>0-100%</v>
      </c>
      <c r="O359" s="9">
        <f>MIN($H359,$I359)*INDEX('2018_commission_structure'!$A$1:$I$4,MATCH($E359,'2018_commission_structure'!$A$1:$A$4,0),MATCH(O$1,'2018_commission_structure'!$A$1:$I$1,0))</f>
        <v>88276.349999999991</v>
      </c>
      <c r="P359" s="9">
        <f>IF(H359&gt;I359, MIN(H359-I359, J359-I359)*INDEX('2018_commission_structure'!$A$1:$I$4,MATCH($E359,'2018_commission_structure'!$A$1:$A$4,0),MATCH(P$1,'2018_commission_structure'!$A$1:$I$1,0)),0)</f>
        <v>0</v>
      </c>
      <c r="Q359" s="9">
        <f>IF($H359&gt;J359, MIN($H359-J359, K359-J359)*INDEX('2018_commission_structure'!$A$1:$I$4,MATCH($E359,'2018_commission_structure'!$A$1:$A$4,0),MATCH(Q$1,'2018_commission_structure'!$A$1:$I$1,0)),0)</f>
        <v>0</v>
      </c>
      <c r="R359" s="9">
        <f>IF($H359&gt;K359, MIN($H359-K359, L359-K359)*INDEX('2018_commission_structure'!$A$1:$I$4,MATCH($E359,'2018_commission_structure'!$A$1:$A$4,0),MATCH(R$1,'2018_commission_structure'!$A$1:$I$1,0)),0)</f>
        <v>0</v>
      </c>
      <c r="S359" s="9">
        <f>IF(H359&gt;L359,(H359-L359)*INDEX('2018_commission_structure'!$A$1:$I$4,MATCH($E359,'2018_commission_structure'!$A$1:$A$4,0),MATCH(S$1,'2018_commission_structure'!$A$1:$I$1,0)),0)</f>
        <v>0</v>
      </c>
      <c r="T359" s="9">
        <f t="shared" si="56"/>
        <v>88276.349999999991</v>
      </c>
      <c r="U359" s="9">
        <f t="shared" si="57"/>
        <v>213204.34999999998</v>
      </c>
      <c r="V359" s="9">
        <f>MIN($I359,$H359)*INDEX('Key Metrics'!$E$16:$N$19,MATCH($E359,'Key Metrics'!$E$16:$E$19,0),MATCH(V$1,'Key Metrics'!$E$16:$M$16,0))</f>
        <v>88276.349999999991</v>
      </c>
      <c r="W359" s="9">
        <f>IF($H359&gt;I359, MIN($H359-I359, J359-I359)*INDEX('Key Metrics'!$E$16:$N$19,MATCH($E359,'Key Metrics'!$E$16:$E$19,0),MATCH(W$1,'Key Metrics'!$E$16:$M$16,0)),0)</f>
        <v>0</v>
      </c>
      <c r="X359" s="9">
        <f>IF($H359&gt;J359, MIN($H359-J359, K359-J359)*INDEX('Key Metrics'!$E$16:$N$19,MATCH($E359,'Key Metrics'!$E$16:$E$19,0),MATCH(X$1,'Key Metrics'!$E$16:$M$16,0)),0)</f>
        <v>0</v>
      </c>
      <c r="Y359" s="9">
        <f>IF($H359&gt;K359, MIN($H359-K359, L359-K359)*INDEX('Key Metrics'!$E$16:$N$19,MATCH($E359,'Key Metrics'!$E$16:$E$19,0),MATCH(Y$1,'Key Metrics'!$E$16:$M$16,0)),0)</f>
        <v>0</v>
      </c>
      <c r="Z359" s="9">
        <f>IF($H359&gt;L359,($H359-L359)*INDEX('Key Metrics'!$E$16:$N$19,MATCH($E359,'Key Metrics'!$E$16:$E$19,0),MATCH(Z$1,'Key Metrics'!$E$16:$M$16,0)),0)</f>
        <v>0</v>
      </c>
      <c r="AA359" s="9">
        <f t="shared" si="58"/>
        <v>88276.349999999991</v>
      </c>
      <c r="AB359" s="9">
        <f t="shared" si="59"/>
        <v>88277.134678666655</v>
      </c>
    </row>
    <row r="360" spans="1:28" x14ac:dyDescent="0.55000000000000004">
      <c r="A360" t="str">
        <f t="shared" si="5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COUNTIF(deals_closed!$D$2:$D$20001,Calculations!B111)</f>
        <v>21</v>
      </c>
      <c r="H360" s="7">
        <f>SUMIF(deals_closed!$D:$D,Calculations!B111,deals_closed!$C:$C)</f>
        <v>764254</v>
      </c>
      <c r="I360" s="5">
        <f>VLOOKUP(E360,'2018_commission_structure'!$A$1:$I$4,9,FALSE)</f>
        <v>500000</v>
      </c>
      <c r="J360" s="9">
        <f t="shared" si="51"/>
        <v>625000</v>
      </c>
      <c r="K360" s="10">
        <f t="shared" si="52"/>
        <v>750000</v>
      </c>
      <c r="L360" s="9">
        <f t="shared" si="53"/>
        <v>1000000</v>
      </c>
      <c r="M360" s="8">
        <f t="shared" si="54"/>
        <v>1.528508</v>
      </c>
      <c r="N360" t="str">
        <f t="shared" si="55"/>
        <v>150-200%</v>
      </c>
      <c r="O360" s="9">
        <f>MIN($H360,$I360)*INDEX('2018_commission_structure'!$A$1:$I$4,MATCH($E360,'2018_commission_structure'!$A$1:$A$4,0),MATCH(O$1,'2018_commission_structure'!$A$1:$I$1,0))</f>
        <v>50000</v>
      </c>
      <c r="P360" s="9">
        <f>IF(H360&gt;I360, MIN(H360-I360, J360-I360)*INDEX('2018_commission_structure'!$A$1:$I$4,MATCH($E360,'2018_commission_structure'!$A$1:$A$4,0),MATCH(P$1,'2018_commission_structure'!$A$1:$I$1,0)),0)</f>
        <v>18750</v>
      </c>
      <c r="Q360" s="9">
        <f>IF($H360&gt;J360, MIN($H360-J360, K360-J360)*INDEX('2018_commission_structure'!$A$1:$I$4,MATCH($E360,'2018_commission_structure'!$A$1:$A$4,0),MATCH(Q$1,'2018_commission_structure'!$A$1:$I$1,0)),0)</f>
        <v>22500</v>
      </c>
      <c r="R360" s="9">
        <f>IF($H360&gt;K360, MIN($H360-K360, L360-K360)*INDEX('2018_commission_structure'!$A$1:$I$4,MATCH($E360,'2018_commission_structure'!$A$1:$A$4,0),MATCH(R$1,'2018_commission_structure'!$A$1:$I$1,0)),0)</f>
        <v>3135.88</v>
      </c>
      <c r="S360" s="9">
        <f>IF(H360&gt;L360,(H360-L360)*INDEX('2018_commission_structure'!$A$1:$I$4,MATCH($E360,'2018_commission_structure'!$A$1:$A$4,0),MATCH(S$1,'2018_commission_structure'!$A$1:$I$1,0)),0)</f>
        <v>0</v>
      </c>
      <c r="T360" s="9">
        <f t="shared" si="56"/>
        <v>94385.88</v>
      </c>
      <c r="U360" s="9">
        <f t="shared" si="57"/>
        <v>142790.88</v>
      </c>
      <c r="V360" s="9">
        <f>MIN($I360,$H360)*INDEX('Key Metrics'!$E$16:$N$19,MATCH($E360,'Key Metrics'!$E$16:$E$19,0),MATCH(V$1,'Key Metrics'!$E$16:$M$16,0))</f>
        <v>60000</v>
      </c>
      <c r="W360" s="9">
        <f>IF($H360&gt;I360, MIN($H360-I360, J360-I360)*INDEX('Key Metrics'!$E$16:$N$19,MATCH($E360,'Key Metrics'!$E$16:$E$19,0),MATCH(W$1,'Key Metrics'!$E$16:$M$16,0)),0)</f>
        <v>21250</v>
      </c>
      <c r="X360" s="9">
        <f>IF($H360&gt;J360, MIN($H360-J360, K360-J360)*INDEX('Key Metrics'!$E$16:$N$19,MATCH($E360,'Key Metrics'!$E$16:$E$19,0),MATCH(X$1,'Key Metrics'!$E$16:$M$16,0)),0)</f>
        <v>25000</v>
      </c>
      <c r="Y360" s="9">
        <f>IF($H360&gt;K360, MIN($H360-K360, L360-K360)*INDEX('Key Metrics'!$E$16:$N$19,MATCH($E360,'Key Metrics'!$E$16:$E$19,0),MATCH(Y$1,'Key Metrics'!$E$16:$M$16,0)),0)</f>
        <v>3135.88</v>
      </c>
      <c r="Z360" s="9">
        <f>IF($H360&gt;L360,($H360-L360)*INDEX('Key Metrics'!$E$16:$N$19,MATCH($E360,'Key Metrics'!$E$16:$E$19,0),MATCH(Z$1,'Key Metrics'!$E$16:$M$16,0)),0)</f>
        <v>0</v>
      </c>
      <c r="AA360" s="9">
        <f t="shared" si="58"/>
        <v>109385.88</v>
      </c>
      <c r="AB360" s="9">
        <f t="shared" si="59"/>
        <v>109387.40850800001</v>
      </c>
    </row>
    <row r="361" spans="1:28" x14ac:dyDescent="0.55000000000000004">
      <c r="A361" t="str">
        <f t="shared" si="5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COUNTIF(deals_closed!$D$2:$D$20001,Calculations!B713)</f>
        <v>14</v>
      </c>
      <c r="H361" s="7">
        <f>SUMIF(deals_closed!$D:$D,Calculations!B713,deals_closed!$C:$C)</f>
        <v>414450</v>
      </c>
      <c r="I361" s="5">
        <f>VLOOKUP(E361,'2018_commission_structure'!$A$1:$I$4,9,FALSE)</f>
        <v>600000</v>
      </c>
      <c r="J361" s="9">
        <f t="shared" si="51"/>
        <v>750000</v>
      </c>
      <c r="K361" s="10">
        <f t="shared" si="52"/>
        <v>900000</v>
      </c>
      <c r="L361" s="9">
        <f t="shared" si="53"/>
        <v>1200000</v>
      </c>
      <c r="M361" s="8">
        <f t="shared" si="54"/>
        <v>0.69074999999999998</v>
      </c>
      <c r="N361" t="str">
        <f t="shared" si="55"/>
        <v>0-100%</v>
      </c>
      <c r="O361" s="9">
        <f>MIN($H361,$I361)*INDEX('2018_commission_structure'!$A$1:$I$4,MATCH($E361,'2018_commission_structure'!$A$1:$A$4,0),MATCH(O$1,'2018_commission_structure'!$A$1:$I$1,0))</f>
        <v>53878.5</v>
      </c>
      <c r="P361" s="9">
        <f>IF(H361&gt;I361, MIN(H361-I361, J361-I361)*INDEX('2018_commission_structure'!$A$1:$I$4,MATCH($E361,'2018_commission_structure'!$A$1:$A$4,0),MATCH(P$1,'2018_commission_structure'!$A$1:$I$1,0)),0)</f>
        <v>0</v>
      </c>
      <c r="Q361" s="9">
        <f>IF($H361&gt;J361, MIN($H361-J361, K361-J361)*INDEX('2018_commission_structure'!$A$1:$I$4,MATCH($E361,'2018_commission_structure'!$A$1:$A$4,0),MATCH(Q$1,'2018_commission_structure'!$A$1:$I$1,0)),0)</f>
        <v>0</v>
      </c>
      <c r="R361" s="9">
        <f>IF($H361&gt;K361, MIN($H361-K361, L361-K361)*INDEX('2018_commission_structure'!$A$1:$I$4,MATCH($E361,'2018_commission_structure'!$A$1:$A$4,0),MATCH(R$1,'2018_commission_structure'!$A$1:$I$1,0)),0)</f>
        <v>0</v>
      </c>
      <c r="S361" s="9">
        <f>IF(H361&gt;L361,(H361-L361)*INDEX('2018_commission_structure'!$A$1:$I$4,MATCH($E361,'2018_commission_structure'!$A$1:$A$4,0),MATCH(S$1,'2018_commission_structure'!$A$1:$I$1,0)),0)</f>
        <v>0</v>
      </c>
      <c r="T361" s="9">
        <f t="shared" si="56"/>
        <v>53878.5</v>
      </c>
      <c r="U361" s="9">
        <f t="shared" si="57"/>
        <v>129211.5</v>
      </c>
      <c r="V361" s="9">
        <f>MIN($I361,$H361)*INDEX('Key Metrics'!$E$16:$N$19,MATCH($E361,'Key Metrics'!$E$16:$E$19,0),MATCH(V$1,'Key Metrics'!$E$16:$M$16,0))</f>
        <v>62167.5</v>
      </c>
      <c r="W361" s="9">
        <f>IF($H361&gt;I361, MIN($H361-I361, J361-I361)*INDEX('Key Metrics'!$E$16:$N$19,MATCH($E361,'Key Metrics'!$E$16:$E$19,0),MATCH(W$1,'Key Metrics'!$E$16:$M$16,0)),0)</f>
        <v>0</v>
      </c>
      <c r="X361" s="9">
        <f>IF($H361&gt;J361, MIN($H361-J361, K361-J361)*INDEX('Key Metrics'!$E$16:$N$19,MATCH($E361,'Key Metrics'!$E$16:$E$19,0),MATCH(X$1,'Key Metrics'!$E$16:$M$16,0)),0)</f>
        <v>0</v>
      </c>
      <c r="Y361" s="9">
        <f>IF($H361&gt;K361, MIN($H361-K361, L361-K361)*INDEX('Key Metrics'!$E$16:$N$19,MATCH($E361,'Key Metrics'!$E$16:$E$19,0),MATCH(Y$1,'Key Metrics'!$E$16:$M$16,0)),0)</f>
        <v>0</v>
      </c>
      <c r="Z361" s="9">
        <f>IF($H361&gt;L361,($H361-L361)*INDEX('Key Metrics'!$E$16:$N$19,MATCH($E361,'Key Metrics'!$E$16:$E$19,0),MATCH(Z$1,'Key Metrics'!$E$16:$M$16,0)),0)</f>
        <v>0</v>
      </c>
      <c r="AA361" s="9">
        <f t="shared" si="58"/>
        <v>62167.5</v>
      </c>
      <c r="AB361" s="9">
        <f t="shared" si="59"/>
        <v>62168.190750000002</v>
      </c>
    </row>
    <row r="362" spans="1:28" x14ac:dyDescent="0.55000000000000004">
      <c r="A362" t="str">
        <f t="shared" si="5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COUNTIF(deals_closed!$D$2:$D$20001,Calculations!B56)</f>
        <v>17</v>
      </c>
      <c r="H362" s="7">
        <f>SUMIF(deals_closed!$D:$D,Calculations!B56,deals_closed!$C:$C)</f>
        <v>594518</v>
      </c>
      <c r="I362" s="5">
        <f>VLOOKUP(E362,'2018_commission_structure'!$A$1:$I$4,9,FALSE)</f>
        <v>500000</v>
      </c>
      <c r="J362" s="9">
        <f t="shared" si="51"/>
        <v>625000</v>
      </c>
      <c r="K362" s="10">
        <f t="shared" si="52"/>
        <v>750000</v>
      </c>
      <c r="L362" s="9">
        <f t="shared" si="53"/>
        <v>1000000</v>
      </c>
      <c r="M362" s="8">
        <f t="shared" si="54"/>
        <v>1.189036</v>
      </c>
      <c r="N362" t="str">
        <f t="shared" si="55"/>
        <v>100-125%</v>
      </c>
      <c r="O362" s="9">
        <f>MIN($H362,$I362)*INDEX('2018_commission_structure'!$A$1:$I$4,MATCH($E362,'2018_commission_structure'!$A$1:$A$4,0),MATCH(O$1,'2018_commission_structure'!$A$1:$I$1,0))</f>
        <v>50000</v>
      </c>
      <c r="P362" s="9">
        <f>IF(H362&gt;I362, MIN(H362-I362, J362-I362)*INDEX('2018_commission_structure'!$A$1:$I$4,MATCH($E362,'2018_commission_structure'!$A$1:$A$4,0),MATCH(P$1,'2018_commission_structure'!$A$1:$I$1,0)),0)</f>
        <v>14177.699999999999</v>
      </c>
      <c r="Q362" s="9">
        <f>IF($H362&gt;J362, MIN($H362-J362, K362-J362)*INDEX('2018_commission_structure'!$A$1:$I$4,MATCH($E362,'2018_commission_structure'!$A$1:$A$4,0),MATCH(Q$1,'2018_commission_structure'!$A$1:$I$1,0)),0)</f>
        <v>0</v>
      </c>
      <c r="R362" s="9">
        <f>IF($H362&gt;K362, MIN($H362-K362, L362-K362)*INDEX('2018_commission_structure'!$A$1:$I$4,MATCH($E362,'2018_commission_structure'!$A$1:$A$4,0),MATCH(R$1,'2018_commission_structure'!$A$1:$I$1,0)),0)</f>
        <v>0</v>
      </c>
      <c r="S362" s="9">
        <f>IF(H362&gt;L362,(H362-L362)*INDEX('2018_commission_structure'!$A$1:$I$4,MATCH($E362,'2018_commission_structure'!$A$1:$A$4,0),MATCH(S$1,'2018_commission_structure'!$A$1:$I$1,0)),0)</f>
        <v>0</v>
      </c>
      <c r="T362" s="9">
        <f t="shared" si="56"/>
        <v>64177.7</v>
      </c>
      <c r="U362" s="9">
        <f t="shared" si="57"/>
        <v>109514.7</v>
      </c>
      <c r="V362" s="9">
        <f>MIN($I362,$H362)*INDEX('Key Metrics'!$E$16:$N$19,MATCH($E362,'Key Metrics'!$E$16:$E$19,0),MATCH(V$1,'Key Metrics'!$E$16:$M$16,0))</f>
        <v>60000</v>
      </c>
      <c r="W362" s="9">
        <f>IF($H362&gt;I362, MIN($H362-I362, J362-I362)*INDEX('Key Metrics'!$E$16:$N$19,MATCH($E362,'Key Metrics'!$E$16:$E$19,0),MATCH(W$1,'Key Metrics'!$E$16:$M$16,0)),0)</f>
        <v>16068.060000000001</v>
      </c>
      <c r="X362" s="9">
        <f>IF($H362&gt;J362, MIN($H362-J362, K362-J362)*INDEX('Key Metrics'!$E$16:$N$19,MATCH($E362,'Key Metrics'!$E$16:$E$19,0),MATCH(X$1,'Key Metrics'!$E$16:$M$16,0)),0)</f>
        <v>0</v>
      </c>
      <c r="Y362" s="9">
        <f>IF($H362&gt;K362, MIN($H362-K362, L362-K362)*INDEX('Key Metrics'!$E$16:$N$19,MATCH($E362,'Key Metrics'!$E$16:$E$19,0),MATCH(Y$1,'Key Metrics'!$E$16:$M$16,0)),0)</f>
        <v>0</v>
      </c>
      <c r="Z362" s="9">
        <f>IF($H362&gt;L362,($H362-L362)*INDEX('Key Metrics'!$E$16:$N$19,MATCH($E362,'Key Metrics'!$E$16:$E$19,0),MATCH(Z$1,'Key Metrics'!$E$16:$M$16,0)),0)</f>
        <v>0</v>
      </c>
      <c r="AA362" s="9">
        <f t="shared" si="58"/>
        <v>76068.06</v>
      </c>
      <c r="AB362" s="9">
        <f t="shared" si="59"/>
        <v>76069.249035999994</v>
      </c>
    </row>
    <row r="363" spans="1:28" x14ac:dyDescent="0.55000000000000004">
      <c r="A363" t="str">
        <f t="shared" si="5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COUNTIF(deals_closed!$D$2:$D$20001,Calculations!B144)</f>
        <v>16</v>
      </c>
      <c r="H363" s="7">
        <f>SUMIF(deals_closed!$D:$D,Calculations!B144,deals_closed!$C:$C)</f>
        <v>476791</v>
      </c>
      <c r="I363" s="5">
        <f>VLOOKUP(E363,'2018_commission_structure'!$A$1:$I$4,9,FALSE)</f>
        <v>750000</v>
      </c>
      <c r="J363" s="9">
        <f t="shared" si="51"/>
        <v>937500</v>
      </c>
      <c r="K363" s="10">
        <f t="shared" si="52"/>
        <v>1125000</v>
      </c>
      <c r="L363" s="9">
        <f t="shared" si="53"/>
        <v>1500000</v>
      </c>
      <c r="M363" s="8">
        <f t="shared" si="54"/>
        <v>0.63572133333333336</v>
      </c>
      <c r="N363" t="str">
        <f t="shared" si="55"/>
        <v>0-100%</v>
      </c>
      <c r="O363" s="9">
        <f>MIN($H363,$I363)*INDEX('2018_commission_structure'!$A$1:$I$4,MATCH($E363,'2018_commission_structure'!$A$1:$A$4,0),MATCH(O$1,'2018_commission_structure'!$A$1:$I$1,0))</f>
        <v>71518.649999999994</v>
      </c>
      <c r="P363" s="9">
        <f>IF(H363&gt;I363, MIN(H363-I363, J363-I363)*INDEX('2018_commission_structure'!$A$1:$I$4,MATCH($E363,'2018_commission_structure'!$A$1:$A$4,0),MATCH(P$1,'2018_commission_structure'!$A$1:$I$1,0)),0)</f>
        <v>0</v>
      </c>
      <c r="Q363" s="9">
        <f>IF($H363&gt;J363, MIN($H363-J363, K363-J363)*INDEX('2018_commission_structure'!$A$1:$I$4,MATCH($E363,'2018_commission_structure'!$A$1:$A$4,0),MATCH(Q$1,'2018_commission_structure'!$A$1:$I$1,0)),0)</f>
        <v>0</v>
      </c>
      <c r="R363" s="9">
        <f>IF($H363&gt;K363, MIN($H363-K363, L363-K363)*INDEX('2018_commission_structure'!$A$1:$I$4,MATCH($E363,'2018_commission_structure'!$A$1:$A$4,0),MATCH(R$1,'2018_commission_structure'!$A$1:$I$1,0)),0)</f>
        <v>0</v>
      </c>
      <c r="S363" s="9">
        <f>IF(H363&gt;L363,(H363-L363)*INDEX('2018_commission_structure'!$A$1:$I$4,MATCH($E363,'2018_commission_structure'!$A$1:$A$4,0),MATCH(S$1,'2018_commission_structure'!$A$1:$I$1,0)),0)</f>
        <v>0</v>
      </c>
      <c r="T363" s="9">
        <f t="shared" si="56"/>
        <v>71518.649999999994</v>
      </c>
      <c r="U363" s="9">
        <f t="shared" si="57"/>
        <v>196333.65</v>
      </c>
      <c r="V363" s="9">
        <f>MIN($I363,$H363)*INDEX('Key Metrics'!$E$16:$N$19,MATCH($E363,'Key Metrics'!$E$16:$E$19,0),MATCH(V$1,'Key Metrics'!$E$16:$M$16,0))</f>
        <v>71518.649999999994</v>
      </c>
      <c r="W363" s="9">
        <f>IF($H363&gt;I363, MIN($H363-I363, J363-I363)*INDEX('Key Metrics'!$E$16:$N$19,MATCH($E363,'Key Metrics'!$E$16:$E$19,0),MATCH(W$1,'Key Metrics'!$E$16:$M$16,0)),0)</f>
        <v>0</v>
      </c>
      <c r="X363" s="9">
        <f>IF($H363&gt;J363, MIN($H363-J363, K363-J363)*INDEX('Key Metrics'!$E$16:$N$19,MATCH($E363,'Key Metrics'!$E$16:$E$19,0),MATCH(X$1,'Key Metrics'!$E$16:$M$16,0)),0)</f>
        <v>0</v>
      </c>
      <c r="Y363" s="9">
        <f>IF($H363&gt;K363, MIN($H363-K363, L363-K363)*INDEX('Key Metrics'!$E$16:$N$19,MATCH($E363,'Key Metrics'!$E$16:$E$19,0),MATCH(Y$1,'Key Metrics'!$E$16:$M$16,0)),0)</f>
        <v>0</v>
      </c>
      <c r="Z363" s="9">
        <f>IF($H363&gt;L363,($H363-L363)*INDEX('Key Metrics'!$E$16:$N$19,MATCH($E363,'Key Metrics'!$E$16:$E$19,0),MATCH(Z$1,'Key Metrics'!$E$16:$M$16,0)),0)</f>
        <v>0</v>
      </c>
      <c r="AA363" s="9">
        <f t="shared" si="58"/>
        <v>71518.649999999994</v>
      </c>
      <c r="AB363" s="9">
        <f t="shared" si="59"/>
        <v>71519.285721333334</v>
      </c>
    </row>
    <row r="364" spans="1:28" x14ac:dyDescent="0.55000000000000004">
      <c r="A364" t="str">
        <f t="shared" si="5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COUNTIF(deals_closed!$D$2:$D$20001,Calculations!B902)</f>
        <v>19</v>
      </c>
      <c r="H364" s="7">
        <f>SUMIF(deals_closed!$D:$D,Calculations!B902,deals_closed!$C:$C)</f>
        <v>673714</v>
      </c>
      <c r="I364" s="5">
        <f>VLOOKUP(E364,'2018_commission_structure'!$A$1:$I$4,9,FALSE)</f>
        <v>600000</v>
      </c>
      <c r="J364" s="9">
        <f t="shared" si="51"/>
        <v>750000</v>
      </c>
      <c r="K364" s="10">
        <f t="shared" si="52"/>
        <v>900000</v>
      </c>
      <c r="L364" s="9">
        <f t="shared" si="53"/>
        <v>1200000</v>
      </c>
      <c r="M364" s="8">
        <f t="shared" si="54"/>
        <v>1.1228566666666666</v>
      </c>
      <c r="N364" t="str">
        <f t="shared" si="55"/>
        <v>100-125%</v>
      </c>
      <c r="O364" s="9">
        <f>MIN($H364,$I364)*INDEX('2018_commission_structure'!$A$1:$I$4,MATCH($E364,'2018_commission_structure'!$A$1:$A$4,0),MATCH(O$1,'2018_commission_structure'!$A$1:$I$1,0))</f>
        <v>78000</v>
      </c>
      <c r="P364" s="9">
        <f>IF(H364&gt;I364, MIN(H364-I364, J364-I364)*INDEX('2018_commission_structure'!$A$1:$I$4,MATCH($E364,'2018_commission_structure'!$A$1:$A$4,0),MATCH(P$1,'2018_commission_structure'!$A$1:$I$1,0)),0)</f>
        <v>12531.380000000001</v>
      </c>
      <c r="Q364" s="9">
        <f>IF($H364&gt;J364, MIN($H364-J364, K364-J364)*INDEX('2018_commission_structure'!$A$1:$I$4,MATCH($E364,'2018_commission_structure'!$A$1:$A$4,0),MATCH(Q$1,'2018_commission_structure'!$A$1:$I$1,0)),0)</f>
        <v>0</v>
      </c>
      <c r="R364" s="9">
        <f>IF($H364&gt;K364, MIN($H364-K364, L364-K364)*INDEX('2018_commission_structure'!$A$1:$I$4,MATCH($E364,'2018_commission_structure'!$A$1:$A$4,0),MATCH(R$1,'2018_commission_structure'!$A$1:$I$1,0)),0)</f>
        <v>0</v>
      </c>
      <c r="S364" s="9">
        <f>IF(H364&gt;L364,(H364-L364)*INDEX('2018_commission_structure'!$A$1:$I$4,MATCH($E364,'2018_commission_structure'!$A$1:$A$4,0),MATCH(S$1,'2018_commission_structure'!$A$1:$I$1,0)),0)</f>
        <v>0</v>
      </c>
      <c r="T364" s="9">
        <f t="shared" si="56"/>
        <v>90531.38</v>
      </c>
      <c r="U364" s="9">
        <f t="shared" si="57"/>
        <v>167742.38</v>
      </c>
      <c r="V364" s="9">
        <f>MIN($I364,$H364)*INDEX('Key Metrics'!$E$16:$N$19,MATCH($E364,'Key Metrics'!$E$16:$E$19,0),MATCH(V$1,'Key Metrics'!$E$16:$M$16,0))</f>
        <v>90000</v>
      </c>
      <c r="W364" s="9">
        <f>IF($H364&gt;I364, MIN($H364-I364, J364-I364)*INDEX('Key Metrics'!$E$16:$N$19,MATCH($E364,'Key Metrics'!$E$16:$E$19,0),MATCH(W$1,'Key Metrics'!$E$16:$M$16,0)),0)</f>
        <v>13268.519999999999</v>
      </c>
      <c r="X364" s="9">
        <f>IF($H364&gt;J364, MIN($H364-J364, K364-J364)*INDEX('Key Metrics'!$E$16:$N$19,MATCH($E364,'Key Metrics'!$E$16:$E$19,0),MATCH(X$1,'Key Metrics'!$E$16:$M$16,0)),0)</f>
        <v>0</v>
      </c>
      <c r="Y364" s="9">
        <f>IF($H364&gt;K364, MIN($H364-K364, L364-K364)*INDEX('Key Metrics'!$E$16:$N$19,MATCH($E364,'Key Metrics'!$E$16:$E$19,0),MATCH(Y$1,'Key Metrics'!$E$16:$M$16,0)),0)</f>
        <v>0</v>
      </c>
      <c r="Z364" s="9">
        <f>IF($H364&gt;L364,($H364-L364)*INDEX('Key Metrics'!$E$16:$N$19,MATCH($E364,'Key Metrics'!$E$16:$E$19,0),MATCH(Z$1,'Key Metrics'!$E$16:$M$16,0)),0)</f>
        <v>0</v>
      </c>
      <c r="AA364" s="9">
        <f t="shared" si="58"/>
        <v>103268.52</v>
      </c>
      <c r="AB364" s="9">
        <f t="shared" si="59"/>
        <v>103269.64285666667</v>
      </c>
    </row>
    <row r="365" spans="1:28" x14ac:dyDescent="0.55000000000000004">
      <c r="A365" t="str">
        <f t="shared" si="5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COUNTIF(deals_closed!$D$2:$D$20001,Calculations!B131)</f>
        <v>19</v>
      </c>
      <c r="H365" s="7">
        <f>SUMIF(deals_closed!$D:$D,Calculations!B131,deals_closed!$C:$C)</f>
        <v>683280</v>
      </c>
      <c r="I365" s="5">
        <f>VLOOKUP(E365,'2018_commission_structure'!$A$1:$I$4,9,FALSE)</f>
        <v>600000</v>
      </c>
      <c r="J365" s="9">
        <f t="shared" si="51"/>
        <v>750000</v>
      </c>
      <c r="K365" s="10">
        <f t="shared" si="52"/>
        <v>900000</v>
      </c>
      <c r="L365" s="9">
        <f t="shared" si="53"/>
        <v>1200000</v>
      </c>
      <c r="M365" s="8">
        <f t="shared" si="54"/>
        <v>1.1388</v>
      </c>
      <c r="N365" t="str">
        <f t="shared" si="55"/>
        <v>100-125%</v>
      </c>
      <c r="O365" s="9">
        <f>MIN($H365,$I365)*INDEX('2018_commission_structure'!$A$1:$I$4,MATCH($E365,'2018_commission_structure'!$A$1:$A$4,0),MATCH(O$1,'2018_commission_structure'!$A$1:$I$1,0))</f>
        <v>78000</v>
      </c>
      <c r="P365" s="9">
        <f>IF(H365&gt;I365, MIN(H365-I365, J365-I365)*INDEX('2018_commission_structure'!$A$1:$I$4,MATCH($E365,'2018_commission_structure'!$A$1:$A$4,0),MATCH(P$1,'2018_commission_structure'!$A$1:$I$1,0)),0)</f>
        <v>14157.6</v>
      </c>
      <c r="Q365" s="9">
        <f>IF($H365&gt;J365, MIN($H365-J365, K365-J365)*INDEX('2018_commission_structure'!$A$1:$I$4,MATCH($E365,'2018_commission_structure'!$A$1:$A$4,0),MATCH(Q$1,'2018_commission_structure'!$A$1:$I$1,0)),0)</f>
        <v>0</v>
      </c>
      <c r="R365" s="9">
        <f>IF($H365&gt;K365, MIN($H365-K365, L365-K365)*INDEX('2018_commission_structure'!$A$1:$I$4,MATCH($E365,'2018_commission_structure'!$A$1:$A$4,0),MATCH(R$1,'2018_commission_structure'!$A$1:$I$1,0)),0)</f>
        <v>0</v>
      </c>
      <c r="S365" s="9">
        <f>IF(H365&gt;L365,(H365-L365)*INDEX('2018_commission_structure'!$A$1:$I$4,MATCH($E365,'2018_commission_structure'!$A$1:$A$4,0),MATCH(S$1,'2018_commission_structure'!$A$1:$I$1,0)),0)</f>
        <v>0</v>
      </c>
      <c r="T365" s="9">
        <f t="shared" si="56"/>
        <v>92157.6</v>
      </c>
      <c r="U365" s="9">
        <f t="shared" si="57"/>
        <v>171991.6</v>
      </c>
      <c r="V365" s="9">
        <f>MIN($I365,$H365)*INDEX('Key Metrics'!$E$16:$N$19,MATCH($E365,'Key Metrics'!$E$16:$E$19,0),MATCH(V$1,'Key Metrics'!$E$16:$M$16,0))</f>
        <v>90000</v>
      </c>
      <c r="W365" s="9">
        <f>IF($H365&gt;I365, MIN($H365-I365, J365-I365)*INDEX('Key Metrics'!$E$16:$N$19,MATCH($E365,'Key Metrics'!$E$16:$E$19,0),MATCH(W$1,'Key Metrics'!$E$16:$M$16,0)),0)</f>
        <v>14990.4</v>
      </c>
      <c r="X365" s="9">
        <f>IF($H365&gt;J365, MIN($H365-J365, K365-J365)*INDEX('Key Metrics'!$E$16:$N$19,MATCH($E365,'Key Metrics'!$E$16:$E$19,0),MATCH(X$1,'Key Metrics'!$E$16:$M$16,0)),0)</f>
        <v>0</v>
      </c>
      <c r="Y365" s="9">
        <f>IF($H365&gt;K365, MIN($H365-K365, L365-K365)*INDEX('Key Metrics'!$E$16:$N$19,MATCH($E365,'Key Metrics'!$E$16:$E$19,0),MATCH(Y$1,'Key Metrics'!$E$16:$M$16,0)),0)</f>
        <v>0</v>
      </c>
      <c r="Z365" s="9">
        <f>IF($H365&gt;L365,($H365-L365)*INDEX('Key Metrics'!$E$16:$N$19,MATCH($E365,'Key Metrics'!$E$16:$E$19,0),MATCH(Z$1,'Key Metrics'!$E$16:$M$16,0)),0)</f>
        <v>0</v>
      </c>
      <c r="AA365" s="9">
        <f t="shared" si="58"/>
        <v>104990.39999999999</v>
      </c>
      <c r="AB365" s="9">
        <f t="shared" si="59"/>
        <v>104991.53879999999</v>
      </c>
    </row>
    <row r="366" spans="1:28" x14ac:dyDescent="0.55000000000000004">
      <c r="A366" t="str">
        <f t="shared" si="5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COUNTIF(deals_closed!$D$2:$D$20001,Calculations!B498)</f>
        <v>22</v>
      </c>
      <c r="H366" s="7">
        <f>SUMIF(deals_closed!$D:$D,Calculations!B498,deals_closed!$C:$C)</f>
        <v>767904</v>
      </c>
      <c r="I366" s="5">
        <f>VLOOKUP(E366,'2018_commission_structure'!$A$1:$I$4,9,FALSE)</f>
        <v>750000</v>
      </c>
      <c r="J366" s="9">
        <f t="shared" si="51"/>
        <v>937500</v>
      </c>
      <c r="K366" s="10">
        <f t="shared" si="52"/>
        <v>1125000</v>
      </c>
      <c r="L366" s="9">
        <f t="shared" si="53"/>
        <v>1500000</v>
      </c>
      <c r="M366" s="8">
        <f t="shared" si="54"/>
        <v>1.0238719999999999</v>
      </c>
      <c r="N366" t="str">
        <f t="shared" si="55"/>
        <v>100-125%</v>
      </c>
      <c r="O366" s="9">
        <f>MIN($H366,$I366)*INDEX('2018_commission_structure'!$A$1:$I$4,MATCH($E366,'2018_commission_structure'!$A$1:$A$4,0),MATCH(O$1,'2018_commission_structure'!$A$1:$I$1,0))</f>
        <v>112500</v>
      </c>
      <c r="P366" s="9">
        <f>IF(H366&gt;I366, MIN(H366-I366, J366-I366)*INDEX('2018_commission_structure'!$A$1:$I$4,MATCH($E366,'2018_commission_structure'!$A$1:$A$4,0),MATCH(P$1,'2018_commission_structure'!$A$1:$I$1,0)),0)</f>
        <v>3401.76</v>
      </c>
      <c r="Q366" s="9">
        <f>IF($H366&gt;J366, MIN($H366-J366, K366-J366)*INDEX('2018_commission_structure'!$A$1:$I$4,MATCH($E366,'2018_commission_structure'!$A$1:$A$4,0),MATCH(Q$1,'2018_commission_structure'!$A$1:$I$1,0)),0)</f>
        <v>0</v>
      </c>
      <c r="R366" s="9">
        <f>IF($H366&gt;K366, MIN($H366-K366, L366-K366)*INDEX('2018_commission_structure'!$A$1:$I$4,MATCH($E366,'2018_commission_structure'!$A$1:$A$4,0),MATCH(R$1,'2018_commission_structure'!$A$1:$I$1,0)),0)</f>
        <v>0</v>
      </c>
      <c r="S366" s="9">
        <f>IF(H366&gt;L366,(H366-L366)*INDEX('2018_commission_structure'!$A$1:$I$4,MATCH($E366,'2018_commission_structure'!$A$1:$A$4,0),MATCH(S$1,'2018_commission_structure'!$A$1:$I$1,0)),0)</f>
        <v>0</v>
      </c>
      <c r="T366" s="9">
        <f t="shared" si="56"/>
        <v>115901.75999999999</v>
      </c>
      <c r="U366" s="9">
        <f t="shared" si="57"/>
        <v>213728.76</v>
      </c>
      <c r="V366" s="9">
        <f>MIN($I366,$H366)*INDEX('Key Metrics'!$E$16:$N$19,MATCH($E366,'Key Metrics'!$E$16:$E$19,0),MATCH(V$1,'Key Metrics'!$E$16:$M$16,0))</f>
        <v>112500</v>
      </c>
      <c r="W366" s="9">
        <f>IF($H366&gt;I366, MIN($H366-I366, J366-I366)*INDEX('Key Metrics'!$E$16:$N$19,MATCH($E366,'Key Metrics'!$E$16:$E$19,0),MATCH(W$1,'Key Metrics'!$E$16:$M$16,0)),0)</f>
        <v>3938.88</v>
      </c>
      <c r="X366" s="9">
        <f>IF($H366&gt;J366, MIN($H366-J366, K366-J366)*INDEX('Key Metrics'!$E$16:$N$19,MATCH($E366,'Key Metrics'!$E$16:$E$19,0),MATCH(X$1,'Key Metrics'!$E$16:$M$16,0)),0)</f>
        <v>0</v>
      </c>
      <c r="Y366" s="9">
        <f>IF($H366&gt;K366, MIN($H366-K366, L366-K366)*INDEX('Key Metrics'!$E$16:$N$19,MATCH($E366,'Key Metrics'!$E$16:$E$19,0),MATCH(Y$1,'Key Metrics'!$E$16:$M$16,0)),0)</f>
        <v>0</v>
      </c>
      <c r="Z366" s="9">
        <f>IF($H366&gt;L366,($H366-L366)*INDEX('Key Metrics'!$E$16:$N$19,MATCH($E366,'Key Metrics'!$E$16:$E$19,0),MATCH(Z$1,'Key Metrics'!$E$16:$M$16,0)),0)</f>
        <v>0</v>
      </c>
      <c r="AA366" s="9">
        <f t="shared" si="58"/>
        <v>116438.88</v>
      </c>
      <c r="AB366" s="9">
        <f t="shared" si="59"/>
        <v>116439.90387200001</v>
      </c>
    </row>
    <row r="367" spans="1:28" x14ac:dyDescent="0.55000000000000004">
      <c r="A367" t="str">
        <f t="shared" si="5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COUNTIF(deals_closed!$D$2:$D$20001,Calculations!B968)</f>
        <v>13</v>
      </c>
      <c r="H367" s="7">
        <f>SUMIF(deals_closed!$D:$D,Calculations!B968,deals_closed!$C:$C)</f>
        <v>457093</v>
      </c>
      <c r="I367" s="5">
        <f>VLOOKUP(E367,'2018_commission_structure'!$A$1:$I$4,9,FALSE)</f>
        <v>600000</v>
      </c>
      <c r="J367" s="9">
        <f t="shared" si="51"/>
        <v>750000</v>
      </c>
      <c r="K367" s="10">
        <f t="shared" si="52"/>
        <v>900000</v>
      </c>
      <c r="L367" s="9">
        <f t="shared" si="53"/>
        <v>1200000</v>
      </c>
      <c r="M367" s="8">
        <f t="shared" si="54"/>
        <v>0.76182166666666662</v>
      </c>
      <c r="N367" t="str">
        <f t="shared" si="55"/>
        <v>0-100%</v>
      </c>
      <c r="O367" s="9">
        <f>MIN($H367,$I367)*INDEX('2018_commission_structure'!$A$1:$I$4,MATCH($E367,'2018_commission_structure'!$A$1:$A$4,0),MATCH(O$1,'2018_commission_structure'!$A$1:$I$1,0))</f>
        <v>59422.090000000004</v>
      </c>
      <c r="P367" s="9">
        <f>IF(H367&gt;I367, MIN(H367-I367, J367-I367)*INDEX('2018_commission_structure'!$A$1:$I$4,MATCH($E367,'2018_commission_structure'!$A$1:$A$4,0),MATCH(P$1,'2018_commission_structure'!$A$1:$I$1,0)),0)</f>
        <v>0</v>
      </c>
      <c r="Q367" s="9">
        <f>IF($H367&gt;J367, MIN($H367-J367, K367-J367)*INDEX('2018_commission_structure'!$A$1:$I$4,MATCH($E367,'2018_commission_structure'!$A$1:$A$4,0),MATCH(Q$1,'2018_commission_structure'!$A$1:$I$1,0)),0)</f>
        <v>0</v>
      </c>
      <c r="R367" s="9">
        <f>IF($H367&gt;K367, MIN($H367-K367, L367-K367)*INDEX('2018_commission_structure'!$A$1:$I$4,MATCH($E367,'2018_commission_structure'!$A$1:$A$4,0),MATCH(R$1,'2018_commission_structure'!$A$1:$I$1,0)),0)</f>
        <v>0</v>
      </c>
      <c r="S367" s="9">
        <f>IF(H367&gt;L367,(H367-L367)*INDEX('2018_commission_structure'!$A$1:$I$4,MATCH($E367,'2018_commission_structure'!$A$1:$A$4,0),MATCH(S$1,'2018_commission_structure'!$A$1:$I$1,0)),0)</f>
        <v>0</v>
      </c>
      <c r="T367" s="9">
        <f t="shared" si="56"/>
        <v>59422.090000000004</v>
      </c>
      <c r="U367" s="9">
        <f t="shared" si="57"/>
        <v>139189.09</v>
      </c>
      <c r="V367" s="9">
        <f>MIN($I367,$H367)*INDEX('Key Metrics'!$E$16:$N$19,MATCH($E367,'Key Metrics'!$E$16:$E$19,0),MATCH(V$1,'Key Metrics'!$E$16:$M$16,0))</f>
        <v>68563.95</v>
      </c>
      <c r="W367" s="9">
        <f>IF($H367&gt;I367, MIN($H367-I367, J367-I367)*INDEX('Key Metrics'!$E$16:$N$19,MATCH($E367,'Key Metrics'!$E$16:$E$19,0),MATCH(W$1,'Key Metrics'!$E$16:$M$16,0)),0)</f>
        <v>0</v>
      </c>
      <c r="X367" s="9">
        <f>IF($H367&gt;J367, MIN($H367-J367, K367-J367)*INDEX('Key Metrics'!$E$16:$N$19,MATCH($E367,'Key Metrics'!$E$16:$E$19,0),MATCH(X$1,'Key Metrics'!$E$16:$M$16,0)),0)</f>
        <v>0</v>
      </c>
      <c r="Y367" s="9">
        <f>IF($H367&gt;K367, MIN($H367-K367, L367-K367)*INDEX('Key Metrics'!$E$16:$N$19,MATCH($E367,'Key Metrics'!$E$16:$E$19,0),MATCH(Y$1,'Key Metrics'!$E$16:$M$16,0)),0)</f>
        <v>0</v>
      </c>
      <c r="Z367" s="9">
        <f>IF($H367&gt;L367,($H367-L367)*INDEX('Key Metrics'!$E$16:$N$19,MATCH($E367,'Key Metrics'!$E$16:$E$19,0),MATCH(Z$1,'Key Metrics'!$E$16:$M$16,0)),0)</f>
        <v>0</v>
      </c>
      <c r="AA367" s="9">
        <f t="shared" si="58"/>
        <v>68563.95</v>
      </c>
      <c r="AB367" s="9">
        <f t="shared" si="59"/>
        <v>68564.711821666657</v>
      </c>
    </row>
    <row r="368" spans="1:28" x14ac:dyDescent="0.55000000000000004">
      <c r="A368" t="str">
        <f t="shared" si="5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COUNTIF(deals_closed!$D$2:$D$20001,Calculations!B481)</f>
        <v>20</v>
      </c>
      <c r="H368" s="7">
        <f>SUMIF(deals_closed!$D:$D,Calculations!B481,deals_closed!$C:$C)</f>
        <v>730353</v>
      </c>
      <c r="I368" s="5">
        <f>VLOOKUP(E368,'2018_commission_structure'!$A$1:$I$4,9,FALSE)</f>
        <v>750000</v>
      </c>
      <c r="J368" s="9">
        <f t="shared" si="51"/>
        <v>937500</v>
      </c>
      <c r="K368" s="10">
        <f t="shared" si="52"/>
        <v>1125000</v>
      </c>
      <c r="L368" s="9">
        <f t="shared" si="53"/>
        <v>1500000</v>
      </c>
      <c r="M368" s="8">
        <f t="shared" si="54"/>
        <v>0.973804</v>
      </c>
      <c r="N368" t="str">
        <f t="shared" si="55"/>
        <v>0-100%</v>
      </c>
      <c r="O368" s="9">
        <f>MIN($H368,$I368)*INDEX('2018_commission_structure'!$A$1:$I$4,MATCH($E368,'2018_commission_structure'!$A$1:$A$4,0),MATCH(O$1,'2018_commission_structure'!$A$1:$I$1,0))</f>
        <v>109552.95</v>
      </c>
      <c r="P368" s="9">
        <f>IF(H368&gt;I368, MIN(H368-I368, J368-I368)*INDEX('2018_commission_structure'!$A$1:$I$4,MATCH($E368,'2018_commission_structure'!$A$1:$A$4,0),MATCH(P$1,'2018_commission_structure'!$A$1:$I$1,0)),0)</f>
        <v>0</v>
      </c>
      <c r="Q368" s="9">
        <f>IF($H368&gt;J368, MIN($H368-J368, K368-J368)*INDEX('2018_commission_structure'!$A$1:$I$4,MATCH($E368,'2018_commission_structure'!$A$1:$A$4,0),MATCH(Q$1,'2018_commission_structure'!$A$1:$I$1,0)),0)</f>
        <v>0</v>
      </c>
      <c r="R368" s="9">
        <f>IF($H368&gt;K368, MIN($H368-K368, L368-K368)*INDEX('2018_commission_structure'!$A$1:$I$4,MATCH($E368,'2018_commission_structure'!$A$1:$A$4,0),MATCH(R$1,'2018_commission_structure'!$A$1:$I$1,0)),0)</f>
        <v>0</v>
      </c>
      <c r="S368" s="9">
        <f>IF(H368&gt;L368,(H368-L368)*INDEX('2018_commission_structure'!$A$1:$I$4,MATCH($E368,'2018_commission_structure'!$A$1:$A$4,0),MATCH(S$1,'2018_commission_structure'!$A$1:$I$1,0)),0)</f>
        <v>0</v>
      </c>
      <c r="T368" s="9">
        <f t="shared" si="56"/>
        <v>109552.95</v>
      </c>
      <c r="U368" s="9">
        <f t="shared" si="57"/>
        <v>224223.95</v>
      </c>
      <c r="V368" s="9">
        <f>MIN($I368,$H368)*INDEX('Key Metrics'!$E$16:$N$19,MATCH($E368,'Key Metrics'!$E$16:$E$19,0),MATCH(V$1,'Key Metrics'!$E$16:$M$16,0))</f>
        <v>109552.95</v>
      </c>
      <c r="W368" s="9">
        <f>IF($H368&gt;I368, MIN($H368-I368, J368-I368)*INDEX('Key Metrics'!$E$16:$N$19,MATCH($E368,'Key Metrics'!$E$16:$E$19,0),MATCH(W$1,'Key Metrics'!$E$16:$M$16,0)),0)</f>
        <v>0</v>
      </c>
      <c r="X368" s="9">
        <f>IF($H368&gt;J368, MIN($H368-J368, K368-J368)*INDEX('Key Metrics'!$E$16:$N$19,MATCH($E368,'Key Metrics'!$E$16:$E$19,0),MATCH(X$1,'Key Metrics'!$E$16:$M$16,0)),0)</f>
        <v>0</v>
      </c>
      <c r="Y368" s="9">
        <f>IF($H368&gt;K368, MIN($H368-K368, L368-K368)*INDEX('Key Metrics'!$E$16:$N$19,MATCH($E368,'Key Metrics'!$E$16:$E$19,0),MATCH(Y$1,'Key Metrics'!$E$16:$M$16,0)),0)</f>
        <v>0</v>
      </c>
      <c r="Z368" s="9">
        <f>IF($H368&gt;L368,($H368-L368)*INDEX('Key Metrics'!$E$16:$N$19,MATCH($E368,'Key Metrics'!$E$16:$E$19,0),MATCH(Z$1,'Key Metrics'!$E$16:$M$16,0)),0)</f>
        <v>0</v>
      </c>
      <c r="AA368" s="9">
        <f t="shared" si="58"/>
        <v>109552.95</v>
      </c>
      <c r="AB368" s="9">
        <f t="shared" si="59"/>
        <v>109553.92380399999</v>
      </c>
    </row>
    <row r="369" spans="1:28" x14ac:dyDescent="0.55000000000000004">
      <c r="A369" t="str">
        <f t="shared" si="5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COUNTIF(deals_closed!$D$2:$D$20001,Calculations!B6)</f>
        <v>18</v>
      </c>
      <c r="H369" s="7">
        <f>SUMIF(deals_closed!$D:$D,Calculations!B6,deals_closed!$C:$C)</f>
        <v>714034</v>
      </c>
      <c r="I369" s="5">
        <f>VLOOKUP(E369,'2018_commission_structure'!$A$1:$I$4,9,FALSE)</f>
        <v>750000</v>
      </c>
      <c r="J369" s="9">
        <f t="shared" si="51"/>
        <v>937500</v>
      </c>
      <c r="K369" s="10">
        <f t="shared" si="52"/>
        <v>1125000</v>
      </c>
      <c r="L369" s="9">
        <f t="shared" si="53"/>
        <v>1500000</v>
      </c>
      <c r="M369" s="8">
        <f t="shared" si="54"/>
        <v>0.9520453333333333</v>
      </c>
      <c r="N369" t="str">
        <f t="shared" si="55"/>
        <v>0-100%</v>
      </c>
      <c r="O369" s="9">
        <f>MIN($H369,$I369)*INDEX('2018_commission_structure'!$A$1:$I$4,MATCH($E369,'2018_commission_structure'!$A$1:$A$4,0),MATCH(O$1,'2018_commission_structure'!$A$1:$I$1,0))</f>
        <v>107105.09999999999</v>
      </c>
      <c r="P369" s="9">
        <f>IF(H369&gt;I369, MIN(H369-I369, J369-I369)*INDEX('2018_commission_structure'!$A$1:$I$4,MATCH($E369,'2018_commission_structure'!$A$1:$A$4,0),MATCH(P$1,'2018_commission_structure'!$A$1:$I$1,0)),0)</f>
        <v>0</v>
      </c>
      <c r="Q369" s="9">
        <f>IF($H369&gt;J369, MIN($H369-J369, K369-J369)*INDEX('2018_commission_structure'!$A$1:$I$4,MATCH($E369,'2018_commission_structure'!$A$1:$A$4,0),MATCH(Q$1,'2018_commission_structure'!$A$1:$I$1,0)),0)</f>
        <v>0</v>
      </c>
      <c r="R369" s="9">
        <f>IF($H369&gt;K369, MIN($H369-K369, L369-K369)*INDEX('2018_commission_structure'!$A$1:$I$4,MATCH($E369,'2018_commission_structure'!$A$1:$A$4,0),MATCH(R$1,'2018_commission_structure'!$A$1:$I$1,0)),0)</f>
        <v>0</v>
      </c>
      <c r="S369" s="9">
        <f>IF(H369&gt;L369,(H369-L369)*INDEX('2018_commission_structure'!$A$1:$I$4,MATCH($E369,'2018_commission_structure'!$A$1:$A$4,0),MATCH(S$1,'2018_commission_structure'!$A$1:$I$1,0)),0)</f>
        <v>0</v>
      </c>
      <c r="T369" s="9">
        <f t="shared" si="56"/>
        <v>107105.09999999999</v>
      </c>
      <c r="U369" s="9">
        <f t="shared" si="57"/>
        <v>188536.09999999998</v>
      </c>
      <c r="V369" s="9">
        <f>MIN($I369,$H369)*INDEX('Key Metrics'!$E$16:$N$19,MATCH($E369,'Key Metrics'!$E$16:$E$19,0),MATCH(V$1,'Key Metrics'!$E$16:$M$16,0))</f>
        <v>107105.09999999999</v>
      </c>
      <c r="W369" s="9">
        <f>IF($H369&gt;I369, MIN($H369-I369, J369-I369)*INDEX('Key Metrics'!$E$16:$N$19,MATCH($E369,'Key Metrics'!$E$16:$E$19,0),MATCH(W$1,'Key Metrics'!$E$16:$M$16,0)),0)</f>
        <v>0</v>
      </c>
      <c r="X369" s="9">
        <f>IF($H369&gt;J369, MIN($H369-J369, K369-J369)*INDEX('Key Metrics'!$E$16:$N$19,MATCH($E369,'Key Metrics'!$E$16:$E$19,0),MATCH(X$1,'Key Metrics'!$E$16:$M$16,0)),0)</f>
        <v>0</v>
      </c>
      <c r="Y369" s="9">
        <f>IF($H369&gt;K369, MIN($H369-K369, L369-K369)*INDEX('Key Metrics'!$E$16:$N$19,MATCH($E369,'Key Metrics'!$E$16:$E$19,0),MATCH(Y$1,'Key Metrics'!$E$16:$M$16,0)),0)</f>
        <v>0</v>
      </c>
      <c r="Z369" s="9">
        <f>IF($H369&gt;L369,($H369-L369)*INDEX('Key Metrics'!$E$16:$N$19,MATCH($E369,'Key Metrics'!$E$16:$E$19,0),MATCH(Z$1,'Key Metrics'!$E$16:$M$16,0)),0)</f>
        <v>0</v>
      </c>
      <c r="AA369" s="9">
        <f t="shared" si="58"/>
        <v>107105.09999999999</v>
      </c>
      <c r="AB369" s="9">
        <f t="shared" si="59"/>
        <v>107106.05204533333</v>
      </c>
    </row>
    <row r="370" spans="1:28" x14ac:dyDescent="0.55000000000000004">
      <c r="A370" t="str">
        <f t="shared" si="5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COUNTIF(deals_closed!$D$2:$D$20001,Calculations!B571)</f>
        <v>19</v>
      </c>
      <c r="H370" s="7">
        <f>SUMIF(deals_closed!$D:$D,Calculations!B571,deals_closed!$C:$C)</f>
        <v>788591</v>
      </c>
      <c r="I370" s="5">
        <f>VLOOKUP(E370,'2018_commission_structure'!$A$1:$I$4,9,FALSE)</f>
        <v>600000</v>
      </c>
      <c r="J370" s="9">
        <f t="shared" si="51"/>
        <v>750000</v>
      </c>
      <c r="K370" s="10">
        <f t="shared" si="52"/>
        <v>900000</v>
      </c>
      <c r="L370" s="9">
        <f t="shared" si="53"/>
        <v>1200000</v>
      </c>
      <c r="M370" s="8">
        <f t="shared" si="54"/>
        <v>1.3143183333333333</v>
      </c>
      <c r="N370" t="str">
        <f t="shared" si="55"/>
        <v>125-150%</v>
      </c>
      <c r="O370" s="9">
        <f>MIN($H370,$I370)*INDEX('2018_commission_structure'!$A$1:$I$4,MATCH($E370,'2018_commission_structure'!$A$1:$A$4,0),MATCH(O$1,'2018_commission_structure'!$A$1:$I$1,0))</f>
        <v>78000</v>
      </c>
      <c r="P370" s="9">
        <f>IF(H370&gt;I370, MIN(H370-I370, J370-I370)*INDEX('2018_commission_structure'!$A$1:$I$4,MATCH($E370,'2018_commission_structure'!$A$1:$A$4,0),MATCH(P$1,'2018_commission_structure'!$A$1:$I$1,0)),0)</f>
        <v>25500.000000000004</v>
      </c>
      <c r="Q370" s="9">
        <f>IF($H370&gt;J370, MIN($H370-J370, K370-J370)*INDEX('2018_commission_structure'!$A$1:$I$4,MATCH($E370,'2018_commission_structure'!$A$1:$A$4,0),MATCH(Q$1,'2018_commission_structure'!$A$1:$I$1,0)),0)</f>
        <v>8104.11</v>
      </c>
      <c r="R370" s="9">
        <f>IF($H370&gt;K370, MIN($H370-K370, L370-K370)*INDEX('2018_commission_structure'!$A$1:$I$4,MATCH($E370,'2018_commission_structure'!$A$1:$A$4,0),MATCH(R$1,'2018_commission_structure'!$A$1:$I$1,0)),0)</f>
        <v>0</v>
      </c>
      <c r="S370" s="9">
        <f>IF(H370&gt;L370,(H370-L370)*INDEX('2018_commission_structure'!$A$1:$I$4,MATCH($E370,'2018_commission_structure'!$A$1:$A$4,0),MATCH(S$1,'2018_commission_structure'!$A$1:$I$1,0)),0)</f>
        <v>0</v>
      </c>
      <c r="T370" s="9">
        <f t="shared" si="56"/>
        <v>111604.11</v>
      </c>
      <c r="U370" s="9">
        <f t="shared" si="57"/>
        <v>172605.11</v>
      </c>
      <c r="V370" s="9">
        <f>MIN($I370,$H370)*INDEX('Key Metrics'!$E$16:$N$19,MATCH($E370,'Key Metrics'!$E$16:$E$19,0),MATCH(V$1,'Key Metrics'!$E$16:$M$16,0))</f>
        <v>90000</v>
      </c>
      <c r="W370" s="9">
        <f>IF($H370&gt;I370, MIN($H370-I370, J370-I370)*INDEX('Key Metrics'!$E$16:$N$19,MATCH($E370,'Key Metrics'!$E$16:$E$19,0),MATCH(W$1,'Key Metrics'!$E$16:$M$16,0)),0)</f>
        <v>27000</v>
      </c>
      <c r="X370" s="9">
        <f>IF($H370&gt;J370, MIN($H370-J370, K370-J370)*INDEX('Key Metrics'!$E$16:$N$19,MATCH($E370,'Key Metrics'!$E$16:$E$19,0),MATCH(X$1,'Key Metrics'!$E$16:$M$16,0)),0)</f>
        <v>9647.75</v>
      </c>
      <c r="Y370" s="9">
        <f>IF($H370&gt;K370, MIN($H370-K370, L370-K370)*INDEX('Key Metrics'!$E$16:$N$19,MATCH($E370,'Key Metrics'!$E$16:$E$19,0),MATCH(Y$1,'Key Metrics'!$E$16:$M$16,0)),0)</f>
        <v>0</v>
      </c>
      <c r="Z370" s="9">
        <f>IF($H370&gt;L370,($H370-L370)*INDEX('Key Metrics'!$E$16:$N$19,MATCH($E370,'Key Metrics'!$E$16:$E$19,0),MATCH(Z$1,'Key Metrics'!$E$16:$M$16,0)),0)</f>
        <v>0</v>
      </c>
      <c r="AA370" s="9">
        <f t="shared" si="58"/>
        <v>126647.75</v>
      </c>
      <c r="AB370" s="9">
        <f t="shared" si="59"/>
        <v>126649.06431833333</v>
      </c>
    </row>
    <row r="371" spans="1:28" x14ac:dyDescent="0.55000000000000004">
      <c r="A371" t="str">
        <f t="shared" si="5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COUNTIF(deals_closed!$D$2:$D$20001,Calculations!B558)</f>
        <v>17</v>
      </c>
      <c r="H371" s="7">
        <f>SUMIF(deals_closed!$D:$D,Calculations!B558,deals_closed!$C:$C)</f>
        <v>496536</v>
      </c>
      <c r="I371" s="5">
        <f>VLOOKUP(E371,'2018_commission_structure'!$A$1:$I$4,9,FALSE)</f>
        <v>600000</v>
      </c>
      <c r="J371" s="9">
        <f t="shared" si="51"/>
        <v>750000</v>
      </c>
      <c r="K371" s="10">
        <f t="shared" si="52"/>
        <v>900000</v>
      </c>
      <c r="L371" s="9">
        <f t="shared" si="53"/>
        <v>1200000</v>
      </c>
      <c r="M371" s="8">
        <f t="shared" si="54"/>
        <v>0.82755999999999996</v>
      </c>
      <c r="N371" t="str">
        <f t="shared" si="55"/>
        <v>0-100%</v>
      </c>
      <c r="O371" s="9">
        <f>MIN($H371,$I371)*INDEX('2018_commission_structure'!$A$1:$I$4,MATCH($E371,'2018_commission_structure'!$A$1:$A$4,0),MATCH(O$1,'2018_commission_structure'!$A$1:$I$1,0))</f>
        <v>64549.68</v>
      </c>
      <c r="P371" s="9">
        <f>IF(H371&gt;I371, MIN(H371-I371, J371-I371)*INDEX('2018_commission_structure'!$A$1:$I$4,MATCH($E371,'2018_commission_structure'!$A$1:$A$4,0),MATCH(P$1,'2018_commission_structure'!$A$1:$I$1,0)),0)</f>
        <v>0</v>
      </c>
      <c r="Q371" s="9">
        <f>IF($H371&gt;J371, MIN($H371-J371, K371-J371)*INDEX('2018_commission_structure'!$A$1:$I$4,MATCH($E371,'2018_commission_structure'!$A$1:$A$4,0),MATCH(Q$1,'2018_commission_structure'!$A$1:$I$1,0)),0)</f>
        <v>0</v>
      </c>
      <c r="R371" s="9">
        <f>IF($H371&gt;K371, MIN($H371-K371, L371-K371)*INDEX('2018_commission_structure'!$A$1:$I$4,MATCH($E371,'2018_commission_structure'!$A$1:$A$4,0),MATCH(R$1,'2018_commission_structure'!$A$1:$I$1,0)),0)</f>
        <v>0</v>
      </c>
      <c r="S371" s="9">
        <f>IF(H371&gt;L371,(H371-L371)*INDEX('2018_commission_structure'!$A$1:$I$4,MATCH($E371,'2018_commission_structure'!$A$1:$A$4,0),MATCH(S$1,'2018_commission_structure'!$A$1:$I$1,0)),0)</f>
        <v>0</v>
      </c>
      <c r="T371" s="9">
        <f t="shared" si="56"/>
        <v>64549.68</v>
      </c>
      <c r="U371" s="9">
        <f t="shared" si="57"/>
        <v>141352.68</v>
      </c>
      <c r="V371" s="9">
        <f>MIN($I371,$H371)*INDEX('Key Metrics'!$E$16:$N$19,MATCH($E371,'Key Metrics'!$E$16:$E$19,0),MATCH(V$1,'Key Metrics'!$E$16:$M$16,0))</f>
        <v>74480.399999999994</v>
      </c>
      <c r="W371" s="9">
        <f>IF($H371&gt;I371, MIN($H371-I371, J371-I371)*INDEX('Key Metrics'!$E$16:$N$19,MATCH($E371,'Key Metrics'!$E$16:$E$19,0),MATCH(W$1,'Key Metrics'!$E$16:$M$16,0)),0)</f>
        <v>0</v>
      </c>
      <c r="X371" s="9">
        <f>IF($H371&gt;J371, MIN($H371-J371, K371-J371)*INDEX('Key Metrics'!$E$16:$N$19,MATCH($E371,'Key Metrics'!$E$16:$E$19,0),MATCH(X$1,'Key Metrics'!$E$16:$M$16,0)),0)</f>
        <v>0</v>
      </c>
      <c r="Y371" s="9">
        <f>IF($H371&gt;K371, MIN($H371-K371, L371-K371)*INDEX('Key Metrics'!$E$16:$N$19,MATCH($E371,'Key Metrics'!$E$16:$E$19,0),MATCH(Y$1,'Key Metrics'!$E$16:$M$16,0)),0)</f>
        <v>0</v>
      </c>
      <c r="Z371" s="9">
        <f>IF($H371&gt;L371,($H371-L371)*INDEX('Key Metrics'!$E$16:$N$19,MATCH($E371,'Key Metrics'!$E$16:$E$19,0),MATCH(Z$1,'Key Metrics'!$E$16:$M$16,0)),0)</f>
        <v>0</v>
      </c>
      <c r="AA371" s="9">
        <f t="shared" si="58"/>
        <v>74480.399999999994</v>
      </c>
      <c r="AB371" s="9">
        <f t="shared" si="59"/>
        <v>74481.227559999999</v>
      </c>
    </row>
    <row r="372" spans="1:28" x14ac:dyDescent="0.55000000000000004">
      <c r="A372" t="str">
        <f t="shared" si="5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COUNTIF(deals_closed!$D$2:$D$20001,Calculations!B568)</f>
        <v>24</v>
      </c>
      <c r="H372" s="7">
        <f>SUMIF(deals_closed!$D:$D,Calculations!B568,deals_closed!$C:$C)</f>
        <v>920165</v>
      </c>
      <c r="I372" s="5">
        <f>VLOOKUP(E372,'2018_commission_structure'!$A$1:$I$4,9,FALSE)</f>
        <v>600000</v>
      </c>
      <c r="J372" s="9">
        <f t="shared" si="51"/>
        <v>750000</v>
      </c>
      <c r="K372" s="10">
        <f t="shared" si="52"/>
        <v>900000</v>
      </c>
      <c r="L372" s="9">
        <f t="shared" si="53"/>
        <v>1200000</v>
      </c>
      <c r="M372" s="8">
        <f t="shared" si="54"/>
        <v>1.5336083333333332</v>
      </c>
      <c r="N372" t="str">
        <f t="shared" si="55"/>
        <v>150-200%</v>
      </c>
      <c r="O372" s="9">
        <f>MIN($H372,$I372)*INDEX('2018_commission_structure'!$A$1:$I$4,MATCH($E372,'2018_commission_structure'!$A$1:$A$4,0),MATCH(O$1,'2018_commission_structure'!$A$1:$I$1,0))</f>
        <v>78000</v>
      </c>
      <c r="P372" s="9">
        <f>IF(H372&gt;I372, MIN(H372-I372, J372-I372)*INDEX('2018_commission_structure'!$A$1:$I$4,MATCH($E372,'2018_commission_structure'!$A$1:$A$4,0),MATCH(P$1,'2018_commission_structure'!$A$1:$I$1,0)),0)</f>
        <v>25500.000000000004</v>
      </c>
      <c r="Q372" s="9">
        <f>IF($H372&gt;J372, MIN($H372-J372, K372-J372)*INDEX('2018_commission_structure'!$A$1:$I$4,MATCH($E372,'2018_commission_structure'!$A$1:$A$4,0),MATCH(Q$1,'2018_commission_structure'!$A$1:$I$1,0)),0)</f>
        <v>31500</v>
      </c>
      <c r="R372" s="9">
        <f>IF($H372&gt;K372, MIN($H372-K372, L372-K372)*INDEX('2018_commission_structure'!$A$1:$I$4,MATCH($E372,'2018_commission_structure'!$A$1:$A$4,0),MATCH(R$1,'2018_commission_structure'!$A$1:$I$1,0)),0)</f>
        <v>5242.9000000000005</v>
      </c>
      <c r="S372" s="9">
        <f>IF(H372&gt;L372,(H372-L372)*INDEX('2018_commission_structure'!$A$1:$I$4,MATCH($E372,'2018_commission_structure'!$A$1:$A$4,0),MATCH(S$1,'2018_commission_structure'!$A$1:$I$1,0)),0)</f>
        <v>0</v>
      </c>
      <c r="T372" s="9">
        <f t="shared" si="56"/>
        <v>140242.9</v>
      </c>
      <c r="U372" s="9">
        <f t="shared" si="57"/>
        <v>217329.9</v>
      </c>
      <c r="V372" s="9">
        <f>MIN($I372,$H372)*INDEX('Key Metrics'!$E$16:$N$19,MATCH($E372,'Key Metrics'!$E$16:$E$19,0),MATCH(V$1,'Key Metrics'!$E$16:$M$16,0))</f>
        <v>90000</v>
      </c>
      <c r="W372" s="9">
        <f>IF($H372&gt;I372, MIN($H372-I372, J372-I372)*INDEX('Key Metrics'!$E$16:$N$19,MATCH($E372,'Key Metrics'!$E$16:$E$19,0),MATCH(W$1,'Key Metrics'!$E$16:$M$16,0)),0)</f>
        <v>27000</v>
      </c>
      <c r="X372" s="9">
        <f>IF($H372&gt;J372, MIN($H372-J372, K372-J372)*INDEX('Key Metrics'!$E$16:$N$19,MATCH($E372,'Key Metrics'!$E$16:$E$19,0),MATCH(X$1,'Key Metrics'!$E$16:$M$16,0)),0)</f>
        <v>37500</v>
      </c>
      <c r="Y372" s="9">
        <f>IF($H372&gt;K372, MIN($H372-K372, L372-K372)*INDEX('Key Metrics'!$E$16:$N$19,MATCH($E372,'Key Metrics'!$E$16:$E$19,0),MATCH(Y$1,'Key Metrics'!$E$16:$M$16,0)),0)</f>
        <v>6049.5</v>
      </c>
      <c r="Z372" s="9">
        <f>IF($H372&gt;L372,($H372-L372)*INDEX('Key Metrics'!$E$16:$N$19,MATCH($E372,'Key Metrics'!$E$16:$E$19,0),MATCH(Z$1,'Key Metrics'!$E$16:$M$16,0)),0)</f>
        <v>0</v>
      </c>
      <c r="AA372" s="9">
        <f t="shared" si="58"/>
        <v>160549.5</v>
      </c>
      <c r="AB372" s="9">
        <f t="shared" si="59"/>
        <v>160551.03360833332</v>
      </c>
    </row>
    <row r="373" spans="1:28" x14ac:dyDescent="0.55000000000000004">
      <c r="A373" t="str">
        <f t="shared" si="5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COUNTIF(deals_closed!$D$2:$D$20001,Calculations!B372)</f>
        <v>21</v>
      </c>
      <c r="H373" s="7">
        <f>SUMIF(deals_closed!$D:$D,Calculations!B372,deals_closed!$C:$C)</f>
        <v>805766</v>
      </c>
      <c r="I373" s="5">
        <f>VLOOKUP(E373,'2018_commission_structure'!$A$1:$I$4,9,FALSE)</f>
        <v>750000</v>
      </c>
      <c r="J373" s="9">
        <f t="shared" si="51"/>
        <v>937500</v>
      </c>
      <c r="K373" s="10">
        <f t="shared" si="52"/>
        <v>1125000</v>
      </c>
      <c r="L373" s="9">
        <f t="shared" si="53"/>
        <v>1500000</v>
      </c>
      <c r="M373" s="8">
        <f t="shared" si="54"/>
        <v>1.0743546666666666</v>
      </c>
      <c r="N373" t="str">
        <f t="shared" si="55"/>
        <v>100-125%</v>
      </c>
      <c r="O373" s="9">
        <f>MIN($H373,$I373)*INDEX('2018_commission_structure'!$A$1:$I$4,MATCH($E373,'2018_commission_structure'!$A$1:$A$4,0),MATCH(O$1,'2018_commission_structure'!$A$1:$I$1,0))</f>
        <v>112500</v>
      </c>
      <c r="P373" s="9">
        <f>IF(H373&gt;I373, MIN(H373-I373, J373-I373)*INDEX('2018_commission_structure'!$A$1:$I$4,MATCH($E373,'2018_commission_structure'!$A$1:$A$4,0),MATCH(P$1,'2018_commission_structure'!$A$1:$I$1,0)),0)</f>
        <v>10595.54</v>
      </c>
      <c r="Q373" s="9">
        <f>IF($H373&gt;J373, MIN($H373-J373, K373-J373)*INDEX('2018_commission_structure'!$A$1:$I$4,MATCH($E373,'2018_commission_structure'!$A$1:$A$4,0),MATCH(Q$1,'2018_commission_structure'!$A$1:$I$1,0)),0)</f>
        <v>0</v>
      </c>
      <c r="R373" s="9">
        <f>IF($H373&gt;K373, MIN($H373-K373, L373-K373)*INDEX('2018_commission_structure'!$A$1:$I$4,MATCH($E373,'2018_commission_structure'!$A$1:$A$4,0),MATCH(R$1,'2018_commission_structure'!$A$1:$I$1,0)),0)</f>
        <v>0</v>
      </c>
      <c r="S373" s="9">
        <f>IF(H373&gt;L373,(H373-L373)*INDEX('2018_commission_structure'!$A$1:$I$4,MATCH($E373,'2018_commission_structure'!$A$1:$A$4,0),MATCH(S$1,'2018_commission_structure'!$A$1:$I$1,0)),0)</f>
        <v>0</v>
      </c>
      <c r="T373" s="9">
        <f t="shared" si="56"/>
        <v>123095.54000000001</v>
      </c>
      <c r="U373" s="9">
        <f t="shared" si="57"/>
        <v>211820.54</v>
      </c>
      <c r="V373" s="9">
        <f>MIN($I373,$H373)*INDEX('Key Metrics'!$E$16:$N$19,MATCH($E373,'Key Metrics'!$E$16:$E$19,0),MATCH(V$1,'Key Metrics'!$E$16:$M$16,0))</f>
        <v>112500</v>
      </c>
      <c r="W373" s="9">
        <f>IF($H373&gt;I373, MIN($H373-I373, J373-I373)*INDEX('Key Metrics'!$E$16:$N$19,MATCH($E373,'Key Metrics'!$E$16:$E$19,0),MATCH(W$1,'Key Metrics'!$E$16:$M$16,0)),0)</f>
        <v>12268.52</v>
      </c>
      <c r="X373" s="9">
        <f>IF($H373&gt;J373, MIN($H373-J373, K373-J373)*INDEX('Key Metrics'!$E$16:$N$19,MATCH($E373,'Key Metrics'!$E$16:$E$19,0),MATCH(X$1,'Key Metrics'!$E$16:$M$16,0)),0)</f>
        <v>0</v>
      </c>
      <c r="Y373" s="9">
        <f>IF($H373&gt;K373, MIN($H373-K373, L373-K373)*INDEX('Key Metrics'!$E$16:$N$19,MATCH($E373,'Key Metrics'!$E$16:$E$19,0),MATCH(Y$1,'Key Metrics'!$E$16:$M$16,0)),0)</f>
        <v>0</v>
      </c>
      <c r="Z373" s="9">
        <f>IF($H373&gt;L373,($H373-L373)*INDEX('Key Metrics'!$E$16:$N$19,MATCH($E373,'Key Metrics'!$E$16:$E$19,0),MATCH(Z$1,'Key Metrics'!$E$16:$M$16,0)),0)</f>
        <v>0</v>
      </c>
      <c r="AA373" s="9">
        <f t="shared" si="58"/>
        <v>124768.52</v>
      </c>
      <c r="AB373" s="9">
        <f t="shared" si="59"/>
        <v>124769.59435466667</v>
      </c>
    </row>
    <row r="374" spans="1:28" x14ac:dyDescent="0.55000000000000004">
      <c r="A374" t="str">
        <f t="shared" si="5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COUNTIF(deals_closed!$D$2:$D$20001,Calculations!B458)</f>
        <v>20</v>
      </c>
      <c r="H374" s="7">
        <f>SUMIF(deals_closed!$D:$D,Calculations!B458,deals_closed!$C:$C)</f>
        <v>830753</v>
      </c>
      <c r="I374" s="5">
        <f>VLOOKUP(E374,'2018_commission_structure'!$A$1:$I$4,9,FALSE)</f>
        <v>750000</v>
      </c>
      <c r="J374" s="9">
        <f t="shared" si="51"/>
        <v>937500</v>
      </c>
      <c r="K374" s="10">
        <f t="shared" si="52"/>
        <v>1125000</v>
      </c>
      <c r="L374" s="9">
        <f t="shared" si="53"/>
        <v>1500000</v>
      </c>
      <c r="M374" s="8">
        <f t="shared" si="54"/>
        <v>1.1076706666666667</v>
      </c>
      <c r="N374" t="str">
        <f t="shared" si="55"/>
        <v>100-125%</v>
      </c>
      <c r="O374" s="9">
        <f>MIN($H374,$I374)*INDEX('2018_commission_structure'!$A$1:$I$4,MATCH($E374,'2018_commission_structure'!$A$1:$A$4,0),MATCH(O$1,'2018_commission_structure'!$A$1:$I$1,0))</f>
        <v>112500</v>
      </c>
      <c r="P374" s="9">
        <f>IF(H374&gt;I374, MIN(H374-I374, J374-I374)*INDEX('2018_commission_structure'!$A$1:$I$4,MATCH($E374,'2018_commission_structure'!$A$1:$A$4,0),MATCH(P$1,'2018_commission_structure'!$A$1:$I$1,0)),0)</f>
        <v>15343.07</v>
      </c>
      <c r="Q374" s="9">
        <f>IF($H374&gt;J374, MIN($H374-J374, K374-J374)*INDEX('2018_commission_structure'!$A$1:$I$4,MATCH($E374,'2018_commission_structure'!$A$1:$A$4,0),MATCH(Q$1,'2018_commission_structure'!$A$1:$I$1,0)),0)</f>
        <v>0</v>
      </c>
      <c r="R374" s="9">
        <f>IF($H374&gt;K374, MIN($H374-K374, L374-K374)*INDEX('2018_commission_structure'!$A$1:$I$4,MATCH($E374,'2018_commission_structure'!$A$1:$A$4,0),MATCH(R$1,'2018_commission_structure'!$A$1:$I$1,0)),0)</f>
        <v>0</v>
      </c>
      <c r="S374" s="9">
        <f>IF(H374&gt;L374,(H374-L374)*INDEX('2018_commission_structure'!$A$1:$I$4,MATCH($E374,'2018_commission_structure'!$A$1:$A$4,0),MATCH(S$1,'2018_commission_structure'!$A$1:$I$1,0)),0)</f>
        <v>0</v>
      </c>
      <c r="T374" s="9">
        <f t="shared" si="56"/>
        <v>127843.07</v>
      </c>
      <c r="U374" s="9">
        <f t="shared" si="57"/>
        <v>224771.07</v>
      </c>
      <c r="V374" s="9">
        <f>MIN($I374,$H374)*INDEX('Key Metrics'!$E$16:$N$19,MATCH($E374,'Key Metrics'!$E$16:$E$19,0),MATCH(V$1,'Key Metrics'!$E$16:$M$16,0))</f>
        <v>112500</v>
      </c>
      <c r="W374" s="9">
        <f>IF($H374&gt;I374, MIN($H374-I374, J374-I374)*INDEX('Key Metrics'!$E$16:$N$19,MATCH($E374,'Key Metrics'!$E$16:$E$19,0),MATCH(W$1,'Key Metrics'!$E$16:$M$16,0)),0)</f>
        <v>17765.66</v>
      </c>
      <c r="X374" s="9">
        <f>IF($H374&gt;J374, MIN($H374-J374, K374-J374)*INDEX('Key Metrics'!$E$16:$N$19,MATCH($E374,'Key Metrics'!$E$16:$E$19,0),MATCH(X$1,'Key Metrics'!$E$16:$M$16,0)),0)</f>
        <v>0</v>
      </c>
      <c r="Y374" s="9">
        <f>IF($H374&gt;K374, MIN($H374-K374, L374-K374)*INDEX('Key Metrics'!$E$16:$N$19,MATCH($E374,'Key Metrics'!$E$16:$E$19,0),MATCH(Y$1,'Key Metrics'!$E$16:$M$16,0)),0)</f>
        <v>0</v>
      </c>
      <c r="Z374" s="9">
        <f>IF($H374&gt;L374,($H374-L374)*INDEX('Key Metrics'!$E$16:$N$19,MATCH($E374,'Key Metrics'!$E$16:$E$19,0),MATCH(Z$1,'Key Metrics'!$E$16:$M$16,0)),0)</f>
        <v>0</v>
      </c>
      <c r="AA374" s="9">
        <f t="shared" si="58"/>
        <v>130265.66</v>
      </c>
      <c r="AB374" s="9">
        <f t="shared" si="59"/>
        <v>130266.76767066667</v>
      </c>
    </row>
    <row r="375" spans="1:28" x14ac:dyDescent="0.55000000000000004">
      <c r="A375" t="str">
        <f t="shared" si="5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COUNTIF(deals_closed!$D$2:$D$20001,Calculations!B862)</f>
        <v>20</v>
      </c>
      <c r="H375" s="7">
        <f>SUMIF(deals_closed!$D:$D,Calculations!B862,deals_closed!$C:$C)</f>
        <v>787996</v>
      </c>
      <c r="I375" s="5">
        <f>VLOOKUP(E375,'2018_commission_structure'!$A$1:$I$4,9,FALSE)</f>
        <v>750000</v>
      </c>
      <c r="J375" s="9">
        <f t="shared" si="51"/>
        <v>937500</v>
      </c>
      <c r="K375" s="10">
        <f t="shared" si="52"/>
        <v>1125000</v>
      </c>
      <c r="L375" s="9">
        <f t="shared" si="53"/>
        <v>1500000</v>
      </c>
      <c r="M375" s="8">
        <f t="shared" si="54"/>
        <v>1.0506613333333332</v>
      </c>
      <c r="N375" t="str">
        <f t="shared" si="55"/>
        <v>100-125%</v>
      </c>
      <c r="O375" s="9">
        <f>MIN($H375,$I375)*INDEX('2018_commission_structure'!$A$1:$I$4,MATCH($E375,'2018_commission_structure'!$A$1:$A$4,0),MATCH(O$1,'2018_commission_structure'!$A$1:$I$1,0))</f>
        <v>112500</v>
      </c>
      <c r="P375" s="9">
        <f>IF(H375&gt;I375, MIN(H375-I375, J375-I375)*INDEX('2018_commission_structure'!$A$1:$I$4,MATCH($E375,'2018_commission_structure'!$A$1:$A$4,0),MATCH(P$1,'2018_commission_structure'!$A$1:$I$1,0)),0)</f>
        <v>7219.24</v>
      </c>
      <c r="Q375" s="9">
        <f>IF($H375&gt;J375, MIN($H375-J375, K375-J375)*INDEX('2018_commission_structure'!$A$1:$I$4,MATCH($E375,'2018_commission_structure'!$A$1:$A$4,0),MATCH(Q$1,'2018_commission_structure'!$A$1:$I$1,0)),0)</f>
        <v>0</v>
      </c>
      <c r="R375" s="9">
        <f>IF($H375&gt;K375, MIN($H375-K375, L375-K375)*INDEX('2018_commission_structure'!$A$1:$I$4,MATCH($E375,'2018_commission_structure'!$A$1:$A$4,0),MATCH(R$1,'2018_commission_structure'!$A$1:$I$1,0)),0)</f>
        <v>0</v>
      </c>
      <c r="S375" s="9">
        <f>IF(H375&gt;L375,(H375-L375)*INDEX('2018_commission_structure'!$A$1:$I$4,MATCH($E375,'2018_commission_structure'!$A$1:$A$4,0),MATCH(S$1,'2018_commission_structure'!$A$1:$I$1,0)),0)</f>
        <v>0</v>
      </c>
      <c r="T375" s="9">
        <f t="shared" si="56"/>
        <v>119719.24</v>
      </c>
      <c r="U375" s="9">
        <f t="shared" si="57"/>
        <v>236754.24</v>
      </c>
      <c r="V375" s="9">
        <f>MIN($I375,$H375)*INDEX('Key Metrics'!$E$16:$N$19,MATCH($E375,'Key Metrics'!$E$16:$E$19,0),MATCH(V$1,'Key Metrics'!$E$16:$M$16,0))</f>
        <v>112500</v>
      </c>
      <c r="W375" s="9">
        <f>IF($H375&gt;I375, MIN($H375-I375, J375-I375)*INDEX('Key Metrics'!$E$16:$N$19,MATCH($E375,'Key Metrics'!$E$16:$E$19,0),MATCH(W$1,'Key Metrics'!$E$16:$M$16,0)),0)</f>
        <v>8359.1200000000008</v>
      </c>
      <c r="X375" s="9">
        <f>IF($H375&gt;J375, MIN($H375-J375, K375-J375)*INDEX('Key Metrics'!$E$16:$N$19,MATCH($E375,'Key Metrics'!$E$16:$E$19,0),MATCH(X$1,'Key Metrics'!$E$16:$M$16,0)),0)</f>
        <v>0</v>
      </c>
      <c r="Y375" s="9">
        <f>IF($H375&gt;K375, MIN($H375-K375, L375-K375)*INDEX('Key Metrics'!$E$16:$N$19,MATCH($E375,'Key Metrics'!$E$16:$E$19,0),MATCH(Y$1,'Key Metrics'!$E$16:$M$16,0)),0)</f>
        <v>0</v>
      </c>
      <c r="Z375" s="9">
        <f>IF($H375&gt;L375,($H375-L375)*INDEX('Key Metrics'!$E$16:$N$19,MATCH($E375,'Key Metrics'!$E$16:$E$19,0),MATCH(Z$1,'Key Metrics'!$E$16:$M$16,0)),0)</f>
        <v>0</v>
      </c>
      <c r="AA375" s="9">
        <f t="shared" si="58"/>
        <v>120859.12</v>
      </c>
      <c r="AB375" s="9">
        <f t="shared" si="59"/>
        <v>120860.17066133332</v>
      </c>
    </row>
    <row r="376" spans="1:28" x14ac:dyDescent="0.55000000000000004">
      <c r="A376" t="str">
        <f t="shared" si="5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COUNTIF(deals_closed!$D$2:$D$20001,Calculations!B254)</f>
        <v>21</v>
      </c>
      <c r="H376" s="7">
        <f>SUMIF(deals_closed!$D:$D,Calculations!B254,deals_closed!$C:$C)</f>
        <v>704311</v>
      </c>
      <c r="I376" s="5">
        <f>VLOOKUP(E376,'2018_commission_structure'!$A$1:$I$4,9,FALSE)</f>
        <v>500000</v>
      </c>
      <c r="J376" s="9">
        <f t="shared" si="51"/>
        <v>625000</v>
      </c>
      <c r="K376" s="10">
        <f t="shared" si="52"/>
        <v>750000</v>
      </c>
      <c r="L376" s="9">
        <f t="shared" si="53"/>
        <v>1000000</v>
      </c>
      <c r="M376" s="8">
        <f t="shared" si="54"/>
        <v>1.408622</v>
      </c>
      <c r="N376" t="str">
        <f t="shared" si="55"/>
        <v>125-150%</v>
      </c>
      <c r="O376" s="9">
        <f>MIN($H376,$I376)*INDEX('2018_commission_structure'!$A$1:$I$4,MATCH($E376,'2018_commission_structure'!$A$1:$A$4,0),MATCH(O$1,'2018_commission_structure'!$A$1:$I$1,0))</f>
        <v>50000</v>
      </c>
      <c r="P376" s="9">
        <f>IF(H376&gt;I376, MIN(H376-I376, J376-I376)*INDEX('2018_commission_structure'!$A$1:$I$4,MATCH($E376,'2018_commission_structure'!$A$1:$A$4,0),MATCH(P$1,'2018_commission_structure'!$A$1:$I$1,0)),0)</f>
        <v>18750</v>
      </c>
      <c r="Q376" s="9">
        <f>IF($H376&gt;J376, MIN($H376-J376, K376-J376)*INDEX('2018_commission_structure'!$A$1:$I$4,MATCH($E376,'2018_commission_structure'!$A$1:$A$4,0),MATCH(Q$1,'2018_commission_structure'!$A$1:$I$1,0)),0)</f>
        <v>14275.98</v>
      </c>
      <c r="R376" s="9">
        <f>IF($H376&gt;K376, MIN($H376-K376, L376-K376)*INDEX('2018_commission_structure'!$A$1:$I$4,MATCH($E376,'2018_commission_structure'!$A$1:$A$4,0),MATCH(R$1,'2018_commission_structure'!$A$1:$I$1,0)),0)</f>
        <v>0</v>
      </c>
      <c r="S376" s="9">
        <f>IF(H376&gt;L376,(H376-L376)*INDEX('2018_commission_structure'!$A$1:$I$4,MATCH($E376,'2018_commission_structure'!$A$1:$A$4,0),MATCH(S$1,'2018_commission_structure'!$A$1:$I$1,0)),0)</f>
        <v>0</v>
      </c>
      <c r="T376" s="9">
        <f t="shared" si="56"/>
        <v>83025.98</v>
      </c>
      <c r="U376" s="9">
        <f t="shared" si="57"/>
        <v>115133.98</v>
      </c>
      <c r="V376" s="9">
        <f>MIN($I376,$H376)*INDEX('Key Metrics'!$E$16:$N$19,MATCH($E376,'Key Metrics'!$E$16:$E$19,0),MATCH(V$1,'Key Metrics'!$E$16:$M$16,0))</f>
        <v>60000</v>
      </c>
      <c r="W376" s="9">
        <f>IF($H376&gt;I376, MIN($H376-I376, J376-I376)*INDEX('Key Metrics'!$E$16:$N$19,MATCH($E376,'Key Metrics'!$E$16:$E$19,0),MATCH(W$1,'Key Metrics'!$E$16:$M$16,0)),0)</f>
        <v>21250</v>
      </c>
      <c r="X376" s="9">
        <f>IF($H376&gt;J376, MIN($H376-J376, K376-J376)*INDEX('Key Metrics'!$E$16:$N$19,MATCH($E376,'Key Metrics'!$E$16:$E$19,0),MATCH(X$1,'Key Metrics'!$E$16:$M$16,0)),0)</f>
        <v>15862.2</v>
      </c>
      <c r="Y376" s="9">
        <f>IF($H376&gt;K376, MIN($H376-K376, L376-K376)*INDEX('Key Metrics'!$E$16:$N$19,MATCH($E376,'Key Metrics'!$E$16:$E$19,0),MATCH(Y$1,'Key Metrics'!$E$16:$M$16,0)),0)</f>
        <v>0</v>
      </c>
      <c r="Z376" s="9">
        <f>IF($H376&gt;L376,($H376-L376)*INDEX('Key Metrics'!$E$16:$N$19,MATCH($E376,'Key Metrics'!$E$16:$E$19,0),MATCH(Z$1,'Key Metrics'!$E$16:$M$16,0)),0)</f>
        <v>0</v>
      </c>
      <c r="AA376" s="9">
        <f t="shared" si="58"/>
        <v>97112.2</v>
      </c>
      <c r="AB376" s="9">
        <f t="shared" si="59"/>
        <v>97113.608622</v>
      </c>
    </row>
    <row r="377" spans="1:28" x14ac:dyDescent="0.55000000000000004">
      <c r="A377" t="str">
        <f t="shared" si="5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COUNTIF(deals_closed!$D$2:$D$20001,Calculations!B67)</f>
        <v>17</v>
      </c>
      <c r="H377" s="7">
        <f>SUMIF(deals_closed!$D:$D,Calculations!B67,deals_closed!$C:$C)</f>
        <v>596808</v>
      </c>
      <c r="I377" s="5">
        <f>VLOOKUP(E377,'2018_commission_structure'!$A$1:$I$4,9,FALSE)</f>
        <v>600000</v>
      </c>
      <c r="J377" s="9">
        <f t="shared" si="51"/>
        <v>750000</v>
      </c>
      <c r="K377" s="10">
        <f t="shared" si="52"/>
        <v>900000</v>
      </c>
      <c r="L377" s="9">
        <f t="shared" si="53"/>
        <v>1200000</v>
      </c>
      <c r="M377" s="8">
        <f t="shared" si="54"/>
        <v>0.99468000000000001</v>
      </c>
      <c r="N377" t="str">
        <f t="shared" si="55"/>
        <v>0-100%</v>
      </c>
      <c r="O377" s="9">
        <f>MIN($H377,$I377)*INDEX('2018_commission_structure'!$A$1:$I$4,MATCH($E377,'2018_commission_structure'!$A$1:$A$4,0),MATCH(O$1,'2018_commission_structure'!$A$1:$I$1,0))</f>
        <v>77585.040000000008</v>
      </c>
      <c r="P377" s="9">
        <f>IF(H377&gt;I377, MIN(H377-I377, J377-I377)*INDEX('2018_commission_structure'!$A$1:$I$4,MATCH($E377,'2018_commission_structure'!$A$1:$A$4,0),MATCH(P$1,'2018_commission_structure'!$A$1:$I$1,0)),0)</f>
        <v>0</v>
      </c>
      <c r="Q377" s="9">
        <f>IF($H377&gt;J377, MIN($H377-J377, K377-J377)*INDEX('2018_commission_structure'!$A$1:$I$4,MATCH($E377,'2018_commission_structure'!$A$1:$A$4,0),MATCH(Q$1,'2018_commission_structure'!$A$1:$I$1,0)),0)</f>
        <v>0</v>
      </c>
      <c r="R377" s="9">
        <f>IF($H377&gt;K377, MIN($H377-K377, L377-K377)*INDEX('2018_commission_structure'!$A$1:$I$4,MATCH($E377,'2018_commission_structure'!$A$1:$A$4,0),MATCH(R$1,'2018_commission_structure'!$A$1:$I$1,0)),0)</f>
        <v>0</v>
      </c>
      <c r="S377" s="9">
        <f>IF(H377&gt;L377,(H377-L377)*INDEX('2018_commission_structure'!$A$1:$I$4,MATCH($E377,'2018_commission_structure'!$A$1:$A$4,0),MATCH(S$1,'2018_commission_structure'!$A$1:$I$1,0)),0)</f>
        <v>0</v>
      </c>
      <c r="T377" s="9">
        <f t="shared" si="56"/>
        <v>77585.040000000008</v>
      </c>
      <c r="U377" s="9">
        <f t="shared" si="57"/>
        <v>135386.04</v>
      </c>
      <c r="V377" s="9">
        <f>MIN($I377,$H377)*INDEX('Key Metrics'!$E$16:$N$19,MATCH($E377,'Key Metrics'!$E$16:$E$19,0),MATCH(V$1,'Key Metrics'!$E$16:$M$16,0))</f>
        <v>89521.2</v>
      </c>
      <c r="W377" s="9">
        <f>IF($H377&gt;I377, MIN($H377-I377, J377-I377)*INDEX('Key Metrics'!$E$16:$N$19,MATCH($E377,'Key Metrics'!$E$16:$E$19,0),MATCH(W$1,'Key Metrics'!$E$16:$M$16,0)),0)</f>
        <v>0</v>
      </c>
      <c r="X377" s="9">
        <f>IF($H377&gt;J377, MIN($H377-J377, K377-J377)*INDEX('Key Metrics'!$E$16:$N$19,MATCH($E377,'Key Metrics'!$E$16:$E$19,0),MATCH(X$1,'Key Metrics'!$E$16:$M$16,0)),0)</f>
        <v>0</v>
      </c>
      <c r="Y377" s="9">
        <f>IF($H377&gt;K377, MIN($H377-K377, L377-K377)*INDEX('Key Metrics'!$E$16:$N$19,MATCH($E377,'Key Metrics'!$E$16:$E$19,0),MATCH(Y$1,'Key Metrics'!$E$16:$M$16,0)),0)</f>
        <v>0</v>
      </c>
      <c r="Z377" s="9">
        <f>IF($H377&gt;L377,($H377-L377)*INDEX('Key Metrics'!$E$16:$N$19,MATCH($E377,'Key Metrics'!$E$16:$E$19,0),MATCH(Z$1,'Key Metrics'!$E$16:$M$16,0)),0)</f>
        <v>0</v>
      </c>
      <c r="AA377" s="9">
        <f t="shared" si="58"/>
        <v>89521.2</v>
      </c>
      <c r="AB377" s="9">
        <f t="shared" si="59"/>
        <v>89522.194680000001</v>
      </c>
    </row>
    <row r="378" spans="1:28" x14ac:dyDescent="0.55000000000000004">
      <c r="A378" t="str">
        <f t="shared" si="5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COUNTIF(deals_closed!$D$2:$D$20001,Calculations!B135)</f>
        <v>16</v>
      </c>
      <c r="H378" s="7">
        <f>SUMIF(deals_closed!$D:$D,Calculations!B135,deals_closed!$C:$C)</f>
        <v>642284</v>
      </c>
      <c r="I378" s="5">
        <f>VLOOKUP(E378,'2018_commission_structure'!$A$1:$I$4,9,FALSE)</f>
        <v>750000</v>
      </c>
      <c r="J378" s="9">
        <f t="shared" si="51"/>
        <v>937500</v>
      </c>
      <c r="K378" s="10">
        <f t="shared" si="52"/>
        <v>1125000</v>
      </c>
      <c r="L378" s="9">
        <f t="shared" si="53"/>
        <v>1500000</v>
      </c>
      <c r="M378" s="8">
        <f t="shared" si="54"/>
        <v>0.85637866666666662</v>
      </c>
      <c r="N378" t="str">
        <f t="shared" si="55"/>
        <v>0-100%</v>
      </c>
      <c r="O378" s="9">
        <f>MIN($H378,$I378)*INDEX('2018_commission_structure'!$A$1:$I$4,MATCH($E378,'2018_commission_structure'!$A$1:$A$4,0),MATCH(O$1,'2018_commission_structure'!$A$1:$I$1,0))</f>
        <v>96342.599999999991</v>
      </c>
      <c r="P378" s="9">
        <f>IF(H378&gt;I378, MIN(H378-I378, J378-I378)*INDEX('2018_commission_structure'!$A$1:$I$4,MATCH($E378,'2018_commission_structure'!$A$1:$A$4,0),MATCH(P$1,'2018_commission_structure'!$A$1:$I$1,0)),0)</f>
        <v>0</v>
      </c>
      <c r="Q378" s="9">
        <f>IF($H378&gt;J378, MIN($H378-J378, K378-J378)*INDEX('2018_commission_structure'!$A$1:$I$4,MATCH($E378,'2018_commission_structure'!$A$1:$A$4,0),MATCH(Q$1,'2018_commission_structure'!$A$1:$I$1,0)),0)</f>
        <v>0</v>
      </c>
      <c r="R378" s="9">
        <f>IF($H378&gt;K378, MIN($H378-K378, L378-K378)*INDEX('2018_commission_structure'!$A$1:$I$4,MATCH($E378,'2018_commission_structure'!$A$1:$A$4,0),MATCH(R$1,'2018_commission_structure'!$A$1:$I$1,0)),0)</f>
        <v>0</v>
      </c>
      <c r="S378" s="9">
        <f>IF(H378&gt;L378,(H378-L378)*INDEX('2018_commission_structure'!$A$1:$I$4,MATCH($E378,'2018_commission_structure'!$A$1:$A$4,0),MATCH(S$1,'2018_commission_structure'!$A$1:$I$1,0)),0)</f>
        <v>0</v>
      </c>
      <c r="T378" s="9">
        <f t="shared" si="56"/>
        <v>96342.599999999991</v>
      </c>
      <c r="U378" s="9">
        <f t="shared" si="57"/>
        <v>185933.59999999998</v>
      </c>
      <c r="V378" s="9">
        <f>MIN($I378,$H378)*INDEX('Key Metrics'!$E$16:$N$19,MATCH($E378,'Key Metrics'!$E$16:$E$19,0),MATCH(V$1,'Key Metrics'!$E$16:$M$16,0))</f>
        <v>96342.599999999991</v>
      </c>
      <c r="W378" s="9">
        <f>IF($H378&gt;I378, MIN($H378-I378, J378-I378)*INDEX('Key Metrics'!$E$16:$N$19,MATCH($E378,'Key Metrics'!$E$16:$E$19,0),MATCH(W$1,'Key Metrics'!$E$16:$M$16,0)),0)</f>
        <v>0</v>
      </c>
      <c r="X378" s="9">
        <f>IF($H378&gt;J378, MIN($H378-J378, K378-J378)*INDEX('Key Metrics'!$E$16:$N$19,MATCH($E378,'Key Metrics'!$E$16:$E$19,0),MATCH(X$1,'Key Metrics'!$E$16:$M$16,0)),0)</f>
        <v>0</v>
      </c>
      <c r="Y378" s="9">
        <f>IF($H378&gt;K378, MIN($H378-K378, L378-K378)*INDEX('Key Metrics'!$E$16:$N$19,MATCH($E378,'Key Metrics'!$E$16:$E$19,0),MATCH(Y$1,'Key Metrics'!$E$16:$M$16,0)),0)</f>
        <v>0</v>
      </c>
      <c r="Z378" s="9">
        <f>IF($H378&gt;L378,($H378-L378)*INDEX('Key Metrics'!$E$16:$N$19,MATCH($E378,'Key Metrics'!$E$16:$E$19,0),MATCH(Z$1,'Key Metrics'!$E$16:$M$16,0)),0)</f>
        <v>0</v>
      </c>
      <c r="AA378" s="9">
        <f t="shared" si="58"/>
        <v>96342.599999999991</v>
      </c>
      <c r="AB378" s="9">
        <f t="shared" si="59"/>
        <v>96343.456378666655</v>
      </c>
    </row>
    <row r="379" spans="1:28" x14ac:dyDescent="0.55000000000000004">
      <c r="A379" t="str">
        <f t="shared" si="5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COUNTIF(deals_closed!$D$2:$D$20001,Calculations!B508)</f>
        <v>24</v>
      </c>
      <c r="H379" s="7">
        <f>SUMIF(deals_closed!$D:$D,Calculations!B508,deals_closed!$C:$C)</f>
        <v>955328</v>
      </c>
      <c r="I379" s="5">
        <f>VLOOKUP(E379,'2018_commission_structure'!$A$1:$I$4,9,FALSE)</f>
        <v>750000</v>
      </c>
      <c r="J379" s="9">
        <f t="shared" si="51"/>
        <v>937500</v>
      </c>
      <c r="K379" s="10">
        <f t="shared" si="52"/>
        <v>1125000</v>
      </c>
      <c r="L379" s="9">
        <f t="shared" si="53"/>
        <v>1500000</v>
      </c>
      <c r="M379" s="8">
        <f t="shared" si="54"/>
        <v>1.2737706666666666</v>
      </c>
      <c r="N379" t="str">
        <f t="shared" si="55"/>
        <v>125-150%</v>
      </c>
      <c r="O379" s="9">
        <f>MIN($H379,$I379)*INDEX('2018_commission_structure'!$A$1:$I$4,MATCH($E379,'2018_commission_structure'!$A$1:$A$4,0),MATCH(O$1,'2018_commission_structure'!$A$1:$I$1,0))</f>
        <v>112500</v>
      </c>
      <c r="P379" s="9">
        <f>IF(H379&gt;I379, MIN(H379-I379, J379-I379)*INDEX('2018_commission_structure'!$A$1:$I$4,MATCH($E379,'2018_commission_structure'!$A$1:$A$4,0),MATCH(P$1,'2018_commission_structure'!$A$1:$I$1,0)),0)</f>
        <v>35625</v>
      </c>
      <c r="Q379" s="9">
        <f>IF($H379&gt;J379, MIN($H379-J379, K379-J379)*INDEX('2018_commission_structure'!$A$1:$I$4,MATCH($E379,'2018_commission_structure'!$A$1:$A$4,0),MATCH(Q$1,'2018_commission_structure'!$A$1:$I$1,0)),0)</f>
        <v>4100.4400000000005</v>
      </c>
      <c r="R379" s="9">
        <f>IF($H379&gt;K379, MIN($H379-K379, L379-K379)*INDEX('2018_commission_structure'!$A$1:$I$4,MATCH($E379,'2018_commission_structure'!$A$1:$A$4,0),MATCH(R$1,'2018_commission_structure'!$A$1:$I$1,0)),0)</f>
        <v>0</v>
      </c>
      <c r="S379" s="9">
        <f>IF(H379&gt;L379,(H379-L379)*INDEX('2018_commission_structure'!$A$1:$I$4,MATCH($E379,'2018_commission_structure'!$A$1:$A$4,0),MATCH(S$1,'2018_commission_structure'!$A$1:$I$1,0)),0)</f>
        <v>0</v>
      </c>
      <c r="T379" s="9">
        <f t="shared" si="56"/>
        <v>152225.44</v>
      </c>
      <c r="U379" s="9">
        <f t="shared" si="57"/>
        <v>262121.44</v>
      </c>
      <c r="V379" s="9">
        <f>MIN($I379,$H379)*INDEX('Key Metrics'!$E$16:$N$19,MATCH($E379,'Key Metrics'!$E$16:$E$19,0),MATCH(V$1,'Key Metrics'!$E$16:$M$16,0))</f>
        <v>112500</v>
      </c>
      <c r="W379" s="9">
        <f>IF($H379&gt;I379, MIN($H379-I379, J379-I379)*INDEX('Key Metrics'!$E$16:$N$19,MATCH($E379,'Key Metrics'!$E$16:$E$19,0),MATCH(W$1,'Key Metrics'!$E$16:$M$16,0)),0)</f>
        <v>41250</v>
      </c>
      <c r="X379" s="9">
        <f>IF($H379&gt;J379, MIN($H379-J379, K379-J379)*INDEX('Key Metrics'!$E$16:$N$19,MATCH($E379,'Key Metrics'!$E$16:$E$19,0),MATCH(X$1,'Key Metrics'!$E$16:$M$16,0)),0)</f>
        <v>4457</v>
      </c>
      <c r="Y379" s="9">
        <f>IF($H379&gt;K379, MIN($H379-K379, L379-K379)*INDEX('Key Metrics'!$E$16:$N$19,MATCH($E379,'Key Metrics'!$E$16:$E$19,0),MATCH(Y$1,'Key Metrics'!$E$16:$M$16,0)),0)</f>
        <v>0</v>
      </c>
      <c r="Z379" s="9">
        <f>IF($H379&gt;L379,($H379-L379)*INDEX('Key Metrics'!$E$16:$N$19,MATCH($E379,'Key Metrics'!$E$16:$E$19,0),MATCH(Z$1,'Key Metrics'!$E$16:$M$16,0)),0)</f>
        <v>0</v>
      </c>
      <c r="AA379" s="9">
        <f t="shared" si="58"/>
        <v>158207</v>
      </c>
      <c r="AB379" s="9">
        <f t="shared" si="59"/>
        <v>158208.27377066665</v>
      </c>
    </row>
    <row r="380" spans="1:28" x14ac:dyDescent="0.55000000000000004">
      <c r="A380" t="str">
        <f t="shared" si="5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COUNTIF(deals_closed!$D$2:$D$20001,Calculations!B328)</f>
        <v>14</v>
      </c>
      <c r="H380" s="7">
        <f>SUMIF(deals_closed!$D:$D,Calculations!B328,deals_closed!$C:$C)</f>
        <v>518943</v>
      </c>
      <c r="I380" s="5">
        <f>VLOOKUP(E380,'2018_commission_structure'!$A$1:$I$4,9,FALSE)</f>
        <v>750000</v>
      </c>
      <c r="J380" s="9">
        <f t="shared" si="51"/>
        <v>937500</v>
      </c>
      <c r="K380" s="10">
        <f t="shared" si="52"/>
        <v>1125000</v>
      </c>
      <c r="L380" s="9">
        <f t="shared" si="53"/>
        <v>1500000</v>
      </c>
      <c r="M380" s="8">
        <f t="shared" si="54"/>
        <v>0.69192399999999998</v>
      </c>
      <c r="N380" t="str">
        <f t="shared" si="55"/>
        <v>0-100%</v>
      </c>
      <c r="O380" s="9">
        <f>MIN($H380,$I380)*INDEX('2018_commission_structure'!$A$1:$I$4,MATCH($E380,'2018_commission_structure'!$A$1:$A$4,0),MATCH(O$1,'2018_commission_structure'!$A$1:$I$1,0))</f>
        <v>77841.45</v>
      </c>
      <c r="P380" s="9">
        <f>IF(H380&gt;I380, MIN(H380-I380, J380-I380)*INDEX('2018_commission_structure'!$A$1:$I$4,MATCH($E380,'2018_commission_structure'!$A$1:$A$4,0),MATCH(P$1,'2018_commission_structure'!$A$1:$I$1,0)),0)</f>
        <v>0</v>
      </c>
      <c r="Q380" s="9">
        <f>IF($H380&gt;J380, MIN($H380-J380, K380-J380)*INDEX('2018_commission_structure'!$A$1:$I$4,MATCH($E380,'2018_commission_structure'!$A$1:$A$4,0),MATCH(Q$1,'2018_commission_structure'!$A$1:$I$1,0)),0)</f>
        <v>0</v>
      </c>
      <c r="R380" s="9">
        <f>IF($H380&gt;K380, MIN($H380-K380, L380-K380)*INDEX('2018_commission_structure'!$A$1:$I$4,MATCH($E380,'2018_commission_structure'!$A$1:$A$4,0),MATCH(R$1,'2018_commission_structure'!$A$1:$I$1,0)),0)</f>
        <v>0</v>
      </c>
      <c r="S380" s="9">
        <f>IF(H380&gt;L380,(H380-L380)*INDEX('2018_commission_structure'!$A$1:$I$4,MATCH($E380,'2018_commission_structure'!$A$1:$A$4,0),MATCH(S$1,'2018_commission_structure'!$A$1:$I$1,0)),0)</f>
        <v>0</v>
      </c>
      <c r="T380" s="9">
        <f t="shared" si="56"/>
        <v>77841.45</v>
      </c>
      <c r="U380" s="9">
        <f t="shared" si="57"/>
        <v>187391.45</v>
      </c>
      <c r="V380" s="9">
        <f>MIN($I380,$H380)*INDEX('Key Metrics'!$E$16:$N$19,MATCH($E380,'Key Metrics'!$E$16:$E$19,0),MATCH(V$1,'Key Metrics'!$E$16:$M$16,0))</f>
        <v>77841.45</v>
      </c>
      <c r="W380" s="9">
        <f>IF($H380&gt;I380, MIN($H380-I380, J380-I380)*INDEX('Key Metrics'!$E$16:$N$19,MATCH($E380,'Key Metrics'!$E$16:$E$19,0),MATCH(W$1,'Key Metrics'!$E$16:$M$16,0)),0)</f>
        <v>0</v>
      </c>
      <c r="X380" s="9">
        <f>IF($H380&gt;J380, MIN($H380-J380, K380-J380)*INDEX('Key Metrics'!$E$16:$N$19,MATCH($E380,'Key Metrics'!$E$16:$E$19,0),MATCH(X$1,'Key Metrics'!$E$16:$M$16,0)),0)</f>
        <v>0</v>
      </c>
      <c r="Y380" s="9">
        <f>IF($H380&gt;K380, MIN($H380-K380, L380-K380)*INDEX('Key Metrics'!$E$16:$N$19,MATCH($E380,'Key Metrics'!$E$16:$E$19,0),MATCH(Y$1,'Key Metrics'!$E$16:$M$16,0)),0)</f>
        <v>0</v>
      </c>
      <c r="Z380" s="9">
        <f>IF($H380&gt;L380,($H380-L380)*INDEX('Key Metrics'!$E$16:$N$19,MATCH($E380,'Key Metrics'!$E$16:$E$19,0),MATCH(Z$1,'Key Metrics'!$E$16:$M$16,0)),0)</f>
        <v>0</v>
      </c>
      <c r="AA380" s="9">
        <f t="shared" si="58"/>
        <v>77841.45</v>
      </c>
      <c r="AB380" s="9">
        <f t="shared" si="59"/>
        <v>77842.141923999996</v>
      </c>
    </row>
    <row r="381" spans="1:28" x14ac:dyDescent="0.55000000000000004">
      <c r="A381" t="str">
        <f t="shared" si="5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COUNTIF(deals_closed!$D$2:$D$20001,Calculations!B619)</f>
        <v>17</v>
      </c>
      <c r="H381" s="7">
        <f>SUMIF(deals_closed!$D:$D,Calculations!B619,deals_closed!$C:$C)</f>
        <v>791364</v>
      </c>
      <c r="I381" s="5">
        <f>VLOOKUP(E381,'2018_commission_structure'!$A$1:$I$4,9,FALSE)</f>
        <v>600000</v>
      </c>
      <c r="J381" s="9">
        <f t="shared" si="51"/>
        <v>750000</v>
      </c>
      <c r="K381" s="10">
        <f t="shared" si="52"/>
        <v>900000</v>
      </c>
      <c r="L381" s="9">
        <f t="shared" si="53"/>
        <v>1200000</v>
      </c>
      <c r="M381" s="8">
        <f t="shared" si="54"/>
        <v>1.31894</v>
      </c>
      <c r="N381" t="str">
        <f t="shared" si="55"/>
        <v>125-150%</v>
      </c>
      <c r="O381" s="9">
        <f>MIN($H381,$I381)*INDEX('2018_commission_structure'!$A$1:$I$4,MATCH($E381,'2018_commission_structure'!$A$1:$A$4,0),MATCH(O$1,'2018_commission_structure'!$A$1:$I$1,0))</f>
        <v>78000</v>
      </c>
      <c r="P381" s="9">
        <f>IF(H381&gt;I381, MIN(H381-I381, J381-I381)*INDEX('2018_commission_structure'!$A$1:$I$4,MATCH($E381,'2018_commission_structure'!$A$1:$A$4,0),MATCH(P$1,'2018_commission_structure'!$A$1:$I$1,0)),0)</f>
        <v>25500.000000000004</v>
      </c>
      <c r="Q381" s="9">
        <f>IF($H381&gt;J381, MIN($H381-J381, K381-J381)*INDEX('2018_commission_structure'!$A$1:$I$4,MATCH($E381,'2018_commission_structure'!$A$1:$A$4,0),MATCH(Q$1,'2018_commission_structure'!$A$1:$I$1,0)),0)</f>
        <v>8686.44</v>
      </c>
      <c r="R381" s="9">
        <f>IF($H381&gt;K381, MIN($H381-K381, L381-K381)*INDEX('2018_commission_structure'!$A$1:$I$4,MATCH($E381,'2018_commission_structure'!$A$1:$A$4,0),MATCH(R$1,'2018_commission_structure'!$A$1:$I$1,0)),0)</f>
        <v>0</v>
      </c>
      <c r="S381" s="9">
        <f>IF(H381&gt;L381,(H381-L381)*INDEX('2018_commission_structure'!$A$1:$I$4,MATCH($E381,'2018_commission_structure'!$A$1:$A$4,0),MATCH(S$1,'2018_commission_structure'!$A$1:$I$1,0)),0)</f>
        <v>0</v>
      </c>
      <c r="T381" s="9">
        <f t="shared" si="56"/>
        <v>112186.44</v>
      </c>
      <c r="U381" s="9">
        <f t="shared" si="57"/>
        <v>178022.44</v>
      </c>
      <c r="V381" s="9">
        <f>MIN($I381,$H381)*INDEX('Key Metrics'!$E$16:$N$19,MATCH($E381,'Key Metrics'!$E$16:$E$19,0),MATCH(V$1,'Key Metrics'!$E$16:$M$16,0))</f>
        <v>90000</v>
      </c>
      <c r="W381" s="9">
        <f>IF($H381&gt;I381, MIN($H381-I381, J381-I381)*INDEX('Key Metrics'!$E$16:$N$19,MATCH($E381,'Key Metrics'!$E$16:$E$19,0),MATCH(W$1,'Key Metrics'!$E$16:$M$16,0)),0)</f>
        <v>27000</v>
      </c>
      <c r="X381" s="9">
        <f>IF($H381&gt;J381, MIN($H381-J381, K381-J381)*INDEX('Key Metrics'!$E$16:$N$19,MATCH($E381,'Key Metrics'!$E$16:$E$19,0),MATCH(X$1,'Key Metrics'!$E$16:$M$16,0)),0)</f>
        <v>10341</v>
      </c>
      <c r="Y381" s="9">
        <f>IF($H381&gt;K381, MIN($H381-K381, L381-K381)*INDEX('Key Metrics'!$E$16:$N$19,MATCH($E381,'Key Metrics'!$E$16:$E$19,0),MATCH(Y$1,'Key Metrics'!$E$16:$M$16,0)),0)</f>
        <v>0</v>
      </c>
      <c r="Z381" s="9">
        <f>IF($H381&gt;L381,($H381-L381)*INDEX('Key Metrics'!$E$16:$N$19,MATCH($E381,'Key Metrics'!$E$16:$E$19,0),MATCH(Z$1,'Key Metrics'!$E$16:$M$16,0)),0)</f>
        <v>0</v>
      </c>
      <c r="AA381" s="9">
        <f t="shared" si="58"/>
        <v>127341</v>
      </c>
      <c r="AB381" s="9">
        <f t="shared" si="59"/>
        <v>127342.31894</v>
      </c>
    </row>
    <row r="382" spans="1:28" x14ac:dyDescent="0.55000000000000004">
      <c r="A382" t="str">
        <f t="shared" si="5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COUNTIF(deals_closed!$D$2:$D$20001,Calculations!B247)</f>
        <v>14</v>
      </c>
      <c r="H382" s="7">
        <f>SUMIF(deals_closed!$D:$D,Calculations!B247,deals_closed!$C:$C)</f>
        <v>483097</v>
      </c>
      <c r="I382" s="5">
        <f>VLOOKUP(E382,'2018_commission_structure'!$A$1:$I$4,9,FALSE)</f>
        <v>600000</v>
      </c>
      <c r="J382" s="9">
        <f t="shared" si="51"/>
        <v>750000</v>
      </c>
      <c r="K382" s="10">
        <f t="shared" si="52"/>
        <v>900000</v>
      </c>
      <c r="L382" s="9">
        <f t="shared" si="53"/>
        <v>1200000</v>
      </c>
      <c r="M382" s="8">
        <f t="shared" si="54"/>
        <v>0.80516166666666666</v>
      </c>
      <c r="N382" t="str">
        <f t="shared" si="55"/>
        <v>0-100%</v>
      </c>
      <c r="O382" s="9">
        <f>MIN($H382,$I382)*INDEX('2018_commission_structure'!$A$1:$I$4,MATCH($E382,'2018_commission_structure'!$A$1:$A$4,0),MATCH(O$1,'2018_commission_structure'!$A$1:$I$1,0))</f>
        <v>62802.61</v>
      </c>
      <c r="P382" s="9">
        <f>IF(H382&gt;I382, MIN(H382-I382, J382-I382)*INDEX('2018_commission_structure'!$A$1:$I$4,MATCH($E382,'2018_commission_structure'!$A$1:$A$4,0),MATCH(P$1,'2018_commission_structure'!$A$1:$I$1,0)),0)</f>
        <v>0</v>
      </c>
      <c r="Q382" s="9">
        <f>IF($H382&gt;J382, MIN($H382-J382, K382-J382)*INDEX('2018_commission_structure'!$A$1:$I$4,MATCH($E382,'2018_commission_structure'!$A$1:$A$4,0),MATCH(Q$1,'2018_commission_structure'!$A$1:$I$1,0)),0)</f>
        <v>0</v>
      </c>
      <c r="R382" s="9">
        <f>IF($H382&gt;K382, MIN($H382-K382, L382-K382)*INDEX('2018_commission_structure'!$A$1:$I$4,MATCH($E382,'2018_commission_structure'!$A$1:$A$4,0),MATCH(R$1,'2018_commission_structure'!$A$1:$I$1,0)),0)</f>
        <v>0</v>
      </c>
      <c r="S382" s="9">
        <f>IF(H382&gt;L382,(H382-L382)*INDEX('2018_commission_structure'!$A$1:$I$4,MATCH($E382,'2018_commission_structure'!$A$1:$A$4,0),MATCH(S$1,'2018_commission_structure'!$A$1:$I$1,0)),0)</f>
        <v>0</v>
      </c>
      <c r="T382" s="9">
        <f t="shared" si="56"/>
        <v>62802.61</v>
      </c>
      <c r="U382" s="9">
        <f t="shared" si="57"/>
        <v>126699.61</v>
      </c>
      <c r="V382" s="9">
        <f>MIN($I382,$H382)*INDEX('Key Metrics'!$E$16:$N$19,MATCH($E382,'Key Metrics'!$E$16:$E$19,0),MATCH(V$1,'Key Metrics'!$E$16:$M$16,0))</f>
        <v>72464.55</v>
      </c>
      <c r="W382" s="9">
        <f>IF($H382&gt;I382, MIN($H382-I382, J382-I382)*INDEX('Key Metrics'!$E$16:$N$19,MATCH($E382,'Key Metrics'!$E$16:$E$19,0),MATCH(W$1,'Key Metrics'!$E$16:$M$16,0)),0)</f>
        <v>0</v>
      </c>
      <c r="X382" s="9">
        <f>IF($H382&gt;J382, MIN($H382-J382, K382-J382)*INDEX('Key Metrics'!$E$16:$N$19,MATCH($E382,'Key Metrics'!$E$16:$E$19,0),MATCH(X$1,'Key Metrics'!$E$16:$M$16,0)),0)</f>
        <v>0</v>
      </c>
      <c r="Y382" s="9">
        <f>IF($H382&gt;K382, MIN($H382-K382, L382-K382)*INDEX('Key Metrics'!$E$16:$N$19,MATCH($E382,'Key Metrics'!$E$16:$E$19,0),MATCH(Y$1,'Key Metrics'!$E$16:$M$16,0)),0)</f>
        <v>0</v>
      </c>
      <c r="Z382" s="9">
        <f>IF($H382&gt;L382,($H382-L382)*INDEX('Key Metrics'!$E$16:$N$19,MATCH($E382,'Key Metrics'!$E$16:$E$19,0),MATCH(Z$1,'Key Metrics'!$E$16:$M$16,0)),0)</f>
        <v>0</v>
      </c>
      <c r="AA382" s="9">
        <f t="shared" si="58"/>
        <v>72464.55</v>
      </c>
      <c r="AB382" s="9">
        <f t="shared" si="59"/>
        <v>72465.355161666666</v>
      </c>
    </row>
    <row r="383" spans="1:28" x14ac:dyDescent="0.55000000000000004">
      <c r="A383" t="str">
        <f t="shared" si="5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COUNTIF(deals_closed!$D$2:$D$20001,Calculations!B310)</f>
        <v>20</v>
      </c>
      <c r="H383" s="7">
        <f>SUMIF(deals_closed!$D:$D,Calculations!B310,deals_closed!$C:$C)</f>
        <v>785519</v>
      </c>
      <c r="I383" s="5">
        <f>VLOOKUP(E383,'2018_commission_structure'!$A$1:$I$4,9,FALSE)</f>
        <v>750000</v>
      </c>
      <c r="J383" s="9">
        <f t="shared" si="51"/>
        <v>937500</v>
      </c>
      <c r="K383" s="10">
        <f t="shared" si="52"/>
        <v>1125000</v>
      </c>
      <c r="L383" s="9">
        <f t="shared" si="53"/>
        <v>1500000</v>
      </c>
      <c r="M383" s="8">
        <f t="shared" si="54"/>
        <v>1.0473586666666668</v>
      </c>
      <c r="N383" t="str">
        <f t="shared" si="55"/>
        <v>100-125%</v>
      </c>
      <c r="O383" s="9">
        <f>MIN($H383,$I383)*INDEX('2018_commission_structure'!$A$1:$I$4,MATCH($E383,'2018_commission_structure'!$A$1:$A$4,0),MATCH(O$1,'2018_commission_structure'!$A$1:$I$1,0))</f>
        <v>112500</v>
      </c>
      <c r="P383" s="9">
        <f>IF(H383&gt;I383, MIN(H383-I383, J383-I383)*INDEX('2018_commission_structure'!$A$1:$I$4,MATCH($E383,'2018_commission_structure'!$A$1:$A$4,0),MATCH(P$1,'2018_commission_structure'!$A$1:$I$1,0)),0)</f>
        <v>6748.61</v>
      </c>
      <c r="Q383" s="9">
        <f>IF($H383&gt;J383, MIN($H383-J383, K383-J383)*INDEX('2018_commission_structure'!$A$1:$I$4,MATCH($E383,'2018_commission_structure'!$A$1:$A$4,0),MATCH(Q$1,'2018_commission_structure'!$A$1:$I$1,0)),0)</f>
        <v>0</v>
      </c>
      <c r="R383" s="9">
        <f>IF($H383&gt;K383, MIN($H383-K383, L383-K383)*INDEX('2018_commission_structure'!$A$1:$I$4,MATCH($E383,'2018_commission_structure'!$A$1:$A$4,0),MATCH(R$1,'2018_commission_structure'!$A$1:$I$1,0)),0)</f>
        <v>0</v>
      </c>
      <c r="S383" s="9">
        <f>IF(H383&gt;L383,(H383-L383)*INDEX('2018_commission_structure'!$A$1:$I$4,MATCH($E383,'2018_commission_structure'!$A$1:$A$4,0),MATCH(S$1,'2018_commission_structure'!$A$1:$I$1,0)),0)</f>
        <v>0</v>
      </c>
      <c r="T383" s="9">
        <f t="shared" si="56"/>
        <v>119248.61</v>
      </c>
      <c r="U383" s="9">
        <f t="shared" si="57"/>
        <v>215105.61</v>
      </c>
      <c r="V383" s="9">
        <f>MIN($I383,$H383)*INDEX('Key Metrics'!$E$16:$N$19,MATCH($E383,'Key Metrics'!$E$16:$E$19,0),MATCH(V$1,'Key Metrics'!$E$16:$M$16,0))</f>
        <v>112500</v>
      </c>
      <c r="W383" s="9">
        <f>IF($H383&gt;I383, MIN($H383-I383, J383-I383)*INDEX('Key Metrics'!$E$16:$N$19,MATCH($E383,'Key Metrics'!$E$16:$E$19,0),MATCH(W$1,'Key Metrics'!$E$16:$M$16,0)),0)</f>
        <v>7814.18</v>
      </c>
      <c r="X383" s="9">
        <f>IF($H383&gt;J383, MIN($H383-J383, K383-J383)*INDEX('Key Metrics'!$E$16:$N$19,MATCH($E383,'Key Metrics'!$E$16:$E$19,0),MATCH(X$1,'Key Metrics'!$E$16:$M$16,0)),0)</f>
        <v>0</v>
      </c>
      <c r="Y383" s="9">
        <f>IF($H383&gt;K383, MIN($H383-K383, L383-K383)*INDEX('Key Metrics'!$E$16:$N$19,MATCH($E383,'Key Metrics'!$E$16:$E$19,0),MATCH(Y$1,'Key Metrics'!$E$16:$M$16,0)),0)</f>
        <v>0</v>
      </c>
      <c r="Z383" s="9">
        <f>IF($H383&gt;L383,($H383-L383)*INDEX('Key Metrics'!$E$16:$N$19,MATCH($E383,'Key Metrics'!$E$16:$E$19,0),MATCH(Z$1,'Key Metrics'!$E$16:$M$16,0)),0)</f>
        <v>0</v>
      </c>
      <c r="AA383" s="9">
        <f t="shared" si="58"/>
        <v>120314.18</v>
      </c>
      <c r="AB383" s="9">
        <f t="shared" si="59"/>
        <v>120315.22735866666</v>
      </c>
    </row>
    <row r="384" spans="1:28" x14ac:dyDescent="0.55000000000000004">
      <c r="A384" t="str">
        <f t="shared" si="5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COUNTIF(deals_closed!$D$2:$D$20001,Calculations!B435)</f>
        <v>17</v>
      </c>
      <c r="H384" s="7">
        <f>SUMIF(deals_closed!$D:$D,Calculations!B435,deals_closed!$C:$C)</f>
        <v>613323</v>
      </c>
      <c r="I384" s="5">
        <f>VLOOKUP(E384,'2018_commission_structure'!$A$1:$I$4,9,FALSE)</f>
        <v>750000</v>
      </c>
      <c r="J384" s="9">
        <f t="shared" si="51"/>
        <v>937500</v>
      </c>
      <c r="K384" s="10">
        <f t="shared" si="52"/>
        <v>1125000</v>
      </c>
      <c r="L384" s="9">
        <f t="shared" si="53"/>
        <v>1500000</v>
      </c>
      <c r="M384" s="8">
        <f t="shared" si="54"/>
        <v>0.81776400000000005</v>
      </c>
      <c r="N384" t="str">
        <f t="shared" si="55"/>
        <v>0-100%</v>
      </c>
      <c r="O384" s="9">
        <f>MIN($H384,$I384)*INDEX('2018_commission_structure'!$A$1:$I$4,MATCH($E384,'2018_commission_structure'!$A$1:$A$4,0),MATCH(O$1,'2018_commission_structure'!$A$1:$I$1,0))</f>
        <v>91998.45</v>
      </c>
      <c r="P384" s="9">
        <f>IF(H384&gt;I384, MIN(H384-I384, J384-I384)*INDEX('2018_commission_structure'!$A$1:$I$4,MATCH($E384,'2018_commission_structure'!$A$1:$A$4,0),MATCH(P$1,'2018_commission_structure'!$A$1:$I$1,0)),0)</f>
        <v>0</v>
      </c>
      <c r="Q384" s="9">
        <f>IF($H384&gt;J384, MIN($H384-J384, K384-J384)*INDEX('2018_commission_structure'!$A$1:$I$4,MATCH($E384,'2018_commission_structure'!$A$1:$A$4,0),MATCH(Q$1,'2018_commission_structure'!$A$1:$I$1,0)),0)</f>
        <v>0</v>
      </c>
      <c r="R384" s="9">
        <f>IF($H384&gt;K384, MIN($H384-K384, L384-K384)*INDEX('2018_commission_structure'!$A$1:$I$4,MATCH($E384,'2018_commission_structure'!$A$1:$A$4,0),MATCH(R$1,'2018_commission_structure'!$A$1:$I$1,0)),0)</f>
        <v>0</v>
      </c>
      <c r="S384" s="9">
        <f>IF(H384&gt;L384,(H384-L384)*INDEX('2018_commission_structure'!$A$1:$I$4,MATCH($E384,'2018_commission_structure'!$A$1:$A$4,0),MATCH(S$1,'2018_commission_structure'!$A$1:$I$1,0)),0)</f>
        <v>0</v>
      </c>
      <c r="T384" s="9">
        <f t="shared" si="56"/>
        <v>91998.45</v>
      </c>
      <c r="U384" s="9">
        <f t="shared" si="57"/>
        <v>205817.45</v>
      </c>
      <c r="V384" s="9">
        <f>MIN($I384,$H384)*INDEX('Key Metrics'!$E$16:$N$19,MATCH($E384,'Key Metrics'!$E$16:$E$19,0),MATCH(V$1,'Key Metrics'!$E$16:$M$16,0))</f>
        <v>91998.45</v>
      </c>
      <c r="W384" s="9">
        <f>IF($H384&gt;I384, MIN($H384-I384, J384-I384)*INDEX('Key Metrics'!$E$16:$N$19,MATCH($E384,'Key Metrics'!$E$16:$E$19,0),MATCH(W$1,'Key Metrics'!$E$16:$M$16,0)),0)</f>
        <v>0</v>
      </c>
      <c r="X384" s="9">
        <f>IF($H384&gt;J384, MIN($H384-J384, K384-J384)*INDEX('Key Metrics'!$E$16:$N$19,MATCH($E384,'Key Metrics'!$E$16:$E$19,0),MATCH(X$1,'Key Metrics'!$E$16:$M$16,0)),0)</f>
        <v>0</v>
      </c>
      <c r="Y384" s="9">
        <f>IF($H384&gt;K384, MIN($H384-K384, L384-K384)*INDEX('Key Metrics'!$E$16:$N$19,MATCH($E384,'Key Metrics'!$E$16:$E$19,0),MATCH(Y$1,'Key Metrics'!$E$16:$M$16,0)),0)</f>
        <v>0</v>
      </c>
      <c r="Z384" s="9">
        <f>IF($H384&gt;L384,($H384-L384)*INDEX('Key Metrics'!$E$16:$N$19,MATCH($E384,'Key Metrics'!$E$16:$E$19,0),MATCH(Z$1,'Key Metrics'!$E$16:$M$16,0)),0)</f>
        <v>0</v>
      </c>
      <c r="AA384" s="9">
        <f t="shared" si="58"/>
        <v>91998.45</v>
      </c>
      <c r="AB384" s="9">
        <f t="shared" si="59"/>
        <v>91999.267764000004</v>
      </c>
    </row>
    <row r="385" spans="1:28" x14ac:dyDescent="0.55000000000000004">
      <c r="A385" t="str">
        <f t="shared" si="5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COUNTIF(deals_closed!$D$2:$D$20001,Calculations!B299)</f>
        <v>20</v>
      </c>
      <c r="H385" s="7">
        <f>SUMIF(deals_closed!$D:$D,Calculations!B299,deals_closed!$C:$C)</f>
        <v>762746</v>
      </c>
      <c r="I385" s="5">
        <f>VLOOKUP(E385,'2018_commission_structure'!$A$1:$I$4,9,FALSE)</f>
        <v>500000</v>
      </c>
      <c r="J385" s="9">
        <f t="shared" si="51"/>
        <v>625000</v>
      </c>
      <c r="K385" s="10">
        <f t="shared" si="52"/>
        <v>750000</v>
      </c>
      <c r="L385" s="9">
        <f t="shared" si="53"/>
        <v>1000000</v>
      </c>
      <c r="M385" s="8">
        <f t="shared" si="54"/>
        <v>1.5254920000000001</v>
      </c>
      <c r="N385" t="str">
        <f t="shared" si="55"/>
        <v>150-200%</v>
      </c>
      <c r="O385" s="9">
        <f>MIN($H385,$I385)*INDEX('2018_commission_structure'!$A$1:$I$4,MATCH($E385,'2018_commission_structure'!$A$1:$A$4,0),MATCH(O$1,'2018_commission_structure'!$A$1:$I$1,0))</f>
        <v>50000</v>
      </c>
      <c r="P385" s="9">
        <f>IF(H385&gt;I385, MIN(H385-I385, J385-I385)*INDEX('2018_commission_structure'!$A$1:$I$4,MATCH($E385,'2018_commission_structure'!$A$1:$A$4,0),MATCH(P$1,'2018_commission_structure'!$A$1:$I$1,0)),0)</f>
        <v>18750</v>
      </c>
      <c r="Q385" s="9">
        <f>IF($H385&gt;J385, MIN($H385-J385, K385-J385)*INDEX('2018_commission_structure'!$A$1:$I$4,MATCH($E385,'2018_commission_structure'!$A$1:$A$4,0),MATCH(Q$1,'2018_commission_structure'!$A$1:$I$1,0)),0)</f>
        <v>22500</v>
      </c>
      <c r="R385" s="9">
        <f>IF($H385&gt;K385, MIN($H385-K385, L385-K385)*INDEX('2018_commission_structure'!$A$1:$I$4,MATCH($E385,'2018_commission_structure'!$A$1:$A$4,0),MATCH(R$1,'2018_commission_structure'!$A$1:$I$1,0)),0)</f>
        <v>2804.12</v>
      </c>
      <c r="S385" s="9">
        <f>IF(H385&gt;L385,(H385-L385)*INDEX('2018_commission_structure'!$A$1:$I$4,MATCH($E385,'2018_commission_structure'!$A$1:$A$4,0),MATCH(S$1,'2018_commission_structure'!$A$1:$I$1,0)),0)</f>
        <v>0</v>
      </c>
      <c r="T385" s="9">
        <f t="shared" si="56"/>
        <v>94054.12</v>
      </c>
      <c r="U385" s="9">
        <f t="shared" si="57"/>
        <v>124212.12</v>
      </c>
      <c r="V385" s="9">
        <f>MIN($I385,$H385)*INDEX('Key Metrics'!$E$16:$N$19,MATCH($E385,'Key Metrics'!$E$16:$E$19,0),MATCH(V$1,'Key Metrics'!$E$16:$M$16,0))</f>
        <v>60000</v>
      </c>
      <c r="W385" s="9">
        <f>IF($H385&gt;I385, MIN($H385-I385, J385-I385)*INDEX('Key Metrics'!$E$16:$N$19,MATCH($E385,'Key Metrics'!$E$16:$E$19,0),MATCH(W$1,'Key Metrics'!$E$16:$M$16,0)),0)</f>
        <v>21250</v>
      </c>
      <c r="X385" s="9">
        <f>IF($H385&gt;J385, MIN($H385-J385, K385-J385)*INDEX('Key Metrics'!$E$16:$N$19,MATCH($E385,'Key Metrics'!$E$16:$E$19,0),MATCH(X$1,'Key Metrics'!$E$16:$M$16,0)),0)</f>
        <v>25000</v>
      </c>
      <c r="Y385" s="9">
        <f>IF($H385&gt;K385, MIN($H385-K385, L385-K385)*INDEX('Key Metrics'!$E$16:$N$19,MATCH($E385,'Key Metrics'!$E$16:$E$19,0),MATCH(Y$1,'Key Metrics'!$E$16:$M$16,0)),0)</f>
        <v>2804.12</v>
      </c>
      <c r="Z385" s="9">
        <f>IF($H385&gt;L385,($H385-L385)*INDEX('Key Metrics'!$E$16:$N$19,MATCH($E385,'Key Metrics'!$E$16:$E$19,0),MATCH(Z$1,'Key Metrics'!$E$16:$M$16,0)),0)</f>
        <v>0</v>
      </c>
      <c r="AA385" s="9">
        <f t="shared" si="58"/>
        <v>109054.12</v>
      </c>
      <c r="AB385" s="9">
        <f t="shared" si="59"/>
        <v>109055.645492</v>
      </c>
    </row>
    <row r="386" spans="1:28" x14ac:dyDescent="0.55000000000000004">
      <c r="A386" t="str">
        <f t="shared" ref="A386:A449" si="60">CONCATENATE(C386," ",D386)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COUNTIF(deals_closed!$D$2:$D$20001,Calculations!B360)</f>
        <v>18</v>
      </c>
      <c r="H386" s="7">
        <f>SUMIF(deals_closed!$D:$D,Calculations!B360,deals_closed!$C:$C)</f>
        <v>583650</v>
      </c>
      <c r="I386" s="5">
        <f>VLOOKUP(E386,'2018_commission_structure'!$A$1:$I$4,9,FALSE)</f>
        <v>750000</v>
      </c>
      <c r="J386" s="9">
        <f t="shared" ref="J386:J449" si="61">I386*1.25</f>
        <v>937500</v>
      </c>
      <c r="K386" s="10">
        <f t="shared" ref="K386:K449" si="62">I386*1.5</f>
        <v>1125000</v>
      </c>
      <c r="L386" s="9">
        <f t="shared" ref="L386:L449" si="63">I386*2</f>
        <v>1500000</v>
      </c>
      <c r="M386" s="8">
        <f t="shared" ref="M386:M449" si="64">H386/I386</f>
        <v>0.7782</v>
      </c>
      <c r="N386" t="str">
        <f t="shared" ref="N386:N449" si="65">IF(M386&lt;=100%,"0-100%",IF(M386&lt;=125%,"100-125%",IF(M386&lt;=150%,"125-150%",IF(M386&lt;=200%,"150-200%","&gt;200%"))))</f>
        <v>0-100%</v>
      </c>
      <c r="O386" s="9">
        <f>MIN($H386,$I386)*INDEX('2018_commission_structure'!$A$1:$I$4,MATCH($E386,'2018_commission_structure'!$A$1:$A$4,0),MATCH(O$1,'2018_commission_structure'!$A$1:$I$1,0))</f>
        <v>87547.5</v>
      </c>
      <c r="P386" s="9">
        <f>IF(H386&gt;I386, MIN(H386-I386, J386-I386)*INDEX('2018_commission_structure'!$A$1:$I$4,MATCH($E386,'2018_commission_structure'!$A$1:$A$4,0),MATCH(P$1,'2018_commission_structure'!$A$1:$I$1,0)),0)</f>
        <v>0</v>
      </c>
      <c r="Q386" s="9">
        <f>IF($H386&gt;J386, MIN($H386-J386, K386-J386)*INDEX('2018_commission_structure'!$A$1:$I$4,MATCH($E386,'2018_commission_structure'!$A$1:$A$4,0),MATCH(Q$1,'2018_commission_structure'!$A$1:$I$1,0)),0)</f>
        <v>0</v>
      </c>
      <c r="R386" s="9">
        <f>IF($H386&gt;K386, MIN($H386-K386, L386-K386)*INDEX('2018_commission_structure'!$A$1:$I$4,MATCH($E386,'2018_commission_structure'!$A$1:$A$4,0),MATCH(R$1,'2018_commission_structure'!$A$1:$I$1,0)),0)</f>
        <v>0</v>
      </c>
      <c r="S386" s="9">
        <f>IF(H386&gt;L386,(H386-L386)*INDEX('2018_commission_structure'!$A$1:$I$4,MATCH($E386,'2018_commission_structure'!$A$1:$A$4,0),MATCH(S$1,'2018_commission_structure'!$A$1:$I$1,0)),0)</f>
        <v>0</v>
      </c>
      <c r="T386" s="9">
        <f t="shared" ref="T386:T449" si="66">SUM(O386:S386)</f>
        <v>87547.5</v>
      </c>
      <c r="U386" s="9">
        <f t="shared" ref="U386:U449" si="67">F386+T386</f>
        <v>176842.5</v>
      </c>
      <c r="V386" s="9">
        <f>MIN($I386,$H386)*INDEX('Key Metrics'!$E$16:$N$19,MATCH($E386,'Key Metrics'!$E$16:$E$19,0),MATCH(V$1,'Key Metrics'!$E$16:$M$16,0))</f>
        <v>87547.5</v>
      </c>
      <c r="W386" s="9">
        <f>IF($H386&gt;I386, MIN($H386-I386, J386-I386)*INDEX('Key Metrics'!$E$16:$N$19,MATCH($E386,'Key Metrics'!$E$16:$E$19,0),MATCH(W$1,'Key Metrics'!$E$16:$M$16,0)),0)</f>
        <v>0</v>
      </c>
      <c r="X386" s="9">
        <f>IF($H386&gt;J386, MIN($H386-J386, K386-J386)*INDEX('Key Metrics'!$E$16:$N$19,MATCH($E386,'Key Metrics'!$E$16:$E$19,0),MATCH(X$1,'Key Metrics'!$E$16:$M$16,0)),0)</f>
        <v>0</v>
      </c>
      <c r="Y386" s="9">
        <f>IF($H386&gt;K386, MIN($H386-K386, L386-K386)*INDEX('Key Metrics'!$E$16:$N$19,MATCH($E386,'Key Metrics'!$E$16:$E$19,0),MATCH(Y$1,'Key Metrics'!$E$16:$M$16,0)),0)</f>
        <v>0</v>
      </c>
      <c r="Z386" s="9">
        <f>IF($H386&gt;L386,($H386-L386)*INDEX('Key Metrics'!$E$16:$N$19,MATCH($E386,'Key Metrics'!$E$16:$E$19,0),MATCH(Z$1,'Key Metrics'!$E$16:$M$16,0)),0)</f>
        <v>0</v>
      </c>
      <c r="AA386" s="9">
        <f t="shared" ref="AA386:AA449" si="68">SUM(V386:Z386)</f>
        <v>87547.5</v>
      </c>
      <c r="AB386" s="9">
        <f t="shared" ref="AB386:AB449" si="69">M386+AA386</f>
        <v>87548.278200000001</v>
      </c>
    </row>
    <row r="387" spans="1:28" x14ac:dyDescent="0.55000000000000004">
      <c r="A387" t="str">
        <f t="shared" si="60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COUNTIF(deals_closed!$D$2:$D$20001,Calculations!B657)</f>
        <v>14</v>
      </c>
      <c r="H387" s="7">
        <f>SUMIF(deals_closed!$D:$D,Calculations!B657,deals_closed!$C:$C)</f>
        <v>474138</v>
      </c>
      <c r="I387" s="5">
        <f>VLOOKUP(E387,'2018_commission_structure'!$A$1:$I$4,9,FALSE)</f>
        <v>500000</v>
      </c>
      <c r="J387" s="9">
        <f t="shared" si="61"/>
        <v>625000</v>
      </c>
      <c r="K387" s="10">
        <f t="shared" si="62"/>
        <v>750000</v>
      </c>
      <c r="L387" s="9">
        <f t="shared" si="63"/>
        <v>1000000</v>
      </c>
      <c r="M387" s="8">
        <f t="shared" si="64"/>
        <v>0.94827600000000001</v>
      </c>
      <c r="N387" t="str">
        <f t="shared" si="65"/>
        <v>0-100%</v>
      </c>
      <c r="O387" s="9">
        <f>MIN($H387,$I387)*INDEX('2018_commission_structure'!$A$1:$I$4,MATCH($E387,'2018_commission_structure'!$A$1:$A$4,0),MATCH(O$1,'2018_commission_structure'!$A$1:$I$1,0))</f>
        <v>47413.8</v>
      </c>
      <c r="P387" s="9">
        <f>IF(H387&gt;I387, MIN(H387-I387, J387-I387)*INDEX('2018_commission_structure'!$A$1:$I$4,MATCH($E387,'2018_commission_structure'!$A$1:$A$4,0),MATCH(P$1,'2018_commission_structure'!$A$1:$I$1,0)),0)</f>
        <v>0</v>
      </c>
      <c r="Q387" s="9">
        <f>IF($H387&gt;J387, MIN($H387-J387, K387-J387)*INDEX('2018_commission_structure'!$A$1:$I$4,MATCH($E387,'2018_commission_structure'!$A$1:$A$4,0),MATCH(Q$1,'2018_commission_structure'!$A$1:$I$1,0)),0)</f>
        <v>0</v>
      </c>
      <c r="R387" s="9">
        <f>IF($H387&gt;K387, MIN($H387-K387, L387-K387)*INDEX('2018_commission_structure'!$A$1:$I$4,MATCH($E387,'2018_commission_structure'!$A$1:$A$4,0),MATCH(R$1,'2018_commission_structure'!$A$1:$I$1,0)),0)</f>
        <v>0</v>
      </c>
      <c r="S387" s="9">
        <f>IF(H387&gt;L387,(H387-L387)*INDEX('2018_commission_structure'!$A$1:$I$4,MATCH($E387,'2018_commission_structure'!$A$1:$A$4,0),MATCH(S$1,'2018_commission_structure'!$A$1:$I$1,0)),0)</f>
        <v>0</v>
      </c>
      <c r="T387" s="9">
        <f t="shared" si="66"/>
        <v>47413.8</v>
      </c>
      <c r="U387" s="9">
        <f t="shared" si="67"/>
        <v>91763.8</v>
      </c>
      <c r="V387" s="9">
        <f>MIN($I387,$H387)*INDEX('Key Metrics'!$E$16:$N$19,MATCH($E387,'Key Metrics'!$E$16:$E$19,0),MATCH(V$1,'Key Metrics'!$E$16:$M$16,0))</f>
        <v>56896.56</v>
      </c>
      <c r="W387" s="9">
        <f>IF($H387&gt;I387, MIN($H387-I387, J387-I387)*INDEX('Key Metrics'!$E$16:$N$19,MATCH($E387,'Key Metrics'!$E$16:$E$19,0),MATCH(W$1,'Key Metrics'!$E$16:$M$16,0)),0)</f>
        <v>0</v>
      </c>
      <c r="X387" s="9">
        <f>IF($H387&gt;J387, MIN($H387-J387, K387-J387)*INDEX('Key Metrics'!$E$16:$N$19,MATCH($E387,'Key Metrics'!$E$16:$E$19,0),MATCH(X$1,'Key Metrics'!$E$16:$M$16,0)),0)</f>
        <v>0</v>
      </c>
      <c r="Y387" s="9">
        <f>IF($H387&gt;K387, MIN($H387-K387, L387-K387)*INDEX('Key Metrics'!$E$16:$N$19,MATCH($E387,'Key Metrics'!$E$16:$E$19,0),MATCH(Y$1,'Key Metrics'!$E$16:$M$16,0)),0)</f>
        <v>0</v>
      </c>
      <c r="Z387" s="9">
        <f>IF($H387&gt;L387,($H387-L387)*INDEX('Key Metrics'!$E$16:$N$19,MATCH($E387,'Key Metrics'!$E$16:$E$19,0),MATCH(Z$1,'Key Metrics'!$E$16:$M$16,0)),0)</f>
        <v>0</v>
      </c>
      <c r="AA387" s="9">
        <f t="shared" si="68"/>
        <v>56896.56</v>
      </c>
      <c r="AB387" s="9">
        <f t="shared" si="69"/>
        <v>56897.508276</v>
      </c>
    </row>
    <row r="388" spans="1:28" x14ac:dyDescent="0.55000000000000004">
      <c r="A388" t="str">
        <f t="shared" si="60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COUNTIF(deals_closed!$D$2:$D$20001,Calculations!B477)</f>
        <v>19</v>
      </c>
      <c r="H388" s="7">
        <f>SUMIF(deals_closed!$D:$D,Calculations!B477,deals_closed!$C:$C)</f>
        <v>673026</v>
      </c>
      <c r="I388" s="5">
        <f>VLOOKUP(E388,'2018_commission_structure'!$A$1:$I$4,9,FALSE)</f>
        <v>600000</v>
      </c>
      <c r="J388" s="9">
        <f t="shared" si="61"/>
        <v>750000</v>
      </c>
      <c r="K388" s="10">
        <f t="shared" si="62"/>
        <v>900000</v>
      </c>
      <c r="L388" s="9">
        <f t="shared" si="63"/>
        <v>1200000</v>
      </c>
      <c r="M388" s="8">
        <f t="shared" si="64"/>
        <v>1.12171</v>
      </c>
      <c r="N388" t="str">
        <f t="shared" si="65"/>
        <v>100-125%</v>
      </c>
      <c r="O388" s="9">
        <f>MIN($H388,$I388)*INDEX('2018_commission_structure'!$A$1:$I$4,MATCH($E388,'2018_commission_structure'!$A$1:$A$4,0),MATCH(O$1,'2018_commission_structure'!$A$1:$I$1,0))</f>
        <v>78000</v>
      </c>
      <c r="P388" s="9">
        <f>IF(H388&gt;I388, MIN(H388-I388, J388-I388)*INDEX('2018_commission_structure'!$A$1:$I$4,MATCH($E388,'2018_commission_structure'!$A$1:$A$4,0),MATCH(P$1,'2018_commission_structure'!$A$1:$I$1,0)),0)</f>
        <v>12414.42</v>
      </c>
      <c r="Q388" s="9">
        <f>IF($H388&gt;J388, MIN($H388-J388, K388-J388)*INDEX('2018_commission_structure'!$A$1:$I$4,MATCH($E388,'2018_commission_structure'!$A$1:$A$4,0),MATCH(Q$1,'2018_commission_structure'!$A$1:$I$1,0)),0)</f>
        <v>0</v>
      </c>
      <c r="R388" s="9">
        <f>IF($H388&gt;K388, MIN($H388-K388, L388-K388)*INDEX('2018_commission_structure'!$A$1:$I$4,MATCH($E388,'2018_commission_structure'!$A$1:$A$4,0),MATCH(R$1,'2018_commission_structure'!$A$1:$I$1,0)),0)</f>
        <v>0</v>
      </c>
      <c r="S388" s="9">
        <f>IF(H388&gt;L388,(H388-L388)*INDEX('2018_commission_structure'!$A$1:$I$4,MATCH($E388,'2018_commission_structure'!$A$1:$A$4,0),MATCH(S$1,'2018_commission_structure'!$A$1:$I$1,0)),0)</f>
        <v>0</v>
      </c>
      <c r="T388" s="9">
        <f t="shared" si="66"/>
        <v>90414.42</v>
      </c>
      <c r="U388" s="9">
        <f t="shared" si="67"/>
        <v>152219.41999999998</v>
      </c>
      <c r="V388" s="9">
        <f>MIN($I388,$H388)*INDEX('Key Metrics'!$E$16:$N$19,MATCH($E388,'Key Metrics'!$E$16:$E$19,0),MATCH(V$1,'Key Metrics'!$E$16:$M$16,0))</f>
        <v>90000</v>
      </c>
      <c r="W388" s="9">
        <f>IF($H388&gt;I388, MIN($H388-I388, J388-I388)*INDEX('Key Metrics'!$E$16:$N$19,MATCH($E388,'Key Metrics'!$E$16:$E$19,0),MATCH(W$1,'Key Metrics'!$E$16:$M$16,0)),0)</f>
        <v>13144.68</v>
      </c>
      <c r="X388" s="9">
        <f>IF($H388&gt;J388, MIN($H388-J388, K388-J388)*INDEX('Key Metrics'!$E$16:$N$19,MATCH($E388,'Key Metrics'!$E$16:$E$19,0),MATCH(X$1,'Key Metrics'!$E$16:$M$16,0)),0)</f>
        <v>0</v>
      </c>
      <c r="Y388" s="9">
        <f>IF($H388&gt;K388, MIN($H388-K388, L388-K388)*INDEX('Key Metrics'!$E$16:$N$19,MATCH($E388,'Key Metrics'!$E$16:$E$19,0),MATCH(Y$1,'Key Metrics'!$E$16:$M$16,0)),0)</f>
        <v>0</v>
      </c>
      <c r="Z388" s="9">
        <f>IF($H388&gt;L388,($H388-L388)*INDEX('Key Metrics'!$E$16:$N$19,MATCH($E388,'Key Metrics'!$E$16:$E$19,0),MATCH(Z$1,'Key Metrics'!$E$16:$M$16,0)),0)</f>
        <v>0</v>
      </c>
      <c r="AA388" s="9">
        <f t="shared" si="68"/>
        <v>103144.68</v>
      </c>
      <c r="AB388" s="9">
        <f t="shared" si="69"/>
        <v>103145.80171</v>
      </c>
    </row>
    <row r="389" spans="1:28" x14ac:dyDescent="0.55000000000000004">
      <c r="A389" t="str">
        <f t="shared" si="60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COUNTIF(deals_closed!$D$2:$D$20001,Calculations!B725)</f>
        <v>14</v>
      </c>
      <c r="H389" s="7">
        <f>SUMIF(deals_closed!$D:$D,Calculations!B725,deals_closed!$C:$C)</f>
        <v>488220</v>
      </c>
      <c r="I389" s="5">
        <f>VLOOKUP(E389,'2018_commission_structure'!$A$1:$I$4,9,FALSE)</f>
        <v>750000</v>
      </c>
      <c r="J389" s="9">
        <f t="shared" si="61"/>
        <v>937500</v>
      </c>
      <c r="K389" s="10">
        <f t="shared" si="62"/>
        <v>1125000</v>
      </c>
      <c r="L389" s="9">
        <f t="shared" si="63"/>
        <v>1500000</v>
      </c>
      <c r="M389" s="8">
        <f t="shared" si="64"/>
        <v>0.65095999999999998</v>
      </c>
      <c r="N389" t="str">
        <f t="shared" si="65"/>
        <v>0-100%</v>
      </c>
      <c r="O389" s="9">
        <f>MIN($H389,$I389)*INDEX('2018_commission_structure'!$A$1:$I$4,MATCH($E389,'2018_commission_structure'!$A$1:$A$4,0),MATCH(O$1,'2018_commission_structure'!$A$1:$I$1,0))</f>
        <v>73233</v>
      </c>
      <c r="P389" s="9">
        <f>IF(H389&gt;I389, MIN(H389-I389, J389-I389)*INDEX('2018_commission_structure'!$A$1:$I$4,MATCH($E389,'2018_commission_structure'!$A$1:$A$4,0),MATCH(P$1,'2018_commission_structure'!$A$1:$I$1,0)),0)</f>
        <v>0</v>
      </c>
      <c r="Q389" s="9">
        <f>IF($H389&gt;J389, MIN($H389-J389, K389-J389)*INDEX('2018_commission_structure'!$A$1:$I$4,MATCH($E389,'2018_commission_structure'!$A$1:$A$4,0),MATCH(Q$1,'2018_commission_structure'!$A$1:$I$1,0)),0)</f>
        <v>0</v>
      </c>
      <c r="R389" s="9">
        <f>IF($H389&gt;K389, MIN($H389-K389, L389-K389)*INDEX('2018_commission_structure'!$A$1:$I$4,MATCH($E389,'2018_commission_structure'!$A$1:$A$4,0),MATCH(R$1,'2018_commission_structure'!$A$1:$I$1,0)),0)</f>
        <v>0</v>
      </c>
      <c r="S389" s="9">
        <f>IF(H389&gt;L389,(H389-L389)*INDEX('2018_commission_structure'!$A$1:$I$4,MATCH($E389,'2018_commission_structure'!$A$1:$A$4,0),MATCH(S$1,'2018_commission_structure'!$A$1:$I$1,0)),0)</f>
        <v>0</v>
      </c>
      <c r="T389" s="9">
        <f t="shared" si="66"/>
        <v>73233</v>
      </c>
      <c r="U389" s="9">
        <f t="shared" si="67"/>
        <v>158640</v>
      </c>
      <c r="V389" s="9">
        <f>MIN($I389,$H389)*INDEX('Key Metrics'!$E$16:$N$19,MATCH($E389,'Key Metrics'!$E$16:$E$19,0),MATCH(V$1,'Key Metrics'!$E$16:$M$16,0))</f>
        <v>73233</v>
      </c>
      <c r="W389" s="9">
        <f>IF($H389&gt;I389, MIN($H389-I389, J389-I389)*INDEX('Key Metrics'!$E$16:$N$19,MATCH($E389,'Key Metrics'!$E$16:$E$19,0),MATCH(W$1,'Key Metrics'!$E$16:$M$16,0)),0)</f>
        <v>0</v>
      </c>
      <c r="X389" s="9">
        <f>IF($H389&gt;J389, MIN($H389-J389, K389-J389)*INDEX('Key Metrics'!$E$16:$N$19,MATCH($E389,'Key Metrics'!$E$16:$E$19,0),MATCH(X$1,'Key Metrics'!$E$16:$M$16,0)),0)</f>
        <v>0</v>
      </c>
      <c r="Y389" s="9">
        <f>IF($H389&gt;K389, MIN($H389-K389, L389-K389)*INDEX('Key Metrics'!$E$16:$N$19,MATCH($E389,'Key Metrics'!$E$16:$E$19,0),MATCH(Y$1,'Key Metrics'!$E$16:$M$16,0)),0)</f>
        <v>0</v>
      </c>
      <c r="Z389" s="9">
        <f>IF($H389&gt;L389,($H389-L389)*INDEX('Key Metrics'!$E$16:$N$19,MATCH($E389,'Key Metrics'!$E$16:$E$19,0),MATCH(Z$1,'Key Metrics'!$E$16:$M$16,0)),0)</f>
        <v>0</v>
      </c>
      <c r="AA389" s="9">
        <f t="shared" si="68"/>
        <v>73233</v>
      </c>
      <c r="AB389" s="9">
        <f t="shared" si="69"/>
        <v>73233.650959999999</v>
      </c>
    </row>
    <row r="390" spans="1:28" x14ac:dyDescent="0.55000000000000004">
      <c r="A390" t="str">
        <f t="shared" si="60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COUNTIF(deals_closed!$D$2:$D$20001,Calculations!B240)</f>
        <v>26</v>
      </c>
      <c r="H390" s="7">
        <f>SUMIF(deals_closed!$D:$D,Calculations!B240,deals_closed!$C:$C)</f>
        <v>925114</v>
      </c>
      <c r="I390" s="5">
        <f>VLOOKUP(E390,'2018_commission_structure'!$A$1:$I$4,9,FALSE)</f>
        <v>600000</v>
      </c>
      <c r="J390" s="9">
        <f t="shared" si="61"/>
        <v>750000</v>
      </c>
      <c r="K390" s="10">
        <f t="shared" si="62"/>
        <v>900000</v>
      </c>
      <c r="L390" s="9">
        <f t="shared" si="63"/>
        <v>1200000</v>
      </c>
      <c r="M390" s="8">
        <f t="shared" si="64"/>
        <v>1.5418566666666667</v>
      </c>
      <c r="N390" t="str">
        <f t="shared" si="65"/>
        <v>150-200%</v>
      </c>
      <c r="O390" s="9">
        <f>MIN($H390,$I390)*INDEX('2018_commission_structure'!$A$1:$I$4,MATCH($E390,'2018_commission_structure'!$A$1:$A$4,0),MATCH(O$1,'2018_commission_structure'!$A$1:$I$1,0))</f>
        <v>78000</v>
      </c>
      <c r="P390" s="9">
        <f>IF(H390&gt;I390, MIN(H390-I390, J390-I390)*INDEX('2018_commission_structure'!$A$1:$I$4,MATCH($E390,'2018_commission_structure'!$A$1:$A$4,0),MATCH(P$1,'2018_commission_structure'!$A$1:$I$1,0)),0)</f>
        <v>25500.000000000004</v>
      </c>
      <c r="Q390" s="9">
        <f>IF($H390&gt;J390, MIN($H390-J390, K390-J390)*INDEX('2018_commission_structure'!$A$1:$I$4,MATCH($E390,'2018_commission_structure'!$A$1:$A$4,0),MATCH(Q$1,'2018_commission_structure'!$A$1:$I$1,0)),0)</f>
        <v>31500</v>
      </c>
      <c r="R390" s="9">
        <f>IF($H390&gt;K390, MIN($H390-K390, L390-K390)*INDEX('2018_commission_structure'!$A$1:$I$4,MATCH($E390,'2018_commission_structure'!$A$1:$A$4,0),MATCH(R$1,'2018_commission_structure'!$A$1:$I$1,0)),0)</f>
        <v>6529.64</v>
      </c>
      <c r="S390" s="9">
        <f>IF(H390&gt;L390,(H390-L390)*INDEX('2018_commission_structure'!$A$1:$I$4,MATCH($E390,'2018_commission_structure'!$A$1:$A$4,0),MATCH(S$1,'2018_commission_structure'!$A$1:$I$1,0)),0)</f>
        <v>0</v>
      </c>
      <c r="T390" s="9">
        <f t="shared" si="66"/>
        <v>141529.64000000001</v>
      </c>
      <c r="U390" s="9">
        <f t="shared" si="67"/>
        <v>198927.64</v>
      </c>
      <c r="V390" s="9">
        <f>MIN($I390,$H390)*INDEX('Key Metrics'!$E$16:$N$19,MATCH($E390,'Key Metrics'!$E$16:$E$19,0),MATCH(V$1,'Key Metrics'!$E$16:$M$16,0))</f>
        <v>90000</v>
      </c>
      <c r="W390" s="9">
        <f>IF($H390&gt;I390, MIN($H390-I390, J390-I390)*INDEX('Key Metrics'!$E$16:$N$19,MATCH($E390,'Key Metrics'!$E$16:$E$19,0),MATCH(W$1,'Key Metrics'!$E$16:$M$16,0)),0)</f>
        <v>27000</v>
      </c>
      <c r="X390" s="9">
        <f>IF($H390&gt;J390, MIN($H390-J390, K390-J390)*INDEX('Key Metrics'!$E$16:$N$19,MATCH($E390,'Key Metrics'!$E$16:$E$19,0),MATCH(X$1,'Key Metrics'!$E$16:$M$16,0)),0)</f>
        <v>37500</v>
      </c>
      <c r="Y390" s="9">
        <f>IF($H390&gt;K390, MIN($H390-K390, L390-K390)*INDEX('Key Metrics'!$E$16:$N$19,MATCH($E390,'Key Metrics'!$E$16:$E$19,0),MATCH(Y$1,'Key Metrics'!$E$16:$M$16,0)),0)</f>
        <v>7534.2</v>
      </c>
      <c r="Z390" s="9">
        <f>IF($H390&gt;L390,($H390-L390)*INDEX('Key Metrics'!$E$16:$N$19,MATCH($E390,'Key Metrics'!$E$16:$E$19,0),MATCH(Z$1,'Key Metrics'!$E$16:$M$16,0)),0)</f>
        <v>0</v>
      </c>
      <c r="AA390" s="9">
        <f t="shared" si="68"/>
        <v>162034.20000000001</v>
      </c>
      <c r="AB390" s="9">
        <f t="shared" si="69"/>
        <v>162035.74185666669</v>
      </c>
    </row>
    <row r="391" spans="1:28" x14ac:dyDescent="0.55000000000000004">
      <c r="A391" t="str">
        <f t="shared" si="60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COUNTIF(deals_closed!$D$2:$D$20001,Calculations!B651)</f>
        <v>14</v>
      </c>
      <c r="H391" s="7">
        <f>SUMIF(deals_closed!$D:$D,Calculations!B651,deals_closed!$C:$C)</f>
        <v>445836</v>
      </c>
      <c r="I391" s="5">
        <f>VLOOKUP(E391,'2018_commission_structure'!$A$1:$I$4,9,FALSE)</f>
        <v>750000</v>
      </c>
      <c r="J391" s="9">
        <f t="shared" si="61"/>
        <v>937500</v>
      </c>
      <c r="K391" s="10">
        <f t="shared" si="62"/>
        <v>1125000</v>
      </c>
      <c r="L391" s="9">
        <f t="shared" si="63"/>
        <v>1500000</v>
      </c>
      <c r="M391" s="8">
        <f t="shared" si="64"/>
        <v>0.59444799999999998</v>
      </c>
      <c r="N391" t="str">
        <f t="shared" si="65"/>
        <v>0-100%</v>
      </c>
      <c r="O391" s="9">
        <f>MIN($H391,$I391)*INDEX('2018_commission_structure'!$A$1:$I$4,MATCH($E391,'2018_commission_structure'!$A$1:$A$4,0),MATCH(O$1,'2018_commission_structure'!$A$1:$I$1,0))</f>
        <v>66875.399999999994</v>
      </c>
      <c r="P391" s="9">
        <f>IF(H391&gt;I391, MIN(H391-I391, J391-I391)*INDEX('2018_commission_structure'!$A$1:$I$4,MATCH($E391,'2018_commission_structure'!$A$1:$A$4,0),MATCH(P$1,'2018_commission_structure'!$A$1:$I$1,0)),0)</f>
        <v>0</v>
      </c>
      <c r="Q391" s="9">
        <f>IF($H391&gt;J391, MIN($H391-J391, K391-J391)*INDEX('2018_commission_structure'!$A$1:$I$4,MATCH($E391,'2018_commission_structure'!$A$1:$A$4,0),MATCH(Q$1,'2018_commission_structure'!$A$1:$I$1,0)),0)</f>
        <v>0</v>
      </c>
      <c r="R391" s="9">
        <f>IF($H391&gt;K391, MIN($H391-K391, L391-K391)*INDEX('2018_commission_structure'!$A$1:$I$4,MATCH($E391,'2018_commission_structure'!$A$1:$A$4,0),MATCH(R$1,'2018_commission_structure'!$A$1:$I$1,0)),0)</f>
        <v>0</v>
      </c>
      <c r="S391" s="9">
        <f>IF(H391&gt;L391,(H391-L391)*INDEX('2018_commission_structure'!$A$1:$I$4,MATCH($E391,'2018_commission_structure'!$A$1:$A$4,0),MATCH(S$1,'2018_commission_structure'!$A$1:$I$1,0)),0)</f>
        <v>0</v>
      </c>
      <c r="T391" s="9">
        <f t="shared" si="66"/>
        <v>66875.399999999994</v>
      </c>
      <c r="U391" s="9">
        <f t="shared" si="67"/>
        <v>187695.4</v>
      </c>
      <c r="V391" s="9">
        <f>MIN($I391,$H391)*INDEX('Key Metrics'!$E$16:$N$19,MATCH($E391,'Key Metrics'!$E$16:$E$19,0),MATCH(V$1,'Key Metrics'!$E$16:$M$16,0))</f>
        <v>66875.399999999994</v>
      </c>
      <c r="W391" s="9">
        <f>IF($H391&gt;I391, MIN($H391-I391, J391-I391)*INDEX('Key Metrics'!$E$16:$N$19,MATCH($E391,'Key Metrics'!$E$16:$E$19,0),MATCH(W$1,'Key Metrics'!$E$16:$M$16,0)),0)</f>
        <v>0</v>
      </c>
      <c r="X391" s="9">
        <f>IF($H391&gt;J391, MIN($H391-J391, K391-J391)*INDEX('Key Metrics'!$E$16:$N$19,MATCH($E391,'Key Metrics'!$E$16:$E$19,0),MATCH(X$1,'Key Metrics'!$E$16:$M$16,0)),0)</f>
        <v>0</v>
      </c>
      <c r="Y391" s="9">
        <f>IF($H391&gt;K391, MIN($H391-K391, L391-K391)*INDEX('Key Metrics'!$E$16:$N$19,MATCH($E391,'Key Metrics'!$E$16:$E$19,0),MATCH(Y$1,'Key Metrics'!$E$16:$M$16,0)),0)</f>
        <v>0</v>
      </c>
      <c r="Z391" s="9">
        <f>IF($H391&gt;L391,($H391-L391)*INDEX('Key Metrics'!$E$16:$N$19,MATCH($E391,'Key Metrics'!$E$16:$E$19,0),MATCH(Z$1,'Key Metrics'!$E$16:$M$16,0)),0)</f>
        <v>0</v>
      </c>
      <c r="AA391" s="9">
        <f t="shared" si="68"/>
        <v>66875.399999999994</v>
      </c>
      <c r="AB391" s="9">
        <f t="shared" si="69"/>
        <v>66875.994447999998</v>
      </c>
    </row>
    <row r="392" spans="1:28" x14ac:dyDescent="0.55000000000000004">
      <c r="A392" t="str">
        <f t="shared" si="60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COUNTIF(deals_closed!$D$2:$D$20001,Calculations!B997)</f>
        <v>16</v>
      </c>
      <c r="H392" s="7">
        <f>SUMIF(deals_closed!$D:$D,Calculations!B997,deals_closed!$C:$C)</f>
        <v>551148</v>
      </c>
      <c r="I392" s="5">
        <f>VLOOKUP(E392,'2018_commission_structure'!$A$1:$I$4,9,FALSE)</f>
        <v>600000</v>
      </c>
      <c r="J392" s="9">
        <f t="shared" si="61"/>
        <v>750000</v>
      </c>
      <c r="K392" s="10">
        <f t="shared" si="62"/>
        <v>900000</v>
      </c>
      <c r="L392" s="9">
        <f t="shared" si="63"/>
        <v>1200000</v>
      </c>
      <c r="M392" s="8">
        <f t="shared" si="64"/>
        <v>0.91857999999999995</v>
      </c>
      <c r="N392" t="str">
        <f t="shared" si="65"/>
        <v>0-100%</v>
      </c>
      <c r="O392" s="9">
        <f>MIN($H392,$I392)*INDEX('2018_commission_structure'!$A$1:$I$4,MATCH($E392,'2018_commission_structure'!$A$1:$A$4,0),MATCH(O$1,'2018_commission_structure'!$A$1:$I$1,0))</f>
        <v>71649.240000000005</v>
      </c>
      <c r="P392" s="9">
        <f>IF(H392&gt;I392, MIN(H392-I392, J392-I392)*INDEX('2018_commission_structure'!$A$1:$I$4,MATCH($E392,'2018_commission_structure'!$A$1:$A$4,0),MATCH(P$1,'2018_commission_structure'!$A$1:$I$1,0)),0)</f>
        <v>0</v>
      </c>
      <c r="Q392" s="9">
        <f>IF($H392&gt;J392, MIN($H392-J392, K392-J392)*INDEX('2018_commission_structure'!$A$1:$I$4,MATCH($E392,'2018_commission_structure'!$A$1:$A$4,0),MATCH(Q$1,'2018_commission_structure'!$A$1:$I$1,0)),0)</f>
        <v>0</v>
      </c>
      <c r="R392" s="9">
        <f>IF($H392&gt;K392, MIN($H392-K392, L392-K392)*INDEX('2018_commission_structure'!$A$1:$I$4,MATCH($E392,'2018_commission_structure'!$A$1:$A$4,0),MATCH(R$1,'2018_commission_structure'!$A$1:$I$1,0)),0)</f>
        <v>0</v>
      </c>
      <c r="S392" s="9">
        <f>IF(H392&gt;L392,(H392-L392)*INDEX('2018_commission_structure'!$A$1:$I$4,MATCH($E392,'2018_commission_structure'!$A$1:$A$4,0),MATCH(S$1,'2018_commission_structure'!$A$1:$I$1,0)),0)</f>
        <v>0</v>
      </c>
      <c r="T392" s="9">
        <f t="shared" si="66"/>
        <v>71649.240000000005</v>
      </c>
      <c r="U392" s="9">
        <f t="shared" si="67"/>
        <v>140004.24</v>
      </c>
      <c r="V392" s="9">
        <f>MIN($I392,$H392)*INDEX('Key Metrics'!$E$16:$N$19,MATCH($E392,'Key Metrics'!$E$16:$E$19,0),MATCH(V$1,'Key Metrics'!$E$16:$M$16,0))</f>
        <v>82672.2</v>
      </c>
      <c r="W392" s="9">
        <f>IF($H392&gt;I392, MIN($H392-I392, J392-I392)*INDEX('Key Metrics'!$E$16:$N$19,MATCH($E392,'Key Metrics'!$E$16:$E$19,0),MATCH(W$1,'Key Metrics'!$E$16:$M$16,0)),0)</f>
        <v>0</v>
      </c>
      <c r="X392" s="9">
        <f>IF($H392&gt;J392, MIN($H392-J392, K392-J392)*INDEX('Key Metrics'!$E$16:$N$19,MATCH($E392,'Key Metrics'!$E$16:$E$19,0),MATCH(X$1,'Key Metrics'!$E$16:$M$16,0)),0)</f>
        <v>0</v>
      </c>
      <c r="Y392" s="9">
        <f>IF($H392&gt;K392, MIN($H392-K392, L392-K392)*INDEX('Key Metrics'!$E$16:$N$19,MATCH($E392,'Key Metrics'!$E$16:$E$19,0),MATCH(Y$1,'Key Metrics'!$E$16:$M$16,0)),0)</f>
        <v>0</v>
      </c>
      <c r="Z392" s="9">
        <f>IF($H392&gt;L392,($H392-L392)*INDEX('Key Metrics'!$E$16:$N$19,MATCH($E392,'Key Metrics'!$E$16:$E$19,0),MATCH(Z$1,'Key Metrics'!$E$16:$M$16,0)),0)</f>
        <v>0</v>
      </c>
      <c r="AA392" s="9">
        <f t="shared" si="68"/>
        <v>82672.2</v>
      </c>
      <c r="AB392" s="9">
        <f t="shared" si="69"/>
        <v>82673.118579999995</v>
      </c>
    </row>
    <row r="393" spans="1:28" x14ac:dyDescent="0.55000000000000004">
      <c r="A393" t="str">
        <f t="shared" si="60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COUNTIF(deals_closed!$D$2:$D$20001,Calculations!B900)</f>
        <v>22</v>
      </c>
      <c r="H393" s="7">
        <f>SUMIF(deals_closed!$D:$D,Calculations!B900,deals_closed!$C:$C)</f>
        <v>870237</v>
      </c>
      <c r="I393" s="5">
        <f>VLOOKUP(E393,'2018_commission_structure'!$A$1:$I$4,9,FALSE)</f>
        <v>500000</v>
      </c>
      <c r="J393" s="9">
        <f t="shared" si="61"/>
        <v>625000</v>
      </c>
      <c r="K393" s="10">
        <f t="shared" si="62"/>
        <v>750000</v>
      </c>
      <c r="L393" s="9">
        <f t="shared" si="63"/>
        <v>1000000</v>
      </c>
      <c r="M393" s="8">
        <f t="shared" si="64"/>
        <v>1.7404740000000001</v>
      </c>
      <c r="N393" t="str">
        <f t="shared" si="65"/>
        <v>150-200%</v>
      </c>
      <c r="O393" s="9">
        <f>MIN($H393,$I393)*INDEX('2018_commission_structure'!$A$1:$I$4,MATCH($E393,'2018_commission_structure'!$A$1:$A$4,0),MATCH(O$1,'2018_commission_structure'!$A$1:$I$1,0))</f>
        <v>50000</v>
      </c>
      <c r="P393" s="9">
        <f>IF(H393&gt;I393, MIN(H393-I393, J393-I393)*INDEX('2018_commission_structure'!$A$1:$I$4,MATCH($E393,'2018_commission_structure'!$A$1:$A$4,0),MATCH(P$1,'2018_commission_structure'!$A$1:$I$1,0)),0)</f>
        <v>18750</v>
      </c>
      <c r="Q393" s="9">
        <f>IF($H393&gt;J393, MIN($H393-J393, K393-J393)*INDEX('2018_commission_structure'!$A$1:$I$4,MATCH($E393,'2018_commission_structure'!$A$1:$A$4,0),MATCH(Q$1,'2018_commission_structure'!$A$1:$I$1,0)),0)</f>
        <v>22500</v>
      </c>
      <c r="R393" s="9">
        <f>IF($H393&gt;K393, MIN($H393-K393, L393-K393)*INDEX('2018_commission_structure'!$A$1:$I$4,MATCH($E393,'2018_commission_structure'!$A$1:$A$4,0),MATCH(R$1,'2018_commission_structure'!$A$1:$I$1,0)),0)</f>
        <v>26452.14</v>
      </c>
      <c r="S393" s="9">
        <f>IF(H393&gt;L393,(H393-L393)*INDEX('2018_commission_structure'!$A$1:$I$4,MATCH($E393,'2018_commission_structure'!$A$1:$A$4,0),MATCH(S$1,'2018_commission_structure'!$A$1:$I$1,0)),0)</f>
        <v>0</v>
      </c>
      <c r="T393" s="9">
        <f t="shared" si="66"/>
        <v>117702.14</v>
      </c>
      <c r="U393" s="9">
        <f t="shared" si="67"/>
        <v>158333.14000000001</v>
      </c>
      <c r="V393" s="9">
        <f>MIN($I393,$H393)*INDEX('Key Metrics'!$E$16:$N$19,MATCH($E393,'Key Metrics'!$E$16:$E$19,0),MATCH(V$1,'Key Metrics'!$E$16:$M$16,0))</f>
        <v>60000</v>
      </c>
      <c r="W393" s="9">
        <f>IF($H393&gt;I393, MIN($H393-I393, J393-I393)*INDEX('Key Metrics'!$E$16:$N$19,MATCH($E393,'Key Metrics'!$E$16:$E$19,0),MATCH(W$1,'Key Metrics'!$E$16:$M$16,0)),0)</f>
        <v>21250</v>
      </c>
      <c r="X393" s="9">
        <f>IF($H393&gt;J393, MIN($H393-J393, K393-J393)*INDEX('Key Metrics'!$E$16:$N$19,MATCH($E393,'Key Metrics'!$E$16:$E$19,0),MATCH(X$1,'Key Metrics'!$E$16:$M$16,0)),0)</f>
        <v>25000</v>
      </c>
      <c r="Y393" s="9">
        <f>IF($H393&gt;K393, MIN($H393-K393, L393-K393)*INDEX('Key Metrics'!$E$16:$N$19,MATCH($E393,'Key Metrics'!$E$16:$E$19,0),MATCH(Y$1,'Key Metrics'!$E$16:$M$16,0)),0)</f>
        <v>26452.14</v>
      </c>
      <c r="Z393" s="9">
        <f>IF($H393&gt;L393,($H393-L393)*INDEX('Key Metrics'!$E$16:$N$19,MATCH($E393,'Key Metrics'!$E$16:$E$19,0),MATCH(Z$1,'Key Metrics'!$E$16:$M$16,0)),0)</f>
        <v>0</v>
      </c>
      <c r="AA393" s="9">
        <f t="shared" si="68"/>
        <v>132702.14000000001</v>
      </c>
      <c r="AB393" s="9">
        <f t="shared" si="69"/>
        <v>132703.88047400001</v>
      </c>
    </row>
    <row r="394" spans="1:28" x14ac:dyDescent="0.55000000000000004">
      <c r="A394" t="str">
        <f t="shared" si="60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COUNTIF(deals_closed!$D$2:$D$20001,Calculations!B57)</f>
        <v>18</v>
      </c>
      <c r="H394" s="7">
        <f>SUMIF(deals_closed!$D:$D,Calculations!B57,deals_closed!$C:$C)</f>
        <v>575085</v>
      </c>
      <c r="I394" s="5">
        <f>VLOOKUP(E394,'2018_commission_structure'!$A$1:$I$4,9,FALSE)</f>
        <v>600000</v>
      </c>
      <c r="J394" s="9">
        <f t="shared" si="61"/>
        <v>750000</v>
      </c>
      <c r="K394" s="10">
        <f t="shared" si="62"/>
        <v>900000</v>
      </c>
      <c r="L394" s="9">
        <f t="shared" si="63"/>
        <v>1200000</v>
      </c>
      <c r="M394" s="8">
        <f t="shared" si="64"/>
        <v>0.95847499999999997</v>
      </c>
      <c r="N394" t="str">
        <f t="shared" si="65"/>
        <v>0-100%</v>
      </c>
      <c r="O394" s="9">
        <f>MIN($H394,$I394)*INDEX('2018_commission_structure'!$A$1:$I$4,MATCH($E394,'2018_commission_structure'!$A$1:$A$4,0),MATCH(O$1,'2018_commission_structure'!$A$1:$I$1,0))</f>
        <v>74761.05</v>
      </c>
      <c r="P394" s="9">
        <f>IF(H394&gt;I394, MIN(H394-I394, J394-I394)*INDEX('2018_commission_structure'!$A$1:$I$4,MATCH($E394,'2018_commission_structure'!$A$1:$A$4,0),MATCH(P$1,'2018_commission_structure'!$A$1:$I$1,0)),0)</f>
        <v>0</v>
      </c>
      <c r="Q394" s="9">
        <f>IF($H394&gt;J394, MIN($H394-J394, K394-J394)*INDEX('2018_commission_structure'!$A$1:$I$4,MATCH($E394,'2018_commission_structure'!$A$1:$A$4,0),MATCH(Q$1,'2018_commission_structure'!$A$1:$I$1,0)),0)</f>
        <v>0</v>
      </c>
      <c r="R394" s="9">
        <f>IF($H394&gt;K394, MIN($H394-K394, L394-K394)*INDEX('2018_commission_structure'!$A$1:$I$4,MATCH($E394,'2018_commission_structure'!$A$1:$A$4,0),MATCH(R$1,'2018_commission_structure'!$A$1:$I$1,0)),0)</f>
        <v>0</v>
      </c>
      <c r="S394" s="9">
        <f>IF(H394&gt;L394,(H394-L394)*INDEX('2018_commission_structure'!$A$1:$I$4,MATCH($E394,'2018_commission_structure'!$A$1:$A$4,0),MATCH(S$1,'2018_commission_structure'!$A$1:$I$1,0)),0)</f>
        <v>0</v>
      </c>
      <c r="T394" s="9">
        <f t="shared" si="66"/>
        <v>74761.05</v>
      </c>
      <c r="U394" s="9">
        <f t="shared" si="67"/>
        <v>147070.04999999999</v>
      </c>
      <c r="V394" s="9">
        <f>MIN($I394,$H394)*INDEX('Key Metrics'!$E$16:$N$19,MATCH($E394,'Key Metrics'!$E$16:$E$19,0),MATCH(V$1,'Key Metrics'!$E$16:$M$16,0))</f>
        <v>86262.75</v>
      </c>
      <c r="W394" s="9">
        <f>IF($H394&gt;I394, MIN($H394-I394, J394-I394)*INDEX('Key Metrics'!$E$16:$N$19,MATCH($E394,'Key Metrics'!$E$16:$E$19,0),MATCH(W$1,'Key Metrics'!$E$16:$M$16,0)),0)</f>
        <v>0</v>
      </c>
      <c r="X394" s="9">
        <f>IF($H394&gt;J394, MIN($H394-J394, K394-J394)*INDEX('Key Metrics'!$E$16:$N$19,MATCH($E394,'Key Metrics'!$E$16:$E$19,0),MATCH(X$1,'Key Metrics'!$E$16:$M$16,0)),0)</f>
        <v>0</v>
      </c>
      <c r="Y394" s="9">
        <f>IF($H394&gt;K394, MIN($H394-K394, L394-K394)*INDEX('Key Metrics'!$E$16:$N$19,MATCH($E394,'Key Metrics'!$E$16:$E$19,0),MATCH(Y$1,'Key Metrics'!$E$16:$M$16,0)),0)</f>
        <v>0</v>
      </c>
      <c r="Z394" s="9">
        <f>IF($H394&gt;L394,($H394-L394)*INDEX('Key Metrics'!$E$16:$N$19,MATCH($E394,'Key Metrics'!$E$16:$E$19,0),MATCH(Z$1,'Key Metrics'!$E$16:$M$16,0)),0)</f>
        <v>0</v>
      </c>
      <c r="AA394" s="9">
        <f t="shared" si="68"/>
        <v>86262.75</v>
      </c>
      <c r="AB394" s="9">
        <f t="shared" si="69"/>
        <v>86263.708475000007</v>
      </c>
    </row>
    <row r="395" spans="1:28" x14ac:dyDescent="0.55000000000000004">
      <c r="A395" t="str">
        <f t="shared" si="60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COUNTIF(deals_closed!$D$2:$D$20001,Calculations!B514)</f>
        <v>20</v>
      </c>
      <c r="H395" s="7">
        <f>SUMIF(deals_closed!$D:$D,Calculations!B514,deals_closed!$C:$C)</f>
        <v>822111</v>
      </c>
      <c r="I395" s="5">
        <f>VLOOKUP(E395,'2018_commission_structure'!$A$1:$I$4,9,FALSE)</f>
        <v>500000</v>
      </c>
      <c r="J395" s="9">
        <f t="shared" si="61"/>
        <v>625000</v>
      </c>
      <c r="K395" s="10">
        <f t="shared" si="62"/>
        <v>750000</v>
      </c>
      <c r="L395" s="9">
        <f t="shared" si="63"/>
        <v>1000000</v>
      </c>
      <c r="M395" s="8">
        <f t="shared" si="64"/>
        <v>1.6442220000000001</v>
      </c>
      <c r="N395" t="str">
        <f t="shared" si="65"/>
        <v>150-200%</v>
      </c>
      <c r="O395" s="9">
        <f>MIN($H395,$I395)*INDEX('2018_commission_structure'!$A$1:$I$4,MATCH($E395,'2018_commission_structure'!$A$1:$A$4,0),MATCH(O$1,'2018_commission_structure'!$A$1:$I$1,0))</f>
        <v>50000</v>
      </c>
      <c r="P395" s="9">
        <f>IF(H395&gt;I395, MIN(H395-I395, J395-I395)*INDEX('2018_commission_structure'!$A$1:$I$4,MATCH($E395,'2018_commission_structure'!$A$1:$A$4,0),MATCH(P$1,'2018_commission_structure'!$A$1:$I$1,0)),0)</f>
        <v>18750</v>
      </c>
      <c r="Q395" s="9">
        <f>IF($H395&gt;J395, MIN($H395-J395, K395-J395)*INDEX('2018_commission_structure'!$A$1:$I$4,MATCH($E395,'2018_commission_structure'!$A$1:$A$4,0),MATCH(Q$1,'2018_commission_structure'!$A$1:$I$1,0)),0)</f>
        <v>22500</v>
      </c>
      <c r="R395" s="9">
        <f>IF($H395&gt;K395, MIN($H395-K395, L395-K395)*INDEX('2018_commission_structure'!$A$1:$I$4,MATCH($E395,'2018_commission_structure'!$A$1:$A$4,0),MATCH(R$1,'2018_commission_structure'!$A$1:$I$1,0)),0)</f>
        <v>15864.42</v>
      </c>
      <c r="S395" s="9">
        <f>IF(H395&gt;L395,(H395-L395)*INDEX('2018_commission_structure'!$A$1:$I$4,MATCH($E395,'2018_commission_structure'!$A$1:$A$4,0),MATCH(S$1,'2018_commission_structure'!$A$1:$I$1,0)),0)</f>
        <v>0</v>
      </c>
      <c r="T395" s="9">
        <f t="shared" si="66"/>
        <v>107114.42</v>
      </c>
      <c r="U395" s="9">
        <f t="shared" si="67"/>
        <v>166552.41999999998</v>
      </c>
      <c r="V395" s="9">
        <f>MIN($I395,$H395)*INDEX('Key Metrics'!$E$16:$N$19,MATCH($E395,'Key Metrics'!$E$16:$E$19,0),MATCH(V$1,'Key Metrics'!$E$16:$M$16,0))</f>
        <v>60000</v>
      </c>
      <c r="W395" s="9">
        <f>IF($H395&gt;I395, MIN($H395-I395, J395-I395)*INDEX('Key Metrics'!$E$16:$N$19,MATCH($E395,'Key Metrics'!$E$16:$E$19,0),MATCH(W$1,'Key Metrics'!$E$16:$M$16,0)),0)</f>
        <v>21250</v>
      </c>
      <c r="X395" s="9">
        <f>IF($H395&gt;J395, MIN($H395-J395, K395-J395)*INDEX('Key Metrics'!$E$16:$N$19,MATCH($E395,'Key Metrics'!$E$16:$E$19,0),MATCH(X$1,'Key Metrics'!$E$16:$M$16,0)),0)</f>
        <v>25000</v>
      </c>
      <c r="Y395" s="9">
        <f>IF($H395&gt;K395, MIN($H395-K395, L395-K395)*INDEX('Key Metrics'!$E$16:$N$19,MATCH($E395,'Key Metrics'!$E$16:$E$19,0),MATCH(Y$1,'Key Metrics'!$E$16:$M$16,0)),0)</f>
        <v>15864.42</v>
      </c>
      <c r="Z395" s="9">
        <f>IF($H395&gt;L395,($H395-L395)*INDEX('Key Metrics'!$E$16:$N$19,MATCH($E395,'Key Metrics'!$E$16:$E$19,0),MATCH(Z$1,'Key Metrics'!$E$16:$M$16,0)),0)</f>
        <v>0</v>
      </c>
      <c r="AA395" s="9">
        <f t="shared" si="68"/>
        <v>122114.42</v>
      </c>
      <c r="AB395" s="9">
        <f t="shared" si="69"/>
        <v>122116.064222</v>
      </c>
    </row>
    <row r="396" spans="1:28" x14ac:dyDescent="0.55000000000000004">
      <c r="A396" t="str">
        <f t="shared" si="60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COUNTIF(deals_closed!$D$2:$D$20001,Calculations!B584)</f>
        <v>20</v>
      </c>
      <c r="H396" s="7">
        <f>SUMIF(deals_closed!$D:$D,Calculations!B584,deals_closed!$C:$C)</f>
        <v>568483</v>
      </c>
      <c r="I396" s="5">
        <f>VLOOKUP(E396,'2018_commission_structure'!$A$1:$I$4,9,FALSE)</f>
        <v>600000</v>
      </c>
      <c r="J396" s="9">
        <f t="shared" si="61"/>
        <v>750000</v>
      </c>
      <c r="K396" s="10">
        <f t="shared" si="62"/>
        <v>900000</v>
      </c>
      <c r="L396" s="9">
        <f t="shared" si="63"/>
        <v>1200000</v>
      </c>
      <c r="M396" s="8">
        <f t="shared" si="64"/>
        <v>0.94747166666666671</v>
      </c>
      <c r="N396" t="str">
        <f t="shared" si="65"/>
        <v>0-100%</v>
      </c>
      <c r="O396" s="9">
        <f>MIN($H396,$I396)*INDEX('2018_commission_structure'!$A$1:$I$4,MATCH($E396,'2018_commission_structure'!$A$1:$A$4,0),MATCH(O$1,'2018_commission_structure'!$A$1:$I$1,0))</f>
        <v>73902.790000000008</v>
      </c>
      <c r="P396" s="9">
        <f>IF(H396&gt;I396, MIN(H396-I396, J396-I396)*INDEX('2018_commission_structure'!$A$1:$I$4,MATCH($E396,'2018_commission_structure'!$A$1:$A$4,0),MATCH(P$1,'2018_commission_structure'!$A$1:$I$1,0)),0)</f>
        <v>0</v>
      </c>
      <c r="Q396" s="9">
        <f>IF($H396&gt;J396, MIN($H396-J396, K396-J396)*INDEX('2018_commission_structure'!$A$1:$I$4,MATCH($E396,'2018_commission_structure'!$A$1:$A$4,0),MATCH(Q$1,'2018_commission_structure'!$A$1:$I$1,0)),0)</f>
        <v>0</v>
      </c>
      <c r="R396" s="9">
        <f>IF($H396&gt;K396, MIN($H396-K396, L396-K396)*INDEX('2018_commission_structure'!$A$1:$I$4,MATCH($E396,'2018_commission_structure'!$A$1:$A$4,0),MATCH(R$1,'2018_commission_structure'!$A$1:$I$1,0)),0)</f>
        <v>0</v>
      </c>
      <c r="S396" s="9">
        <f>IF(H396&gt;L396,(H396-L396)*INDEX('2018_commission_structure'!$A$1:$I$4,MATCH($E396,'2018_commission_structure'!$A$1:$A$4,0),MATCH(S$1,'2018_commission_structure'!$A$1:$I$1,0)),0)</f>
        <v>0</v>
      </c>
      <c r="T396" s="9">
        <f t="shared" si="66"/>
        <v>73902.790000000008</v>
      </c>
      <c r="U396" s="9">
        <f t="shared" si="67"/>
        <v>127770.79000000001</v>
      </c>
      <c r="V396" s="9">
        <f>MIN($I396,$H396)*INDEX('Key Metrics'!$E$16:$N$19,MATCH($E396,'Key Metrics'!$E$16:$E$19,0),MATCH(V$1,'Key Metrics'!$E$16:$M$16,0))</f>
        <v>85272.45</v>
      </c>
      <c r="W396" s="9">
        <f>IF($H396&gt;I396, MIN($H396-I396, J396-I396)*INDEX('Key Metrics'!$E$16:$N$19,MATCH($E396,'Key Metrics'!$E$16:$E$19,0),MATCH(W$1,'Key Metrics'!$E$16:$M$16,0)),0)</f>
        <v>0</v>
      </c>
      <c r="X396" s="9">
        <f>IF($H396&gt;J396, MIN($H396-J396, K396-J396)*INDEX('Key Metrics'!$E$16:$N$19,MATCH($E396,'Key Metrics'!$E$16:$E$19,0),MATCH(X$1,'Key Metrics'!$E$16:$M$16,0)),0)</f>
        <v>0</v>
      </c>
      <c r="Y396" s="9">
        <f>IF($H396&gt;K396, MIN($H396-K396, L396-K396)*INDEX('Key Metrics'!$E$16:$N$19,MATCH($E396,'Key Metrics'!$E$16:$E$19,0),MATCH(Y$1,'Key Metrics'!$E$16:$M$16,0)),0)</f>
        <v>0</v>
      </c>
      <c r="Z396" s="9">
        <f>IF($H396&gt;L396,($H396-L396)*INDEX('Key Metrics'!$E$16:$N$19,MATCH($E396,'Key Metrics'!$E$16:$E$19,0),MATCH(Z$1,'Key Metrics'!$E$16:$M$16,0)),0)</f>
        <v>0</v>
      </c>
      <c r="AA396" s="9">
        <f t="shared" si="68"/>
        <v>85272.45</v>
      </c>
      <c r="AB396" s="9">
        <f t="shared" si="69"/>
        <v>85273.397471666671</v>
      </c>
    </row>
    <row r="397" spans="1:28" x14ac:dyDescent="0.55000000000000004">
      <c r="A397" t="str">
        <f t="shared" si="60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COUNTIF(deals_closed!$D$2:$D$20001,Calculations!B795)</f>
        <v>28</v>
      </c>
      <c r="H397" s="7">
        <f>SUMIF(deals_closed!$D:$D,Calculations!B795,deals_closed!$C:$C)</f>
        <v>941481</v>
      </c>
      <c r="I397" s="5">
        <f>VLOOKUP(E397,'2018_commission_structure'!$A$1:$I$4,9,FALSE)</f>
        <v>600000</v>
      </c>
      <c r="J397" s="9">
        <f t="shared" si="61"/>
        <v>750000</v>
      </c>
      <c r="K397" s="10">
        <f t="shared" si="62"/>
        <v>900000</v>
      </c>
      <c r="L397" s="9">
        <f t="shared" si="63"/>
        <v>1200000</v>
      </c>
      <c r="M397" s="8">
        <f t="shared" si="64"/>
        <v>1.5691349999999999</v>
      </c>
      <c r="N397" t="str">
        <f t="shared" si="65"/>
        <v>150-200%</v>
      </c>
      <c r="O397" s="9">
        <f>MIN($H397,$I397)*INDEX('2018_commission_structure'!$A$1:$I$4,MATCH($E397,'2018_commission_structure'!$A$1:$A$4,0),MATCH(O$1,'2018_commission_structure'!$A$1:$I$1,0))</f>
        <v>78000</v>
      </c>
      <c r="P397" s="9">
        <f>IF(H397&gt;I397, MIN(H397-I397, J397-I397)*INDEX('2018_commission_structure'!$A$1:$I$4,MATCH($E397,'2018_commission_structure'!$A$1:$A$4,0),MATCH(P$1,'2018_commission_structure'!$A$1:$I$1,0)),0)</f>
        <v>25500.000000000004</v>
      </c>
      <c r="Q397" s="9">
        <f>IF($H397&gt;J397, MIN($H397-J397, K397-J397)*INDEX('2018_commission_structure'!$A$1:$I$4,MATCH($E397,'2018_commission_structure'!$A$1:$A$4,0),MATCH(Q$1,'2018_commission_structure'!$A$1:$I$1,0)),0)</f>
        <v>31500</v>
      </c>
      <c r="R397" s="9">
        <f>IF($H397&gt;K397, MIN($H397-K397, L397-K397)*INDEX('2018_commission_structure'!$A$1:$I$4,MATCH($E397,'2018_commission_structure'!$A$1:$A$4,0),MATCH(R$1,'2018_commission_structure'!$A$1:$I$1,0)),0)</f>
        <v>10785.06</v>
      </c>
      <c r="S397" s="9">
        <f>IF(H397&gt;L397,(H397-L397)*INDEX('2018_commission_structure'!$A$1:$I$4,MATCH($E397,'2018_commission_structure'!$A$1:$A$4,0),MATCH(S$1,'2018_commission_structure'!$A$1:$I$1,0)),0)</f>
        <v>0</v>
      </c>
      <c r="T397" s="9">
        <f t="shared" si="66"/>
        <v>145785.06</v>
      </c>
      <c r="U397" s="9">
        <f t="shared" si="67"/>
        <v>202908.06</v>
      </c>
      <c r="V397" s="9">
        <f>MIN($I397,$H397)*INDEX('Key Metrics'!$E$16:$N$19,MATCH($E397,'Key Metrics'!$E$16:$E$19,0),MATCH(V$1,'Key Metrics'!$E$16:$M$16,0))</f>
        <v>90000</v>
      </c>
      <c r="W397" s="9">
        <f>IF($H397&gt;I397, MIN($H397-I397, J397-I397)*INDEX('Key Metrics'!$E$16:$N$19,MATCH($E397,'Key Metrics'!$E$16:$E$19,0),MATCH(W$1,'Key Metrics'!$E$16:$M$16,0)),0)</f>
        <v>27000</v>
      </c>
      <c r="X397" s="9">
        <f>IF($H397&gt;J397, MIN($H397-J397, K397-J397)*INDEX('Key Metrics'!$E$16:$N$19,MATCH($E397,'Key Metrics'!$E$16:$E$19,0),MATCH(X$1,'Key Metrics'!$E$16:$M$16,0)),0)</f>
        <v>37500</v>
      </c>
      <c r="Y397" s="9">
        <f>IF($H397&gt;K397, MIN($H397-K397, L397-K397)*INDEX('Key Metrics'!$E$16:$N$19,MATCH($E397,'Key Metrics'!$E$16:$E$19,0),MATCH(Y$1,'Key Metrics'!$E$16:$M$16,0)),0)</f>
        <v>12444.3</v>
      </c>
      <c r="Z397" s="9">
        <f>IF($H397&gt;L397,($H397-L397)*INDEX('Key Metrics'!$E$16:$N$19,MATCH($E397,'Key Metrics'!$E$16:$E$19,0),MATCH(Z$1,'Key Metrics'!$E$16:$M$16,0)),0)</f>
        <v>0</v>
      </c>
      <c r="AA397" s="9">
        <f t="shared" si="68"/>
        <v>166944.29999999999</v>
      </c>
      <c r="AB397" s="9">
        <f t="shared" si="69"/>
        <v>166945.86913499999</v>
      </c>
    </row>
    <row r="398" spans="1:28" x14ac:dyDescent="0.55000000000000004">
      <c r="A398" t="str">
        <f t="shared" si="60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COUNTIF(deals_closed!$D$2:$D$20001,Calculations!B583)</f>
        <v>21</v>
      </c>
      <c r="H398" s="7">
        <f>SUMIF(deals_closed!$D:$D,Calculations!B583,deals_closed!$C:$C)</f>
        <v>679511</v>
      </c>
      <c r="I398" s="5">
        <f>VLOOKUP(E398,'2018_commission_structure'!$A$1:$I$4,9,FALSE)</f>
        <v>500000</v>
      </c>
      <c r="J398" s="9">
        <f t="shared" si="61"/>
        <v>625000</v>
      </c>
      <c r="K398" s="10">
        <f t="shared" si="62"/>
        <v>750000</v>
      </c>
      <c r="L398" s="9">
        <f t="shared" si="63"/>
        <v>1000000</v>
      </c>
      <c r="M398" s="8">
        <f t="shared" si="64"/>
        <v>1.359022</v>
      </c>
      <c r="N398" t="str">
        <f t="shared" si="65"/>
        <v>125-150%</v>
      </c>
      <c r="O398" s="9">
        <f>MIN($H398,$I398)*INDEX('2018_commission_structure'!$A$1:$I$4,MATCH($E398,'2018_commission_structure'!$A$1:$A$4,0),MATCH(O$1,'2018_commission_structure'!$A$1:$I$1,0))</f>
        <v>50000</v>
      </c>
      <c r="P398" s="9">
        <f>IF(H398&gt;I398, MIN(H398-I398, J398-I398)*INDEX('2018_commission_structure'!$A$1:$I$4,MATCH($E398,'2018_commission_structure'!$A$1:$A$4,0),MATCH(P$1,'2018_commission_structure'!$A$1:$I$1,0)),0)</f>
        <v>18750</v>
      </c>
      <c r="Q398" s="9">
        <f>IF($H398&gt;J398, MIN($H398-J398, K398-J398)*INDEX('2018_commission_structure'!$A$1:$I$4,MATCH($E398,'2018_commission_structure'!$A$1:$A$4,0),MATCH(Q$1,'2018_commission_structure'!$A$1:$I$1,0)),0)</f>
        <v>9811.98</v>
      </c>
      <c r="R398" s="9">
        <f>IF($H398&gt;K398, MIN($H398-K398, L398-K398)*INDEX('2018_commission_structure'!$A$1:$I$4,MATCH($E398,'2018_commission_structure'!$A$1:$A$4,0),MATCH(R$1,'2018_commission_structure'!$A$1:$I$1,0)),0)</f>
        <v>0</v>
      </c>
      <c r="S398" s="9">
        <f>IF(H398&gt;L398,(H398-L398)*INDEX('2018_commission_structure'!$A$1:$I$4,MATCH($E398,'2018_commission_structure'!$A$1:$A$4,0),MATCH(S$1,'2018_commission_structure'!$A$1:$I$1,0)),0)</f>
        <v>0</v>
      </c>
      <c r="T398" s="9">
        <f t="shared" si="66"/>
        <v>78561.98</v>
      </c>
      <c r="U398" s="9">
        <f t="shared" si="67"/>
        <v>118596.98</v>
      </c>
      <c r="V398" s="9">
        <f>MIN($I398,$H398)*INDEX('Key Metrics'!$E$16:$N$19,MATCH($E398,'Key Metrics'!$E$16:$E$19,0),MATCH(V$1,'Key Metrics'!$E$16:$M$16,0))</f>
        <v>60000</v>
      </c>
      <c r="W398" s="9">
        <f>IF($H398&gt;I398, MIN($H398-I398, J398-I398)*INDEX('Key Metrics'!$E$16:$N$19,MATCH($E398,'Key Metrics'!$E$16:$E$19,0),MATCH(W$1,'Key Metrics'!$E$16:$M$16,0)),0)</f>
        <v>21250</v>
      </c>
      <c r="X398" s="9">
        <f>IF($H398&gt;J398, MIN($H398-J398, K398-J398)*INDEX('Key Metrics'!$E$16:$N$19,MATCH($E398,'Key Metrics'!$E$16:$E$19,0),MATCH(X$1,'Key Metrics'!$E$16:$M$16,0)),0)</f>
        <v>10902.2</v>
      </c>
      <c r="Y398" s="9">
        <f>IF($H398&gt;K398, MIN($H398-K398, L398-K398)*INDEX('Key Metrics'!$E$16:$N$19,MATCH($E398,'Key Metrics'!$E$16:$E$19,0),MATCH(Y$1,'Key Metrics'!$E$16:$M$16,0)),0)</f>
        <v>0</v>
      </c>
      <c r="Z398" s="9">
        <f>IF($H398&gt;L398,($H398-L398)*INDEX('Key Metrics'!$E$16:$N$19,MATCH($E398,'Key Metrics'!$E$16:$E$19,0),MATCH(Z$1,'Key Metrics'!$E$16:$M$16,0)),0)</f>
        <v>0</v>
      </c>
      <c r="AA398" s="9">
        <f t="shared" si="68"/>
        <v>92152.2</v>
      </c>
      <c r="AB398" s="9">
        <f t="shared" si="69"/>
        <v>92153.559022000001</v>
      </c>
    </row>
    <row r="399" spans="1:28" x14ac:dyDescent="0.55000000000000004">
      <c r="A399" t="str">
        <f t="shared" si="60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COUNTIF(deals_closed!$D$2:$D$20001,Calculations!B246)</f>
        <v>17</v>
      </c>
      <c r="H399" s="7">
        <f>SUMIF(deals_closed!$D:$D,Calculations!B246,deals_closed!$C:$C)</f>
        <v>528881</v>
      </c>
      <c r="I399" s="5">
        <f>VLOOKUP(E399,'2018_commission_structure'!$A$1:$I$4,9,FALSE)</f>
        <v>600000</v>
      </c>
      <c r="J399" s="9">
        <f t="shared" si="61"/>
        <v>750000</v>
      </c>
      <c r="K399" s="10">
        <f t="shared" si="62"/>
        <v>900000</v>
      </c>
      <c r="L399" s="9">
        <f t="shared" si="63"/>
        <v>1200000</v>
      </c>
      <c r="M399" s="8">
        <f t="shared" si="64"/>
        <v>0.8814683333333333</v>
      </c>
      <c r="N399" t="str">
        <f t="shared" si="65"/>
        <v>0-100%</v>
      </c>
      <c r="O399" s="9">
        <f>MIN($H399,$I399)*INDEX('2018_commission_structure'!$A$1:$I$4,MATCH($E399,'2018_commission_structure'!$A$1:$A$4,0),MATCH(O$1,'2018_commission_structure'!$A$1:$I$1,0))</f>
        <v>68754.53</v>
      </c>
      <c r="P399" s="9">
        <f>IF(H399&gt;I399, MIN(H399-I399, J399-I399)*INDEX('2018_commission_structure'!$A$1:$I$4,MATCH($E399,'2018_commission_structure'!$A$1:$A$4,0),MATCH(P$1,'2018_commission_structure'!$A$1:$I$1,0)),0)</f>
        <v>0</v>
      </c>
      <c r="Q399" s="9">
        <f>IF($H399&gt;J399, MIN($H399-J399, K399-J399)*INDEX('2018_commission_structure'!$A$1:$I$4,MATCH($E399,'2018_commission_structure'!$A$1:$A$4,0),MATCH(Q$1,'2018_commission_structure'!$A$1:$I$1,0)),0)</f>
        <v>0</v>
      </c>
      <c r="R399" s="9">
        <f>IF($H399&gt;K399, MIN($H399-K399, L399-K399)*INDEX('2018_commission_structure'!$A$1:$I$4,MATCH($E399,'2018_commission_structure'!$A$1:$A$4,0),MATCH(R$1,'2018_commission_structure'!$A$1:$I$1,0)),0)</f>
        <v>0</v>
      </c>
      <c r="S399" s="9">
        <f>IF(H399&gt;L399,(H399-L399)*INDEX('2018_commission_structure'!$A$1:$I$4,MATCH($E399,'2018_commission_structure'!$A$1:$A$4,0),MATCH(S$1,'2018_commission_structure'!$A$1:$I$1,0)),0)</f>
        <v>0</v>
      </c>
      <c r="T399" s="9">
        <f t="shared" si="66"/>
        <v>68754.53</v>
      </c>
      <c r="U399" s="9">
        <f t="shared" si="67"/>
        <v>137553.53</v>
      </c>
      <c r="V399" s="9">
        <f>MIN($I399,$H399)*INDEX('Key Metrics'!$E$16:$N$19,MATCH($E399,'Key Metrics'!$E$16:$E$19,0),MATCH(V$1,'Key Metrics'!$E$16:$M$16,0))</f>
        <v>79332.149999999994</v>
      </c>
      <c r="W399" s="9">
        <f>IF($H399&gt;I399, MIN($H399-I399, J399-I399)*INDEX('Key Metrics'!$E$16:$N$19,MATCH($E399,'Key Metrics'!$E$16:$E$19,0),MATCH(W$1,'Key Metrics'!$E$16:$M$16,0)),0)</f>
        <v>0</v>
      </c>
      <c r="X399" s="9">
        <f>IF($H399&gt;J399, MIN($H399-J399, K399-J399)*INDEX('Key Metrics'!$E$16:$N$19,MATCH($E399,'Key Metrics'!$E$16:$E$19,0),MATCH(X$1,'Key Metrics'!$E$16:$M$16,0)),0)</f>
        <v>0</v>
      </c>
      <c r="Y399" s="9">
        <f>IF($H399&gt;K399, MIN($H399-K399, L399-K399)*INDEX('Key Metrics'!$E$16:$N$19,MATCH($E399,'Key Metrics'!$E$16:$E$19,0),MATCH(Y$1,'Key Metrics'!$E$16:$M$16,0)),0)</f>
        <v>0</v>
      </c>
      <c r="Z399" s="9">
        <f>IF($H399&gt;L399,($H399-L399)*INDEX('Key Metrics'!$E$16:$N$19,MATCH($E399,'Key Metrics'!$E$16:$E$19,0),MATCH(Z$1,'Key Metrics'!$E$16:$M$16,0)),0)</f>
        <v>0</v>
      </c>
      <c r="AA399" s="9">
        <f t="shared" si="68"/>
        <v>79332.149999999994</v>
      </c>
      <c r="AB399" s="9">
        <f t="shared" si="69"/>
        <v>79333.031468333327</v>
      </c>
    </row>
    <row r="400" spans="1:28" x14ac:dyDescent="0.55000000000000004">
      <c r="A400" t="str">
        <f t="shared" si="60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COUNTIF(deals_closed!$D$2:$D$20001,Calculations!B384)</f>
        <v>26</v>
      </c>
      <c r="H400" s="7">
        <f>SUMIF(deals_closed!$D:$D,Calculations!B384,deals_closed!$C:$C)</f>
        <v>865380</v>
      </c>
      <c r="I400" s="5">
        <f>VLOOKUP(E400,'2018_commission_structure'!$A$1:$I$4,9,FALSE)</f>
        <v>600000</v>
      </c>
      <c r="J400" s="9">
        <f t="shared" si="61"/>
        <v>750000</v>
      </c>
      <c r="K400" s="10">
        <f t="shared" si="62"/>
        <v>900000</v>
      </c>
      <c r="L400" s="9">
        <f t="shared" si="63"/>
        <v>1200000</v>
      </c>
      <c r="M400" s="8">
        <f t="shared" si="64"/>
        <v>1.4422999999999999</v>
      </c>
      <c r="N400" t="str">
        <f t="shared" si="65"/>
        <v>125-150%</v>
      </c>
      <c r="O400" s="9">
        <f>MIN($H400,$I400)*INDEX('2018_commission_structure'!$A$1:$I$4,MATCH($E400,'2018_commission_structure'!$A$1:$A$4,0),MATCH(O$1,'2018_commission_structure'!$A$1:$I$1,0))</f>
        <v>78000</v>
      </c>
      <c r="P400" s="9">
        <f>IF(H400&gt;I400, MIN(H400-I400, J400-I400)*INDEX('2018_commission_structure'!$A$1:$I$4,MATCH($E400,'2018_commission_structure'!$A$1:$A$4,0),MATCH(P$1,'2018_commission_structure'!$A$1:$I$1,0)),0)</f>
        <v>25500.000000000004</v>
      </c>
      <c r="Q400" s="9">
        <f>IF($H400&gt;J400, MIN($H400-J400, K400-J400)*INDEX('2018_commission_structure'!$A$1:$I$4,MATCH($E400,'2018_commission_structure'!$A$1:$A$4,0),MATCH(Q$1,'2018_commission_structure'!$A$1:$I$1,0)),0)</f>
        <v>24229.8</v>
      </c>
      <c r="R400" s="9">
        <f>IF($H400&gt;K400, MIN($H400-K400, L400-K400)*INDEX('2018_commission_structure'!$A$1:$I$4,MATCH($E400,'2018_commission_structure'!$A$1:$A$4,0),MATCH(R$1,'2018_commission_structure'!$A$1:$I$1,0)),0)</f>
        <v>0</v>
      </c>
      <c r="S400" s="9">
        <f>IF(H400&gt;L400,(H400-L400)*INDEX('2018_commission_structure'!$A$1:$I$4,MATCH($E400,'2018_commission_structure'!$A$1:$A$4,0),MATCH(S$1,'2018_commission_structure'!$A$1:$I$1,0)),0)</f>
        <v>0</v>
      </c>
      <c r="T400" s="9">
        <f t="shared" si="66"/>
        <v>127729.8</v>
      </c>
      <c r="U400" s="9">
        <f t="shared" si="67"/>
        <v>206525.8</v>
      </c>
      <c r="V400" s="9">
        <f>MIN($I400,$H400)*INDEX('Key Metrics'!$E$16:$N$19,MATCH($E400,'Key Metrics'!$E$16:$E$19,0),MATCH(V$1,'Key Metrics'!$E$16:$M$16,0))</f>
        <v>90000</v>
      </c>
      <c r="W400" s="9">
        <f>IF($H400&gt;I400, MIN($H400-I400, J400-I400)*INDEX('Key Metrics'!$E$16:$N$19,MATCH($E400,'Key Metrics'!$E$16:$E$19,0),MATCH(W$1,'Key Metrics'!$E$16:$M$16,0)),0)</f>
        <v>27000</v>
      </c>
      <c r="X400" s="9">
        <f>IF($H400&gt;J400, MIN($H400-J400, K400-J400)*INDEX('Key Metrics'!$E$16:$N$19,MATCH($E400,'Key Metrics'!$E$16:$E$19,0),MATCH(X$1,'Key Metrics'!$E$16:$M$16,0)),0)</f>
        <v>28845</v>
      </c>
      <c r="Y400" s="9">
        <f>IF($H400&gt;K400, MIN($H400-K400, L400-K400)*INDEX('Key Metrics'!$E$16:$N$19,MATCH($E400,'Key Metrics'!$E$16:$E$19,0),MATCH(Y$1,'Key Metrics'!$E$16:$M$16,0)),0)</f>
        <v>0</v>
      </c>
      <c r="Z400" s="9">
        <f>IF($H400&gt;L400,($H400-L400)*INDEX('Key Metrics'!$E$16:$N$19,MATCH($E400,'Key Metrics'!$E$16:$E$19,0),MATCH(Z$1,'Key Metrics'!$E$16:$M$16,0)),0)</f>
        <v>0</v>
      </c>
      <c r="AA400" s="9">
        <f t="shared" si="68"/>
        <v>145845</v>
      </c>
      <c r="AB400" s="9">
        <f t="shared" si="69"/>
        <v>145846.4423</v>
      </c>
    </row>
    <row r="401" spans="1:28" x14ac:dyDescent="0.55000000000000004">
      <c r="A401" t="str">
        <f t="shared" si="60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COUNTIF(deals_closed!$D$2:$D$20001,Calculations!B942)</f>
        <v>18</v>
      </c>
      <c r="H401" s="7">
        <f>SUMIF(deals_closed!$D:$D,Calculations!B942,deals_closed!$C:$C)</f>
        <v>557797</v>
      </c>
      <c r="I401" s="5">
        <f>VLOOKUP(E401,'2018_commission_structure'!$A$1:$I$4,9,FALSE)</f>
        <v>750000</v>
      </c>
      <c r="J401" s="9">
        <f t="shared" si="61"/>
        <v>937500</v>
      </c>
      <c r="K401" s="10">
        <f t="shared" si="62"/>
        <v>1125000</v>
      </c>
      <c r="L401" s="9">
        <f t="shared" si="63"/>
        <v>1500000</v>
      </c>
      <c r="M401" s="8">
        <f t="shared" si="64"/>
        <v>0.74372933333333335</v>
      </c>
      <c r="N401" t="str">
        <f t="shared" si="65"/>
        <v>0-100%</v>
      </c>
      <c r="O401" s="9">
        <f>MIN($H401,$I401)*INDEX('2018_commission_structure'!$A$1:$I$4,MATCH($E401,'2018_commission_structure'!$A$1:$A$4,0),MATCH(O$1,'2018_commission_structure'!$A$1:$I$1,0))</f>
        <v>83669.55</v>
      </c>
      <c r="P401" s="9">
        <f>IF(H401&gt;I401, MIN(H401-I401, J401-I401)*INDEX('2018_commission_structure'!$A$1:$I$4,MATCH($E401,'2018_commission_structure'!$A$1:$A$4,0),MATCH(P$1,'2018_commission_structure'!$A$1:$I$1,0)),0)</f>
        <v>0</v>
      </c>
      <c r="Q401" s="9">
        <f>IF($H401&gt;J401, MIN($H401-J401, K401-J401)*INDEX('2018_commission_structure'!$A$1:$I$4,MATCH($E401,'2018_commission_structure'!$A$1:$A$4,0),MATCH(Q$1,'2018_commission_structure'!$A$1:$I$1,0)),0)</f>
        <v>0</v>
      </c>
      <c r="R401" s="9">
        <f>IF($H401&gt;K401, MIN($H401-K401, L401-K401)*INDEX('2018_commission_structure'!$A$1:$I$4,MATCH($E401,'2018_commission_structure'!$A$1:$A$4,0),MATCH(R$1,'2018_commission_structure'!$A$1:$I$1,0)),0)</f>
        <v>0</v>
      </c>
      <c r="S401" s="9">
        <f>IF(H401&gt;L401,(H401-L401)*INDEX('2018_commission_structure'!$A$1:$I$4,MATCH($E401,'2018_commission_structure'!$A$1:$A$4,0),MATCH(S$1,'2018_commission_structure'!$A$1:$I$1,0)),0)</f>
        <v>0</v>
      </c>
      <c r="T401" s="9">
        <f t="shared" si="66"/>
        <v>83669.55</v>
      </c>
      <c r="U401" s="9">
        <f t="shared" si="67"/>
        <v>171160.55</v>
      </c>
      <c r="V401" s="9">
        <f>MIN($I401,$H401)*INDEX('Key Metrics'!$E$16:$N$19,MATCH($E401,'Key Metrics'!$E$16:$E$19,0),MATCH(V$1,'Key Metrics'!$E$16:$M$16,0))</f>
        <v>83669.55</v>
      </c>
      <c r="W401" s="9">
        <f>IF($H401&gt;I401, MIN($H401-I401, J401-I401)*INDEX('Key Metrics'!$E$16:$N$19,MATCH($E401,'Key Metrics'!$E$16:$E$19,0),MATCH(W$1,'Key Metrics'!$E$16:$M$16,0)),0)</f>
        <v>0</v>
      </c>
      <c r="X401" s="9">
        <f>IF($H401&gt;J401, MIN($H401-J401, K401-J401)*INDEX('Key Metrics'!$E$16:$N$19,MATCH($E401,'Key Metrics'!$E$16:$E$19,0),MATCH(X$1,'Key Metrics'!$E$16:$M$16,0)),0)</f>
        <v>0</v>
      </c>
      <c r="Y401" s="9">
        <f>IF($H401&gt;K401, MIN($H401-K401, L401-K401)*INDEX('Key Metrics'!$E$16:$N$19,MATCH($E401,'Key Metrics'!$E$16:$E$19,0),MATCH(Y$1,'Key Metrics'!$E$16:$M$16,0)),0)</f>
        <v>0</v>
      </c>
      <c r="Z401" s="9">
        <f>IF($H401&gt;L401,($H401-L401)*INDEX('Key Metrics'!$E$16:$N$19,MATCH($E401,'Key Metrics'!$E$16:$E$19,0),MATCH(Z$1,'Key Metrics'!$E$16:$M$16,0)),0)</f>
        <v>0</v>
      </c>
      <c r="AA401" s="9">
        <f t="shared" si="68"/>
        <v>83669.55</v>
      </c>
      <c r="AB401" s="9">
        <f t="shared" si="69"/>
        <v>83670.293729333338</v>
      </c>
    </row>
    <row r="402" spans="1:28" x14ac:dyDescent="0.55000000000000004">
      <c r="A402" t="str">
        <f t="shared" si="60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COUNTIF(deals_closed!$D$2:$D$20001,Calculations!B876)</f>
        <v>31</v>
      </c>
      <c r="H402" s="7">
        <f>SUMIF(deals_closed!$D:$D,Calculations!B876,deals_closed!$C:$C)</f>
        <v>1280079</v>
      </c>
      <c r="I402" s="5">
        <f>VLOOKUP(E402,'2018_commission_structure'!$A$1:$I$4,9,FALSE)</f>
        <v>600000</v>
      </c>
      <c r="J402" s="9">
        <f t="shared" si="61"/>
        <v>750000</v>
      </c>
      <c r="K402" s="10">
        <f t="shared" si="62"/>
        <v>900000</v>
      </c>
      <c r="L402" s="9">
        <f t="shared" si="63"/>
        <v>1200000</v>
      </c>
      <c r="M402" s="8">
        <f t="shared" si="64"/>
        <v>2.1334650000000002</v>
      </c>
      <c r="N402" t="str">
        <f t="shared" si="65"/>
        <v>&gt;200%</v>
      </c>
      <c r="O402" s="9">
        <f>MIN($H402,$I402)*INDEX('2018_commission_structure'!$A$1:$I$4,MATCH($E402,'2018_commission_structure'!$A$1:$A$4,0),MATCH(O$1,'2018_commission_structure'!$A$1:$I$1,0))</f>
        <v>78000</v>
      </c>
      <c r="P402" s="9">
        <f>IF(H402&gt;I402, MIN(H402-I402, J402-I402)*INDEX('2018_commission_structure'!$A$1:$I$4,MATCH($E402,'2018_commission_structure'!$A$1:$A$4,0),MATCH(P$1,'2018_commission_structure'!$A$1:$I$1,0)),0)</f>
        <v>25500.000000000004</v>
      </c>
      <c r="Q402" s="9">
        <f>IF($H402&gt;J402, MIN($H402-J402, K402-J402)*INDEX('2018_commission_structure'!$A$1:$I$4,MATCH($E402,'2018_commission_structure'!$A$1:$A$4,0),MATCH(Q$1,'2018_commission_structure'!$A$1:$I$1,0)),0)</f>
        <v>31500</v>
      </c>
      <c r="R402" s="9">
        <f>IF($H402&gt;K402, MIN($H402-K402, L402-K402)*INDEX('2018_commission_structure'!$A$1:$I$4,MATCH($E402,'2018_commission_structure'!$A$1:$A$4,0),MATCH(R$1,'2018_commission_structure'!$A$1:$I$1,0)),0)</f>
        <v>78000</v>
      </c>
      <c r="S402" s="9">
        <f>IF(H402&gt;L402,(H402-L402)*INDEX('2018_commission_structure'!$A$1:$I$4,MATCH($E402,'2018_commission_structure'!$A$1:$A$4,0),MATCH(S$1,'2018_commission_structure'!$A$1:$I$1,0)),0)</f>
        <v>10410.27</v>
      </c>
      <c r="T402" s="9">
        <f t="shared" si="66"/>
        <v>223410.27</v>
      </c>
      <c r="U402" s="9">
        <f t="shared" si="67"/>
        <v>302233.27</v>
      </c>
      <c r="V402" s="9">
        <f>MIN($I402,$H402)*INDEX('Key Metrics'!$E$16:$N$19,MATCH($E402,'Key Metrics'!$E$16:$E$19,0),MATCH(V$1,'Key Metrics'!$E$16:$M$16,0))</f>
        <v>90000</v>
      </c>
      <c r="W402" s="9">
        <f>IF($H402&gt;I402, MIN($H402-I402, J402-I402)*INDEX('Key Metrics'!$E$16:$N$19,MATCH($E402,'Key Metrics'!$E$16:$E$19,0),MATCH(W$1,'Key Metrics'!$E$16:$M$16,0)),0)</f>
        <v>27000</v>
      </c>
      <c r="X402" s="9">
        <f>IF($H402&gt;J402, MIN($H402-J402, K402-J402)*INDEX('Key Metrics'!$E$16:$N$19,MATCH($E402,'Key Metrics'!$E$16:$E$19,0),MATCH(X$1,'Key Metrics'!$E$16:$M$16,0)),0)</f>
        <v>37500</v>
      </c>
      <c r="Y402" s="9">
        <f>IF($H402&gt;K402, MIN($H402-K402, L402-K402)*INDEX('Key Metrics'!$E$16:$N$19,MATCH($E402,'Key Metrics'!$E$16:$E$19,0),MATCH(Y$1,'Key Metrics'!$E$16:$M$16,0)),0)</f>
        <v>90000</v>
      </c>
      <c r="Z402" s="9">
        <f>IF($H402&gt;L402,($H402-L402)*INDEX('Key Metrics'!$E$16:$N$19,MATCH($E402,'Key Metrics'!$E$16:$E$19,0),MATCH(Z$1,'Key Metrics'!$E$16:$M$16,0)),0)</f>
        <v>10410.27</v>
      </c>
      <c r="AA402" s="9">
        <f t="shared" si="68"/>
        <v>254910.27</v>
      </c>
      <c r="AB402" s="9">
        <f t="shared" si="69"/>
        <v>254912.40346499998</v>
      </c>
    </row>
    <row r="403" spans="1:28" x14ac:dyDescent="0.55000000000000004">
      <c r="A403" t="str">
        <f t="shared" si="60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COUNTIF(deals_closed!$D$2:$D$20001,Calculations!B73)</f>
        <v>26</v>
      </c>
      <c r="H403" s="7">
        <f>SUMIF(deals_closed!$D:$D,Calculations!B73,deals_closed!$C:$C)</f>
        <v>1023789</v>
      </c>
      <c r="I403" s="5">
        <f>VLOOKUP(E403,'2018_commission_structure'!$A$1:$I$4,9,FALSE)</f>
        <v>500000</v>
      </c>
      <c r="J403" s="9">
        <f t="shared" si="61"/>
        <v>625000</v>
      </c>
      <c r="K403" s="10">
        <f t="shared" si="62"/>
        <v>750000</v>
      </c>
      <c r="L403" s="9">
        <f t="shared" si="63"/>
        <v>1000000</v>
      </c>
      <c r="M403" s="8">
        <f t="shared" si="64"/>
        <v>2.0475780000000001</v>
      </c>
      <c r="N403" t="str">
        <f t="shared" si="65"/>
        <v>&gt;200%</v>
      </c>
      <c r="O403" s="9">
        <f>MIN($H403,$I403)*INDEX('2018_commission_structure'!$A$1:$I$4,MATCH($E403,'2018_commission_structure'!$A$1:$A$4,0),MATCH(O$1,'2018_commission_structure'!$A$1:$I$1,0))</f>
        <v>50000</v>
      </c>
      <c r="P403" s="9">
        <f>IF(H403&gt;I403, MIN(H403-I403, J403-I403)*INDEX('2018_commission_structure'!$A$1:$I$4,MATCH($E403,'2018_commission_structure'!$A$1:$A$4,0),MATCH(P$1,'2018_commission_structure'!$A$1:$I$1,0)),0)</f>
        <v>18750</v>
      </c>
      <c r="Q403" s="9">
        <f>IF($H403&gt;J403, MIN($H403-J403, K403-J403)*INDEX('2018_commission_structure'!$A$1:$I$4,MATCH($E403,'2018_commission_structure'!$A$1:$A$4,0),MATCH(Q$1,'2018_commission_structure'!$A$1:$I$1,0)),0)</f>
        <v>22500</v>
      </c>
      <c r="R403" s="9">
        <f>IF($H403&gt;K403, MIN($H403-K403, L403-K403)*INDEX('2018_commission_structure'!$A$1:$I$4,MATCH($E403,'2018_commission_structure'!$A$1:$A$4,0),MATCH(R$1,'2018_commission_structure'!$A$1:$I$1,0)),0)</f>
        <v>55000</v>
      </c>
      <c r="S403" s="9">
        <f>IF(H403&gt;L403,(H403-L403)*INDEX('2018_commission_structure'!$A$1:$I$4,MATCH($E403,'2018_commission_structure'!$A$1:$A$4,0),MATCH(S$1,'2018_commission_structure'!$A$1:$I$1,0)),0)</f>
        <v>2378.9</v>
      </c>
      <c r="T403" s="9">
        <f t="shared" si="66"/>
        <v>148628.9</v>
      </c>
      <c r="U403" s="9">
        <f t="shared" si="67"/>
        <v>191370.9</v>
      </c>
      <c r="V403" s="9">
        <f>MIN($I403,$H403)*INDEX('Key Metrics'!$E$16:$N$19,MATCH($E403,'Key Metrics'!$E$16:$E$19,0),MATCH(V$1,'Key Metrics'!$E$16:$M$16,0))</f>
        <v>60000</v>
      </c>
      <c r="W403" s="9">
        <f>IF($H403&gt;I403, MIN($H403-I403, J403-I403)*INDEX('Key Metrics'!$E$16:$N$19,MATCH($E403,'Key Metrics'!$E$16:$E$19,0),MATCH(W$1,'Key Metrics'!$E$16:$M$16,0)),0)</f>
        <v>21250</v>
      </c>
      <c r="X403" s="9">
        <f>IF($H403&gt;J403, MIN($H403-J403, K403-J403)*INDEX('Key Metrics'!$E$16:$N$19,MATCH($E403,'Key Metrics'!$E$16:$E$19,0),MATCH(X$1,'Key Metrics'!$E$16:$M$16,0)),0)</f>
        <v>25000</v>
      </c>
      <c r="Y403" s="9">
        <f>IF($H403&gt;K403, MIN($H403-K403, L403-K403)*INDEX('Key Metrics'!$E$16:$N$19,MATCH($E403,'Key Metrics'!$E$16:$E$19,0),MATCH(Y$1,'Key Metrics'!$E$16:$M$16,0)),0)</f>
        <v>55000</v>
      </c>
      <c r="Z403" s="9">
        <f>IF($H403&gt;L403,($H403-L403)*INDEX('Key Metrics'!$E$16:$N$19,MATCH($E403,'Key Metrics'!$E$16:$E$19,0),MATCH(Z$1,'Key Metrics'!$E$16:$M$16,0)),0)</f>
        <v>2378.9</v>
      </c>
      <c r="AA403" s="9">
        <f t="shared" si="68"/>
        <v>163628.9</v>
      </c>
      <c r="AB403" s="9">
        <f t="shared" si="69"/>
        <v>163630.94757799999</v>
      </c>
    </row>
    <row r="404" spans="1:28" x14ac:dyDescent="0.55000000000000004">
      <c r="A404" t="str">
        <f t="shared" si="60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COUNTIF(deals_closed!$D$2:$D$20001,Calculations!B730)</f>
        <v>21</v>
      </c>
      <c r="H404" s="7">
        <f>SUMIF(deals_closed!$D:$D,Calculations!B730,deals_closed!$C:$C)</f>
        <v>615075</v>
      </c>
      <c r="I404" s="5">
        <f>VLOOKUP(E404,'2018_commission_structure'!$A$1:$I$4,9,FALSE)</f>
        <v>750000</v>
      </c>
      <c r="J404" s="9">
        <f t="shared" si="61"/>
        <v>937500</v>
      </c>
      <c r="K404" s="10">
        <f t="shared" si="62"/>
        <v>1125000</v>
      </c>
      <c r="L404" s="9">
        <f t="shared" si="63"/>
        <v>1500000</v>
      </c>
      <c r="M404" s="8">
        <f t="shared" si="64"/>
        <v>0.82010000000000005</v>
      </c>
      <c r="N404" t="str">
        <f t="shared" si="65"/>
        <v>0-100%</v>
      </c>
      <c r="O404" s="9">
        <f>MIN($H404,$I404)*INDEX('2018_commission_structure'!$A$1:$I$4,MATCH($E404,'2018_commission_structure'!$A$1:$A$4,0),MATCH(O$1,'2018_commission_structure'!$A$1:$I$1,0))</f>
        <v>92261.25</v>
      </c>
      <c r="P404" s="9">
        <f>IF(H404&gt;I404, MIN(H404-I404, J404-I404)*INDEX('2018_commission_structure'!$A$1:$I$4,MATCH($E404,'2018_commission_structure'!$A$1:$A$4,0),MATCH(P$1,'2018_commission_structure'!$A$1:$I$1,0)),0)</f>
        <v>0</v>
      </c>
      <c r="Q404" s="9">
        <f>IF($H404&gt;J404, MIN($H404-J404, K404-J404)*INDEX('2018_commission_structure'!$A$1:$I$4,MATCH($E404,'2018_commission_structure'!$A$1:$A$4,0),MATCH(Q$1,'2018_commission_structure'!$A$1:$I$1,0)),0)</f>
        <v>0</v>
      </c>
      <c r="R404" s="9">
        <f>IF($H404&gt;K404, MIN($H404-K404, L404-K404)*INDEX('2018_commission_structure'!$A$1:$I$4,MATCH($E404,'2018_commission_structure'!$A$1:$A$4,0),MATCH(R$1,'2018_commission_structure'!$A$1:$I$1,0)),0)</f>
        <v>0</v>
      </c>
      <c r="S404" s="9">
        <f>IF(H404&gt;L404,(H404-L404)*INDEX('2018_commission_structure'!$A$1:$I$4,MATCH($E404,'2018_commission_structure'!$A$1:$A$4,0),MATCH(S$1,'2018_commission_structure'!$A$1:$I$1,0)),0)</f>
        <v>0</v>
      </c>
      <c r="T404" s="9">
        <f t="shared" si="66"/>
        <v>92261.25</v>
      </c>
      <c r="U404" s="9">
        <f t="shared" si="67"/>
        <v>170056.25</v>
      </c>
      <c r="V404" s="9">
        <f>MIN($I404,$H404)*INDEX('Key Metrics'!$E$16:$N$19,MATCH($E404,'Key Metrics'!$E$16:$E$19,0),MATCH(V$1,'Key Metrics'!$E$16:$M$16,0))</f>
        <v>92261.25</v>
      </c>
      <c r="W404" s="9">
        <f>IF($H404&gt;I404, MIN($H404-I404, J404-I404)*INDEX('Key Metrics'!$E$16:$N$19,MATCH($E404,'Key Metrics'!$E$16:$E$19,0),MATCH(W$1,'Key Metrics'!$E$16:$M$16,0)),0)</f>
        <v>0</v>
      </c>
      <c r="X404" s="9">
        <f>IF($H404&gt;J404, MIN($H404-J404, K404-J404)*INDEX('Key Metrics'!$E$16:$N$19,MATCH($E404,'Key Metrics'!$E$16:$E$19,0),MATCH(X$1,'Key Metrics'!$E$16:$M$16,0)),0)</f>
        <v>0</v>
      </c>
      <c r="Y404" s="9">
        <f>IF($H404&gt;K404, MIN($H404-K404, L404-K404)*INDEX('Key Metrics'!$E$16:$N$19,MATCH($E404,'Key Metrics'!$E$16:$E$19,0),MATCH(Y$1,'Key Metrics'!$E$16:$M$16,0)),0)</f>
        <v>0</v>
      </c>
      <c r="Z404" s="9">
        <f>IF($H404&gt;L404,($H404-L404)*INDEX('Key Metrics'!$E$16:$N$19,MATCH($E404,'Key Metrics'!$E$16:$E$19,0),MATCH(Z$1,'Key Metrics'!$E$16:$M$16,0)),0)</f>
        <v>0</v>
      </c>
      <c r="AA404" s="9">
        <f t="shared" si="68"/>
        <v>92261.25</v>
      </c>
      <c r="AB404" s="9">
        <f t="shared" si="69"/>
        <v>92262.070099999997</v>
      </c>
    </row>
    <row r="405" spans="1:28" x14ac:dyDescent="0.55000000000000004">
      <c r="A405" t="str">
        <f t="shared" si="60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COUNTIF(deals_closed!$D$2:$D$20001,Calculations!B330)</f>
        <v>11</v>
      </c>
      <c r="H405" s="7">
        <f>SUMIF(deals_closed!$D:$D,Calculations!B330,deals_closed!$C:$C)</f>
        <v>408387</v>
      </c>
      <c r="I405" s="5">
        <f>VLOOKUP(E405,'2018_commission_structure'!$A$1:$I$4,9,FALSE)</f>
        <v>500000</v>
      </c>
      <c r="J405" s="9">
        <f t="shared" si="61"/>
        <v>625000</v>
      </c>
      <c r="K405" s="10">
        <f t="shared" si="62"/>
        <v>750000</v>
      </c>
      <c r="L405" s="9">
        <f t="shared" si="63"/>
        <v>1000000</v>
      </c>
      <c r="M405" s="8">
        <f t="shared" si="64"/>
        <v>0.816774</v>
      </c>
      <c r="N405" t="str">
        <f t="shared" si="65"/>
        <v>0-100%</v>
      </c>
      <c r="O405" s="9">
        <f>MIN($H405,$I405)*INDEX('2018_commission_structure'!$A$1:$I$4,MATCH($E405,'2018_commission_structure'!$A$1:$A$4,0),MATCH(O$1,'2018_commission_structure'!$A$1:$I$1,0))</f>
        <v>40838.700000000004</v>
      </c>
      <c r="P405" s="9">
        <f>IF(H405&gt;I405, MIN(H405-I405, J405-I405)*INDEX('2018_commission_structure'!$A$1:$I$4,MATCH($E405,'2018_commission_structure'!$A$1:$A$4,0),MATCH(P$1,'2018_commission_structure'!$A$1:$I$1,0)),0)</f>
        <v>0</v>
      </c>
      <c r="Q405" s="9">
        <f>IF($H405&gt;J405, MIN($H405-J405, K405-J405)*INDEX('2018_commission_structure'!$A$1:$I$4,MATCH($E405,'2018_commission_structure'!$A$1:$A$4,0),MATCH(Q$1,'2018_commission_structure'!$A$1:$I$1,0)),0)</f>
        <v>0</v>
      </c>
      <c r="R405" s="9">
        <f>IF($H405&gt;K405, MIN($H405-K405, L405-K405)*INDEX('2018_commission_structure'!$A$1:$I$4,MATCH($E405,'2018_commission_structure'!$A$1:$A$4,0),MATCH(R$1,'2018_commission_structure'!$A$1:$I$1,0)),0)</f>
        <v>0</v>
      </c>
      <c r="S405" s="9">
        <f>IF(H405&gt;L405,(H405-L405)*INDEX('2018_commission_structure'!$A$1:$I$4,MATCH($E405,'2018_commission_structure'!$A$1:$A$4,0),MATCH(S$1,'2018_commission_structure'!$A$1:$I$1,0)),0)</f>
        <v>0</v>
      </c>
      <c r="T405" s="9">
        <f t="shared" si="66"/>
        <v>40838.700000000004</v>
      </c>
      <c r="U405" s="9">
        <f t="shared" si="67"/>
        <v>103028.70000000001</v>
      </c>
      <c r="V405" s="9">
        <f>MIN($I405,$H405)*INDEX('Key Metrics'!$E$16:$N$19,MATCH($E405,'Key Metrics'!$E$16:$E$19,0),MATCH(V$1,'Key Metrics'!$E$16:$M$16,0))</f>
        <v>49006.439999999995</v>
      </c>
      <c r="W405" s="9">
        <f>IF($H405&gt;I405, MIN($H405-I405, J405-I405)*INDEX('Key Metrics'!$E$16:$N$19,MATCH($E405,'Key Metrics'!$E$16:$E$19,0),MATCH(W$1,'Key Metrics'!$E$16:$M$16,0)),0)</f>
        <v>0</v>
      </c>
      <c r="X405" s="9">
        <f>IF($H405&gt;J405, MIN($H405-J405, K405-J405)*INDEX('Key Metrics'!$E$16:$N$19,MATCH($E405,'Key Metrics'!$E$16:$E$19,0),MATCH(X$1,'Key Metrics'!$E$16:$M$16,0)),0)</f>
        <v>0</v>
      </c>
      <c r="Y405" s="9">
        <f>IF($H405&gt;K405, MIN($H405-K405, L405-K405)*INDEX('Key Metrics'!$E$16:$N$19,MATCH($E405,'Key Metrics'!$E$16:$E$19,0),MATCH(Y$1,'Key Metrics'!$E$16:$M$16,0)),0)</f>
        <v>0</v>
      </c>
      <c r="Z405" s="9">
        <f>IF($H405&gt;L405,($H405-L405)*INDEX('Key Metrics'!$E$16:$N$19,MATCH($E405,'Key Metrics'!$E$16:$E$19,0),MATCH(Z$1,'Key Metrics'!$E$16:$M$16,0)),0)</f>
        <v>0</v>
      </c>
      <c r="AA405" s="9">
        <f t="shared" si="68"/>
        <v>49006.439999999995</v>
      </c>
      <c r="AB405" s="9">
        <f t="shared" si="69"/>
        <v>49007.256773999994</v>
      </c>
    </row>
    <row r="406" spans="1:28" x14ac:dyDescent="0.55000000000000004">
      <c r="A406" t="str">
        <f t="shared" si="60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COUNTIF(deals_closed!$D$2:$D$20001,Calculations!B292)</f>
        <v>20</v>
      </c>
      <c r="H406" s="7">
        <f>SUMIF(deals_closed!$D:$D,Calculations!B292,deals_closed!$C:$C)</f>
        <v>746897</v>
      </c>
      <c r="I406" s="5">
        <f>VLOOKUP(E406,'2018_commission_structure'!$A$1:$I$4,9,FALSE)</f>
        <v>600000</v>
      </c>
      <c r="J406" s="9">
        <f t="shared" si="61"/>
        <v>750000</v>
      </c>
      <c r="K406" s="10">
        <f t="shared" si="62"/>
        <v>900000</v>
      </c>
      <c r="L406" s="9">
        <f t="shared" si="63"/>
        <v>1200000</v>
      </c>
      <c r="M406" s="8">
        <f t="shared" si="64"/>
        <v>1.2448283333333334</v>
      </c>
      <c r="N406" t="str">
        <f t="shared" si="65"/>
        <v>100-125%</v>
      </c>
      <c r="O406" s="9">
        <f>MIN($H406,$I406)*INDEX('2018_commission_structure'!$A$1:$I$4,MATCH($E406,'2018_commission_structure'!$A$1:$A$4,0),MATCH(O$1,'2018_commission_structure'!$A$1:$I$1,0))</f>
        <v>78000</v>
      </c>
      <c r="P406" s="9">
        <f>IF(H406&gt;I406, MIN(H406-I406, J406-I406)*INDEX('2018_commission_structure'!$A$1:$I$4,MATCH($E406,'2018_commission_structure'!$A$1:$A$4,0),MATCH(P$1,'2018_commission_structure'!$A$1:$I$1,0)),0)</f>
        <v>24972.49</v>
      </c>
      <c r="Q406" s="9">
        <f>IF($H406&gt;J406, MIN($H406-J406, K406-J406)*INDEX('2018_commission_structure'!$A$1:$I$4,MATCH($E406,'2018_commission_structure'!$A$1:$A$4,0),MATCH(Q$1,'2018_commission_structure'!$A$1:$I$1,0)),0)</f>
        <v>0</v>
      </c>
      <c r="R406" s="9">
        <f>IF($H406&gt;K406, MIN($H406-K406, L406-K406)*INDEX('2018_commission_structure'!$A$1:$I$4,MATCH($E406,'2018_commission_structure'!$A$1:$A$4,0),MATCH(R$1,'2018_commission_structure'!$A$1:$I$1,0)),0)</f>
        <v>0</v>
      </c>
      <c r="S406" s="9">
        <f>IF(H406&gt;L406,(H406-L406)*INDEX('2018_commission_structure'!$A$1:$I$4,MATCH($E406,'2018_commission_structure'!$A$1:$A$4,0),MATCH(S$1,'2018_commission_structure'!$A$1:$I$1,0)),0)</f>
        <v>0</v>
      </c>
      <c r="T406" s="9">
        <f t="shared" si="66"/>
        <v>102972.49</v>
      </c>
      <c r="U406" s="9">
        <f t="shared" si="67"/>
        <v>157938.49</v>
      </c>
      <c r="V406" s="9">
        <f>MIN($I406,$H406)*INDEX('Key Metrics'!$E$16:$N$19,MATCH($E406,'Key Metrics'!$E$16:$E$19,0),MATCH(V$1,'Key Metrics'!$E$16:$M$16,0))</f>
        <v>90000</v>
      </c>
      <c r="W406" s="9">
        <f>IF($H406&gt;I406, MIN($H406-I406, J406-I406)*INDEX('Key Metrics'!$E$16:$N$19,MATCH($E406,'Key Metrics'!$E$16:$E$19,0),MATCH(W$1,'Key Metrics'!$E$16:$M$16,0)),0)</f>
        <v>26441.46</v>
      </c>
      <c r="X406" s="9">
        <f>IF($H406&gt;J406, MIN($H406-J406, K406-J406)*INDEX('Key Metrics'!$E$16:$N$19,MATCH($E406,'Key Metrics'!$E$16:$E$19,0),MATCH(X$1,'Key Metrics'!$E$16:$M$16,0)),0)</f>
        <v>0</v>
      </c>
      <c r="Y406" s="9">
        <f>IF($H406&gt;K406, MIN($H406-K406, L406-K406)*INDEX('Key Metrics'!$E$16:$N$19,MATCH($E406,'Key Metrics'!$E$16:$E$19,0),MATCH(Y$1,'Key Metrics'!$E$16:$M$16,0)),0)</f>
        <v>0</v>
      </c>
      <c r="Z406" s="9">
        <f>IF($H406&gt;L406,($H406-L406)*INDEX('Key Metrics'!$E$16:$N$19,MATCH($E406,'Key Metrics'!$E$16:$E$19,0),MATCH(Z$1,'Key Metrics'!$E$16:$M$16,0)),0)</f>
        <v>0</v>
      </c>
      <c r="AA406" s="9">
        <f t="shared" si="68"/>
        <v>116441.45999999999</v>
      </c>
      <c r="AB406" s="9">
        <f t="shared" si="69"/>
        <v>116442.70482833333</v>
      </c>
    </row>
    <row r="407" spans="1:28" x14ac:dyDescent="0.55000000000000004">
      <c r="A407" t="str">
        <f t="shared" si="60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COUNTIF(deals_closed!$D$2:$D$20001,Calculations!B432)</f>
        <v>19</v>
      </c>
      <c r="H407" s="7">
        <f>SUMIF(deals_closed!$D:$D,Calculations!B432,deals_closed!$C:$C)</f>
        <v>626420</v>
      </c>
      <c r="I407" s="5">
        <f>VLOOKUP(E407,'2018_commission_structure'!$A$1:$I$4,9,FALSE)</f>
        <v>750000</v>
      </c>
      <c r="J407" s="9">
        <f t="shared" si="61"/>
        <v>937500</v>
      </c>
      <c r="K407" s="10">
        <f t="shared" si="62"/>
        <v>1125000</v>
      </c>
      <c r="L407" s="9">
        <f t="shared" si="63"/>
        <v>1500000</v>
      </c>
      <c r="M407" s="8">
        <f t="shared" si="64"/>
        <v>0.83522666666666667</v>
      </c>
      <c r="N407" t="str">
        <f t="shared" si="65"/>
        <v>0-100%</v>
      </c>
      <c r="O407" s="9">
        <f>MIN($H407,$I407)*INDEX('2018_commission_structure'!$A$1:$I$4,MATCH($E407,'2018_commission_structure'!$A$1:$A$4,0),MATCH(O$1,'2018_commission_structure'!$A$1:$I$1,0))</f>
        <v>93963</v>
      </c>
      <c r="P407" s="9">
        <f>IF(H407&gt;I407, MIN(H407-I407, J407-I407)*INDEX('2018_commission_structure'!$A$1:$I$4,MATCH($E407,'2018_commission_structure'!$A$1:$A$4,0),MATCH(P$1,'2018_commission_structure'!$A$1:$I$1,0)),0)</f>
        <v>0</v>
      </c>
      <c r="Q407" s="9">
        <f>IF($H407&gt;J407, MIN($H407-J407, K407-J407)*INDEX('2018_commission_structure'!$A$1:$I$4,MATCH($E407,'2018_commission_structure'!$A$1:$A$4,0),MATCH(Q$1,'2018_commission_structure'!$A$1:$I$1,0)),0)</f>
        <v>0</v>
      </c>
      <c r="R407" s="9">
        <f>IF($H407&gt;K407, MIN($H407-K407, L407-K407)*INDEX('2018_commission_structure'!$A$1:$I$4,MATCH($E407,'2018_commission_structure'!$A$1:$A$4,0),MATCH(R$1,'2018_commission_structure'!$A$1:$I$1,0)),0)</f>
        <v>0</v>
      </c>
      <c r="S407" s="9">
        <f>IF(H407&gt;L407,(H407-L407)*INDEX('2018_commission_structure'!$A$1:$I$4,MATCH($E407,'2018_commission_structure'!$A$1:$A$4,0),MATCH(S$1,'2018_commission_structure'!$A$1:$I$1,0)),0)</f>
        <v>0</v>
      </c>
      <c r="T407" s="9">
        <f t="shared" si="66"/>
        <v>93963</v>
      </c>
      <c r="U407" s="9">
        <f t="shared" si="67"/>
        <v>185137</v>
      </c>
      <c r="V407" s="9">
        <f>MIN($I407,$H407)*INDEX('Key Metrics'!$E$16:$N$19,MATCH($E407,'Key Metrics'!$E$16:$E$19,0),MATCH(V$1,'Key Metrics'!$E$16:$M$16,0))</f>
        <v>93963</v>
      </c>
      <c r="W407" s="9">
        <f>IF($H407&gt;I407, MIN($H407-I407, J407-I407)*INDEX('Key Metrics'!$E$16:$N$19,MATCH($E407,'Key Metrics'!$E$16:$E$19,0),MATCH(W$1,'Key Metrics'!$E$16:$M$16,0)),0)</f>
        <v>0</v>
      </c>
      <c r="X407" s="9">
        <f>IF($H407&gt;J407, MIN($H407-J407, K407-J407)*INDEX('Key Metrics'!$E$16:$N$19,MATCH($E407,'Key Metrics'!$E$16:$E$19,0),MATCH(X$1,'Key Metrics'!$E$16:$M$16,0)),0)</f>
        <v>0</v>
      </c>
      <c r="Y407" s="9">
        <f>IF($H407&gt;K407, MIN($H407-K407, L407-K407)*INDEX('Key Metrics'!$E$16:$N$19,MATCH($E407,'Key Metrics'!$E$16:$E$19,0),MATCH(Y$1,'Key Metrics'!$E$16:$M$16,0)),0)</f>
        <v>0</v>
      </c>
      <c r="Z407" s="9">
        <f>IF($H407&gt;L407,($H407-L407)*INDEX('Key Metrics'!$E$16:$N$19,MATCH($E407,'Key Metrics'!$E$16:$E$19,0),MATCH(Z$1,'Key Metrics'!$E$16:$M$16,0)),0)</f>
        <v>0</v>
      </c>
      <c r="AA407" s="9">
        <f t="shared" si="68"/>
        <v>93963</v>
      </c>
      <c r="AB407" s="9">
        <f t="shared" si="69"/>
        <v>93963.835226666662</v>
      </c>
    </row>
    <row r="408" spans="1:28" x14ac:dyDescent="0.55000000000000004">
      <c r="A408" t="str">
        <f t="shared" si="60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COUNTIF(deals_closed!$D$2:$D$20001,Calculations!B688)</f>
        <v>10</v>
      </c>
      <c r="H408" s="7">
        <f>SUMIF(deals_closed!$D:$D,Calculations!B688,deals_closed!$C:$C)</f>
        <v>372686</v>
      </c>
      <c r="I408" s="5">
        <f>VLOOKUP(E408,'2018_commission_structure'!$A$1:$I$4,9,FALSE)</f>
        <v>750000</v>
      </c>
      <c r="J408" s="9">
        <f t="shared" si="61"/>
        <v>937500</v>
      </c>
      <c r="K408" s="10">
        <f t="shared" si="62"/>
        <v>1125000</v>
      </c>
      <c r="L408" s="9">
        <f t="shared" si="63"/>
        <v>1500000</v>
      </c>
      <c r="M408" s="8">
        <f t="shared" si="64"/>
        <v>0.49691466666666667</v>
      </c>
      <c r="N408" t="str">
        <f t="shared" si="65"/>
        <v>0-100%</v>
      </c>
      <c r="O408" s="9">
        <f>MIN($H408,$I408)*INDEX('2018_commission_structure'!$A$1:$I$4,MATCH($E408,'2018_commission_structure'!$A$1:$A$4,0),MATCH(O$1,'2018_commission_structure'!$A$1:$I$1,0))</f>
        <v>55902.9</v>
      </c>
      <c r="P408" s="9">
        <f>IF(H408&gt;I408, MIN(H408-I408, J408-I408)*INDEX('2018_commission_structure'!$A$1:$I$4,MATCH($E408,'2018_commission_structure'!$A$1:$A$4,0),MATCH(P$1,'2018_commission_structure'!$A$1:$I$1,0)),0)</f>
        <v>0</v>
      </c>
      <c r="Q408" s="9">
        <f>IF($H408&gt;J408, MIN($H408-J408, K408-J408)*INDEX('2018_commission_structure'!$A$1:$I$4,MATCH($E408,'2018_commission_structure'!$A$1:$A$4,0),MATCH(Q$1,'2018_commission_structure'!$A$1:$I$1,0)),0)</f>
        <v>0</v>
      </c>
      <c r="R408" s="9">
        <f>IF($H408&gt;K408, MIN($H408-K408, L408-K408)*INDEX('2018_commission_structure'!$A$1:$I$4,MATCH($E408,'2018_commission_structure'!$A$1:$A$4,0),MATCH(R$1,'2018_commission_structure'!$A$1:$I$1,0)),0)</f>
        <v>0</v>
      </c>
      <c r="S408" s="9">
        <f>IF(H408&gt;L408,(H408-L408)*INDEX('2018_commission_structure'!$A$1:$I$4,MATCH($E408,'2018_commission_structure'!$A$1:$A$4,0),MATCH(S$1,'2018_commission_structure'!$A$1:$I$1,0)),0)</f>
        <v>0</v>
      </c>
      <c r="T408" s="9">
        <f t="shared" si="66"/>
        <v>55902.9</v>
      </c>
      <c r="U408" s="9">
        <f t="shared" si="67"/>
        <v>177674.9</v>
      </c>
      <c r="V408" s="9">
        <f>MIN($I408,$H408)*INDEX('Key Metrics'!$E$16:$N$19,MATCH($E408,'Key Metrics'!$E$16:$E$19,0),MATCH(V$1,'Key Metrics'!$E$16:$M$16,0))</f>
        <v>55902.9</v>
      </c>
      <c r="W408" s="9">
        <f>IF($H408&gt;I408, MIN($H408-I408, J408-I408)*INDEX('Key Metrics'!$E$16:$N$19,MATCH($E408,'Key Metrics'!$E$16:$E$19,0),MATCH(W$1,'Key Metrics'!$E$16:$M$16,0)),0)</f>
        <v>0</v>
      </c>
      <c r="X408" s="9">
        <f>IF($H408&gt;J408, MIN($H408-J408, K408-J408)*INDEX('Key Metrics'!$E$16:$N$19,MATCH($E408,'Key Metrics'!$E$16:$E$19,0),MATCH(X$1,'Key Metrics'!$E$16:$M$16,0)),0)</f>
        <v>0</v>
      </c>
      <c r="Y408" s="9">
        <f>IF($H408&gt;K408, MIN($H408-K408, L408-K408)*INDEX('Key Metrics'!$E$16:$N$19,MATCH($E408,'Key Metrics'!$E$16:$E$19,0),MATCH(Y$1,'Key Metrics'!$E$16:$M$16,0)),0)</f>
        <v>0</v>
      </c>
      <c r="Z408" s="9">
        <f>IF($H408&gt;L408,($H408-L408)*INDEX('Key Metrics'!$E$16:$N$19,MATCH($E408,'Key Metrics'!$E$16:$E$19,0),MATCH(Z$1,'Key Metrics'!$E$16:$M$16,0)),0)</f>
        <v>0</v>
      </c>
      <c r="AA408" s="9">
        <f t="shared" si="68"/>
        <v>55902.9</v>
      </c>
      <c r="AB408" s="9">
        <f t="shared" si="69"/>
        <v>55903.396914666671</v>
      </c>
    </row>
    <row r="409" spans="1:28" x14ac:dyDescent="0.55000000000000004">
      <c r="A409" t="str">
        <f t="shared" si="60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COUNTIF(deals_closed!$D$2:$D$20001,Calculations!B611)</f>
        <v>16</v>
      </c>
      <c r="H409" s="7">
        <f>SUMIF(deals_closed!$D:$D,Calculations!B611,deals_closed!$C:$C)</f>
        <v>644947</v>
      </c>
      <c r="I409" s="5">
        <f>VLOOKUP(E409,'2018_commission_structure'!$A$1:$I$4,9,FALSE)</f>
        <v>500000</v>
      </c>
      <c r="J409" s="9">
        <f t="shared" si="61"/>
        <v>625000</v>
      </c>
      <c r="K409" s="10">
        <f t="shared" si="62"/>
        <v>750000</v>
      </c>
      <c r="L409" s="9">
        <f t="shared" si="63"/>
        <v>1000000</v>
      </c>
      <c r="M409" s="8">
        <f t="shared" si="64"/>
        <v>1.2898940000000001</v>
      </c>
      <c r="N409" t="str">
        <f t="shared" si="65"/>
        <v>125-150%</v>
      </c>
      <c r="O409" s="9">
        <f>MIN($H409,$I409)*INDEX('2018_commission_structure'!$A$1:$I$4,MATCH($E409,'2018_commission_structure'!$A$1:$A$4,0),MATCH(O$1,'2018_commission_structure'!$A$1:$I$1,0))</f>
        <v>50000</v>
      </c>
      <c r="P409" s="9">
        <f>IF(H409&gt;I409, MIN(H409-I409, J409-I409)*INDEX('2018_commission_structure'!$A$1:$I$4,MATCH($E409,'2018_commission_structure'!$A$1:$A$4,0),MATCH(P$1,'2018_commission_structure'!$A$1:$I$1,0)),0)</f>
        <v>18750</v>
      </c>
      <c r="Q409" s="9">
        <f>IF($H409&gt;J409, MIN($H409-J409, K409-J409)*INDEX('2018_commission_structure'!$A$1:$I$4,MATCH($E409,'2018_commission_structure'!$A$1:$A$4,0),MATCH(Q$1,'2018_commission_structure'!$A$1:$I$1,0)),0)</f>
        <v>3590.46</v>
      </c>
      <c r="R409" s="9">
        <f>IF($H409&gt;K409, MIN($H409-K409, L409-K409)*INDEX('2018_commission_structure'!$A$1:$I$4,MATCH($E409,'2018_commission_structure'!$A$1:$A$4,0),MATCH(R$1,'2018_commission_structure'!$A$1:$I$1,0)),0)</f>
        <v>0</v>
      </c>
      <c r="S409" s="9">
        <f>IF(H409&gt;L409,(H409-L409)*INDEX('2018_commission_structure'!$A$1:$I$4,MATCH($E409,'2018_commission_structure'!$A$1:$A$4,0),MATCH(S$1,'2018_commission_structure'!$A$1:$I$1,0)),0)</f>
        <v>0</v>
      </c>
      <c r="T409" s="9">
        <f t="shared" si="66"/>
        <v>72340.460000000006</v>
      </c>
      <c r="U409" s="9">
        <f t="shared" si="67"/>
        <v>125009.46</v>
      </c>
      <c r="V409" s="9">
        <f>MIN($I409,$H409)*INDEX('Key Metrics'!$E$16:$N$19,MATCH($E409,'Key Metrics'!$E$16:$E$19,0),MATCH(V$1,'Key Metrics'!$E$16:$M$16,0))</f>
        <v>60000</v>
      </c>
      <c r="W409" s="9">
        <f>IF($H409&gt;I409, MIN($H409-I409, J409-I409)*INDEX('Key Metrics'!$E$16:$N$19,MATCH($E409,'Key Metrics'!$E$16:$E$19,0),MATCH(W$1,'Key Metrics'!$E$16:$M$16,0)),0)</f>
        <v>21250</v>
      </c>
      <c r="X409" s="9">
        <f>IF($H409&gt;J409, MIN($H409-J409, K409-J409)*INDEX('Key Metrics'!$E$16:$N$19,MATCH($E409,'Key Metrics'!$E$16:$E$19,0),MATCH(X$1,'Key Metrics'!$E$16:$M$16,0)),0)</f>
        <v>3989.4</v>
      </c>
      <c r="Y409" s="9">
        <f>IF($H409&gt;K409, MIN($H409-K409, L409-K409)*INDEX('Key Metrics'!$E$16:$N$19,MATCH($E409,'Key Metrics'!$E$16:$E$19,0),MATCH(Y$1,'Key Metrics'!$E$16:$M$16,0)),0)</f>
        <v>0</v>
      </c>
      <c r="Z409" s="9">
        <f>IF($H409&gt;L409,($H409-L409)*INDEX('Key Metrics'!$E$16:$N$19,MATCH($E409,'Key Metrics'!$E$16:$E$19,0),MATCH(Z$1,'Key Metrics'!$E$16:$M$16,0)),0)</f>
        <v>0</v>
      </c>
      <c r="AA409" s="9">
        <f t="shared" si="68"/>
        <v>85239.4</v>
      </c>
      <c r="AB409" s="9">
        <f t="shared" si="69"/>
        <v>85240.689893999996</v>
      </c>
    </row>
    <row r="410" spans="1:28" x14ac:dyDescent="0.55000000000000004">
      <c r="A410" t="str">
        <f t="shared" si="60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COUNTIF(deals_closed!$D$2:$D$20001,Calculations!B798)</f>
        <v>22</v>
      </c>
      <c r="H410" s="7">
        <f>SUMIF(deals_closed!$D:$D,Calculations!B798,deals_closed!$C:$C)</f>
        <v>828299</v>
      </c>
      <c r="I410" s="5">
        <f>VLOOKUP(E410,'2018_commission_structure'!$A$1:$I$4,9,FALSE)</f>
        <v>750000</v>
      </c>
      <c r="J410" s="9">
        <f t="shared" si="61"/>
        <v>937500</v>
      </c>
      <c r="K410" s="10">
        <f t="shared" si="62"/>
        <v>1125000</v>
      </c>
      <c r="L410" s="9">
        <f t="shared" si="63"/>
        <v>1500000</v>
      </c>
      <c r="M410" s="8">
        <f t="shared" si="64"/>
        <v>1.1043986666666668</v>
      </c>
      <c r="N410" t="str">
        <f t="shared" si="65"/>
        <v>100-125%</v>
      </c>
      <c r="O410" s="9">
        <f>MIN($H410,$I410)*INDEX('2018_commission_structure'!$A$1:$I$4,MATCH($E410,'2018_commission_structure'!$A$1:$A$4,0),MATCH(O$1,'2018_commission_structure'!$A$1:$I$1,0))</f>
        <v>112500</v>
      </c>
      <c r="P410" s="9">
        <f>IF(H410&gt;I410, MIN(H410-I410, J410-I410)*INDEX('2018_commission_structure'!$A$1:$I$4,MATCH($E410,'2018_commission_structure'!$A$1:$A$4,0),MATCH(P$1,'2018_commission_structure'!$A$1:$I$1,0)),0)</f>
        <v>14876.81</v>
      </c>
      <c r="Q410" s="9">
        <f>IF($H410&gt;J410, MIN($H410-J410, K410-J410)*INDEX('2018_commission_structure'!$A$1:$I$4,MATCH($E410,'2018_commission_structure'!$A$1:$A$4,0),MATCH(Q$1,'2018_commission_structure'!$A$1:$I$1,0)),0)</f>
        <v>0</v>
      </c>
      <c r="R410" s="9">
        <f>IF($H410&gt;K410, MIN($H410-K410, L410-K410)*INDEX('2018_commission_structure'!$A$1:$I$4,MATCH($E410,'2018_commission_structure'!$A$1:$A$4,0),MATCH(R$1,'2018_commission_structure'!$A$1:$I$1,0)),0)</f>
        <v>0</v>
      </c>
      <c r="S410" s="9">
        <f>IF(H410&gt;L410,(H410-L410)*INDEX('2018_commission_structure'!$A$1:$I$4,MATCH($E410,'2018_commission_structure'!$A$1:$A$4,0),MATCH(S$1,'2018_commission_structure'!$A$1:$I$1,0)),0)</f>
        <v>0</v>
      </c>
      <c r="T410" s="9">
        <f t="shared" si="66"/>
        <v>127376.81</v>
      </c>
      <c r="U410" s="9">
        <f t="shared" si="67"/>
        <v>226998.81</v>
      </c>
      <c r="V410" s="9">
        <f>MIN($I410,$H410)*INDEX('Key Metrics'!$E$16:$N$19,MATCH($E410,'Key Metrics'!$E$16:$E$19,0),MATCH(V$1,'Key Metrics'!$E$16:$M$16,0))</f>
        <v>112500</v>
      </c>
      <c r="W410" s="9">
        <f>IF($H410&gt;I410, MIN($H410-I410, J410-I410)*INDEX('Key Metrics'!$E$16:$N$19,MATCH($E410,'Key Metrics'!$E$16:$E$19,0),MATCH(W$1,'Key Metrics'!$E$16:$M$16,0)),0)</f>
        <v>17225.78</v>
      </c>
      <c r="X410" s="9">
        <f>IF($H410&gt;J410, MIN($H410-J410, K410-J410)*INDEX('Key Metrics'!$E$16:$N$19,MATCH($E410,'Key Metrics'!$E$16:$E$19,0),MATCH(X$1,'Key Metrics'!$E$16:$M$16,0)),0)</f>
        <v>0</v>
      </c>
      <c r="Y410" s="9">
        <f>IF($H410&gt;K410, MIN($H410-K410, L410-K410)*INDEX('Key Metrics'!$E$16:$N$19,MATCH($E410,'Key Metrics'!$E$16:$E$19,0),MATCH(Y$1,'Key Metrics'!$E$16:$M$16,0)),0)</f>
        <v>0</v>
      </c>
      <c r="Z410" s="9">
        <f>IF($H410&gt;L410,($H410-L410)*INDEX('Key Metrics'!$E$16:$N$19,MATCH($E410,'Key Metrics'!$E$16:$E$19,0),MATCH(Z$1,'Key Metrics'!$E$16:$M$16,0)),0)</f>
        <v>0</v>
      </c>
      <c r="AA410" s="9">
        <f t="shared" si="68"/>
        <v>129725.78</v>
      </c>
      <c r="AB410" s="9">
        <f t="shared" si="69"/>
        <v>129726.88439866666</v>
      </c>
    </row>
    <row r="411" spans="1:28" x14ac:dyDescent="0.55000000000000004">
      <c r="A411" t="str">
        <f t="shared" si="60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COUNTIF(deals_closed!$D$2:$D$20001,Calculations!B873)</f>
        <v>28</v>
      </c>
      <c r="H411" s="7">
        <f>SUMIF(deals_closed!$D:$D,Calculations!B873,deals_closed!$C:$C)</f>
        <v>893148</v>
      </c>
      <c r="I411" s="5">
        <f>VLOOKUP(E411,'2018_commission_structure'!$A$1:$I$4,9,FALSE)</f>
        <v>600000</v>
      </c>
      <c r="J411" s="9">
        <f t="shared" si="61"/>
        <v>750000</v>
      </c>
      <c r="K411" s="10">
        <f t="shared" si="62"/>
        <v>900000</v>
      </c>
      <c r="L411" s="9">
        <f t="shared" si="63"/>
        <v>1200000</v>
      </c>
      <c r="M411" s="8">
        <f t="shared" si="64"/>
        <v>1.48858</v>
      </c>
      <c r="N411" t="str">
        <f t="shared" si="65"/>
        <v>125-150%</v>
      </c>
      <c r="O411" s="9">
        <f>MIN($H411,$I411)*INDEX('2018_commission_structure'!$A$1:$I$4,MATCH($E411,'2018_commission_structure'!$A$1:$A$4,0),MATCH(O$1,'2018_commission_structure'!$A$1:$I$1,0))</f>
        <v>78000</v>
      </c>
      <c r="P411" s="9">
        <f>IF(H411&gt;I411, MIN(H411-I411, J411-I411)*INDEX('2018_commission_structure'!$A$1:$I$4,MATCH($E411,'2018_commission_structure'!$A$1:$A$4,0),MATCH(P$1,'2018_commission_structure'!$A$1:$I$1,0)),0)</f>
        <v>25500.000000000004</v>
      </c>
      <c r="Q411" s="9">
        <f>IF($H411&gt;J411, MIN($H411-J411, K411-J411)*INDEX('2018_commission_structure'!$A$1:$I$4,MATCH($E411,'2018_commission_structure'!$A$1:$A$4,0),MATCH(Q$1,'2018_commission_structure'!$A$1:$I$1,0)),0)</f>
        <v>30061.079999999998</v>
      </c>
      <c r="R411" s="9">
        <f>IF($H411&gt;K411, MIN($H411-K411, L411-K411)*INDEX('2018_commission_structure'!$A$1:$I$4,MATCH($E411,'2018_commission_structure'!$A$1:$A$4,0),MATCH(R$1,'2018_commission_structure'!$A$1:$I$1,0)),0)</f>
        <v>0</v>
      </c>
      <c r="S411" s="9">
        <f>IF(H411&gt;L411,(H411-L411)*INDEX('2018_commission_structure'!$A$1:$I$4,MATCH($E411,'2018_commission_structure'!$A$1:$A$4,0),MATCH(S$1,'2018_commission_structure'!$A$1:$I$1,0)),0)</f>
        <v>0</v>
      </c>
      <c r="T411" s="9">
        <f t="shared" si="66"/>
        <v>133561.07999999999</v>
      </c>
      <c r="U411" s="9">
        <f t="shared" si="67"/>
        <v>193941.08</v>
      </c>
      <c r="V411" s="9">
        <f>MIN($I411,$H411)*INDEX('Key Metrics'!$E$16:$N$19,MATCH($E411,'Key Metrics'!$E$16:$E$19,0),MATCH(V$1,'Key Metrics'!$E$16:$M$16,0))</f>
        <v>90000</v>
      </c>
      <c r="W411" s="9">
        <f>IF($H411&gt;I411, MIN($H411-I411, J411-I411)*INDEX('Key Metrics'!$E$16:$N$19,MATCH($E411,'Key Metrics'!$E$16:$E$19,0),MATCH(W$1,'Key Metrics'!$E$16:$M$16,0)),0)</f>
        <v>27000</v>
      </c>
      <c r="X411" s="9">
        <f>IF($H411&gt;J411, MIN($H411-J411, K411-J411)*INDEX('Key Metrics'!$E$16:$N$19,MATCH($E411,'Key Metrics'!$E$16:$E$19,0),MATCH(X$1,'Key Metrics'!$E$16:$M$16,0)),0)</f>
        <v>35787</v>
      </c>
      <c r="Y411" s="9">
        <f>IF($H411&gt;K411, MIN($H411-K411, L411-K411)*INDEX('Key Metrics'!$E$16:$N$19,MATCH($E411,'Key Metrics'!$E$16:$E$19,0),MATCH(Y$1,'Key Metrics'!$E$16:$M$16,0)),0)</f>
        <v>0</v>
      </c>
      <c r="Z411" s="9">
        <f>IF($H411&gt;L411,($H411-L411)*INDEX('Key Metrics'!$E$16:$N$19,MATCH($E411,'Key Metrics'!$E$16:$E$19,0),MATCH(Z$1,'Key Metrics'!$E$16:$M$16,0)),0)</f>
        <v>0</v>
      </c>
      <c r="AA411" s="9">
        <f t="shared" si="68"/>
        <v>152787</v>
      </c>
      <c r="AB411" s="9">
        <f t="shared" si="69"/>
        <v>152788.48858</v>
      </c>
    </row>
    <row r="412" spans="1:28" x14ac:dyDescent="0.55000000000000004">
      <c r="A412" t="str">
        <f t="shared" si="60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COUNTIF(deals_closed!$D$2:$D$20001,Calculations!B26)</f>
        <v>18</v>
      </c>
      <c r="H412" s="7">
        <f>SUMIF(deals_closed!$D:$D,Calculations!B26,deals_closed!$C:$C)</f>
        <v>635587</v>
      </c>
      <c r="I412" s="5">
        <f>VLOOKUP(E412,'2018_commission_structure'!$A$1:$I$4,9,FALSE)</f>
        <v>500000</v>
      </c>
      <c r="J412" s="9">
        <f t="shared" si="61"/>
        <v>625000</v>
      </c>
      <c r="K412" s="10">
        <f t="shared" si="62"/>
        <v>750000</v>
      </c>
      <c r="L412" s="9">
        <f t="shared" si="63"/>
        <v>1000000</v>
      </c>
      <c r="M412" s="8">
        <f t="shared" si="64"/>
        <v>1.271174</v>
      </c>
      <c r="N412" t="str">
        <f t="shared" si="65"/>
        <v>125-150%</v>
      </c>
      <c r="O412" s="9">
        <f>MIN($H412,$I412)*INDEX('2018_commission_structure'!$A$1:$I$4,MATCH($E412,'2018_commission_structure'!$A$1:$A$4,0),MATCH(O$1,'2018_commission_structure'!$A$1:$I$1,0))</f>
        <v>50000</v>
      </c>
      <c r="P412" s="9">
        <f>IF(H412&gt;I412, MIN(H412-I412, J412-I412)*INDEX('2018_commission_structure'!$A$1:$I$4,MATCH($E412,'2018_commission_structure'!$A$1:$A$4,0),MATCH(P$1,'2018_commission_structure'!$A$1:$I$1,0)),0)</f>
        <v>18750</v>
      </c>
      <c r="Q412" s="9">
        <f>IF($H412&gt;J412, MIN($H412-J412, K412-J412)*INDEX('2018_commission_structure'!$A$1:$I$4,MATCH($E412,'2018_commission_structure'!$A$1:$A$4,0),MATCH(Q$1,'2018_commission_structure'!$A$1:$I$1,0)),0)</f>
        <v>1905.6599999999999</v>
      </c>
      <c r="R412" s="9">
        <f>IF($H412&gt;K412, MIN($H412-K412, L412-K412)*INDEX('2018_commission_structure'!$A$1:$I$4,MATCH($E412,'2018_commission_structure'!$A$1:$A$4,0),MATCH(R$1,'2018_commission_structure'!$A$1:$I$1,0)),0)</f>
        <v>0</v>
      </c>
      <c r="S412" s="9">
        <f>IF(H412&gt;L412,(H412-L412)*INDEX('2018_commission_structure'!$A$1:$I$4,MATCH($E412,'2018_commission_structure'!$A$1:$A$4,0),MATCH(S$1,'2018_commission_structure'!$A$1:$I$1,0)),0)</f>
        <v>0</v>
      </c>
      <c r="T412" s="9">
        <f t="shared" si="66"/>
        <v>70655.66</v>
      </c>
      <c r="U412" s="9">
        <f t="shared" si="67"/>
        <v>111371.66</v>
      </c>
      <c r="V412" s="9">
        <f>MIN($I412,$H412)*INDEX('Key Metrics'!$E$16:$N$19,MATCH($E412,'Key Metrics'!$E$16:$E$19,0),MATCH(V$1,'Key Metrics'!$E$16:$M$16,0))</f>
        <v>60000</v>
      </c>
      <c r="W412" s="9">
        <f>IF($H412&gt;I412, MIN($H412-I412, J412-I412)*INDEX('Key Metrics'!$E$16:$N$19,MATCH($E412,'Key Metrics'!$E$16:$E$19,0),MATCH(W$1,'Key Metrics'!$E$16:$M$16,0)),0)</f>
        <v>21250</v>
      </c>
      <c r="X412" s="9">
        <f>IF($H412&gt;J412, MIN($H412-J412, K412-J412)*INDEX('Key Metrics'!$E$16:$N$19,MATCH($E412,'Key Metrics'!$E$16:$E$19,0),MATCH(X$1,'Key Metrics'!$E$16:$M$16,0)),0)</f>
        <v>2117.4</v>
      </c>
      <c r="Y412" s="9">
        <f>IF($H412&gt;K412, MIN($H412-K412, L412-K412)*INDEX('Key Metrics'!$E$16:$N$19,MATCH($E412,'Key Metrics'!$E$16:$E$19,0),MATCH(Y$1,'Key Metrics'!$E$16:$M$16,0)),0)</f>
        <v>0</v>
      </c>
      <c r="Z412" s="9">
        <f>IF($H412&gt;L412,($H412-L412)*INDEX('Key Metrics'!$E$16:$N$19,MATCH($E412,'Key Metrics'!$E$16:$E$19,0),MATCH(Z$1,'Key Metrics'!$E$16:$M$16,0)),0)</f>
        <v>0</v>
      </c>
      <c r="AA412" s="9">
        <f t="shared" si="68"/>
        <v>83367.399999999994</v>
      </c>
      <c r="AB412" s="9">
        <f t="shared" si="69"/>
        <v>83368.671173999988</v>
      </c>
    </row>
    <row r="413" spans="1:28" x14ac:dyDescent="0.55000000000000004">
      <c r="A413" t="str">
        <f t="shared" si="60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COUNTIF(deals_closed!$D$2:$D$20001,Calculations!B383)</f>
        <v>28</v>
      </c>
      <c r="H413" s="7">
        <f>SUMIF(deals_closed!$D:$D,Calculations!B383,deals_closed!$C:$C)</f>
        <v>1074426</v>
      </c>
      <c r="I413" s="5">
        <f>VLOOKUP(E413,'2018_commission_structure'!$A$1:$I$4,9,FALSE)</f>
        <v>750000</v>
      </c>
      <c r="J413" s="9">
        <f t="shared" si="61"/>
        <v>937500</v>
      </c>
      <c r="K413" s="10">
        <f t="shared" si="62"/>
        <v>1125000</v>
      </c>
      <c r="L413" s="9">
        <f t="shared" si="63"/>
        <v>1500000</v>
      </c>
      <c r="M413" s="8">
        <f t="shared" si="64"/>
        <v>1.4325680000000001</v>
      </c>
      <c r="N413" t="str">
        <f t="shared" si="65"/>
        <v>125-150%</v>
      </c>
      <c r="O413" s="9">
        <f>MIN($H413,$I413)*INDEX('2018_commission_structure'!$A$1:$I$4,MATCH($E413,'2018_commission_structure'!$A$1:$A$4,0),MATCH(O$1,'2018_commission_structure'!$A$1:$I$1,0))</f>
        <v>112500</v>
      </c>
      <c r="P413" s="9">
        <f>IF(H413&gt;I413, MIN(H413-I413, J413-I413)*INDEX('2018_commission_structure'!$A$1:$I$4,MATCH($E413,'2018_commission_structure'!$A$1:$A$4,0),MATCH(P$1,'2018_commission_structure'!$A$1:$I$1,0)),0)</f>
        <v>35625</v>
      </c>
      <c r="Q413" s="9">
        <f>IF($H413&gt;J413, MIN($H413-J413, K413-J413)*INDEX('2018_commission_structure'!$A$1:$I$4,MATCH($E413,'2018_commission_structure'!$A$1:$A$4,0),MATCH(Q$1,'2018_commission_structure'!$A$1:$I$1,0)),0)</f>
        <v>31492.98</v>
      </c>
      <c r="R413" s="9">
        <f>IF($H413&gt;K413, MIN($H413-K413, L413-K413)*INDEX('2018_commission_structure'!$A$1:$I$4,MATCH($E413,'2018_commission_structure'!$A$1:$A$4,0),MATCH(R$1,'2018_commission_structure'!$A$1:$I$1,0)),0)</f>
        <v>0</v>
      </c>
      <c r="S413" s="9">
        <f>IF(H413&gt;L413,(H413-L413)*INDEX('2018_commission_structure'!$A$1:$I$4,MATCH($E413,'2018_commission_structure'!$A$1:$A$4,0),MATCH(S$1,'2018_commission_structure'!$A$1:$I$1,0)),0)</f>
        <v>0</v>
      </c>
      <c r="T413" s="9">
        <f t="shared" si="66"/>
        <v>179617.98</v>
      </c>
      <c r="U413" s="9">
        <f t="shared" si="67"/>
        <v>303275.98</v>
      </c>
      <c r="V413" s="9">
        <f>MIN($I413,$H413)*INDEX('Key Metrics'!$E$16:$N$19,MATCH($E413,'Key Metrics'!$E$16:$E$19,0),MATCH(V$1,'Key Metrics'!$E$16:$M$16,0))</f>
        <v>112500</v>
      </c>
      <c r="W413" s="9">
        <f>IF($H413&gt;I413, MIN($H413-I413, J413-I413)*INDEX('Key Metrics'!$E$16:$N$19,MATCH($E413,'Key Metrics'!$E$16:$E$19,0),MATCH(W$1,'Key Metrics'!$E$16:$M$16,0)),0)</f>
        <v>41250</v>
      </c>
      <c r="X413" s="9">
        <f>IF($H413&gt;J413, MIN($H413-J413, K413-J413)*INDEX('Key Metrics'!$E$16:$N$19,MATCH($E413,'Key Metrics'!$E$16:$E$19,0),MATCH(X$1,'Key Metrics'!$E$16:$M$16,0)),0)</f>
        <v>34231.5</v>
      </c>
      <c r="Y413" s="9">
        <f>IF($H413&gt;K413, MIN($H413-K413, L413-K413)*INDEX('Key Metrics'!$E$16:$N$19,MATCH($E413,'Key Metrics'!$E$16:$E$19,0),MATCH(Y$1,'Key Metrics'!$E$16:$M$16,0)),0)</f>
        <v>0</v>
      </c>
      <c r="Z413" s="9">
        <f>IF($H413&gt;L413,($H413-L413)*INDEX('Key Metrics'!$E$16:$N$19,MATCH($E413,'Key Metrics'!$E$16:$E$19,0),MATCH(Z$1,'Key Metrics'!$E$16:$M$16,0)),0)</f>
        <v>0</v>
      </c>
      <c r="AA413" s="9">
        <f t="shared" si="68"/>
        <v>187981.5</v>
      </c>
      <c r="AB413" s="9">
        <f t="shared" si="69"/>
        <v>187982.93256799999</v>
      </c>
    </row>
    <row r="414" spans="1:28" x14ac:dyDescent="0.55000000000000004">
      <c r="A414" t="str">
        <f t="shared" si="60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COUNTIF(deals_closed!$D$2:$D$20001,Calculations!B766)</f>
        <v>22</v>
      </c>
      <c r="H414" s="7">
        <f>SUMIF(deals_closed!$D:$D,Calculations!B766,deals_closed!$C:$C)</f>
        <v>819130</v>
      </c>
      <c r="I414" s="5">
        <f>VLOOKUP(E414,'2018_commission_structure'!$A$1:$I$4,9,FALSE)</f>
        <v>600000</v>
      </c>
      <c r="J414" s="9">
        <f t="shared" si="61"/>
        <v>750000</v>
      </c>
      <c r="K414" s="10">
        <f t="shared" si="62"/>
        <v>900000</v>
      </c>
      <c r="L414" s="9">
        <f t="shared" si="63"/>
        <v>1200000</v>
      </c>
      <c r="M414" s="8">
        <f t="shared" si="64"/>
        <v>1.3652166666666667</v>
      </c>
      <c r="N414" t="str">
        <f t="shared" si="65"/>
        <v>125-150%</v>
      </c>
      <c r="O414" s="9">
        <f>MIN($H414,$I414)*INDEX('2018_commission_structure'!$A$1:$I$4,MATCH($E414,'2018_commission_structure'!$A$1:$A$4,0),MATCH(O$1,'2018_commission_structure'!$A$1:$I$1,0))</f>
        <v>78000</v>
      </c>
      <c r="P414" s="9">
        <f>IF(H414&gt;I414, MIN(H414-I414, J414-I414)*INDEX('2018_commission_structure'!$A$1:$I$4,MATCH($E414,'2018_commission_structure'!$A$1:$A$4,0),MATCH(P$1,'2018_commission_structure'!$A$1:$I$1,0)),0)</f>
        <v>25500.000000000004</v>
      </c>
      <c r="Q414" s="9">
        <f>IF($H414&gt;J414, MIN($H414-J414, K414-J414)*INDEX('2018_commission_structure'!$A$1:$I$4,MATCH($E414,'2018_commission_structure'!$A$1:$A$4,0),MATCH(Q$1,'2018_commission_structure'!$A$1:$I$1,0)),0)</f>
        <v>14517.3</v>
      </c>
      <c r="R414" s="9">
        <f>IF($H414&gt;K414, MIN($H414-K414, L414-K414)*INDEX('2018_commission_structure'!$A$1:$I$4,MATCH($E414,'2018_commission_structure'!$A$1:$A$4,0),MATCH(R$1,'2018_commission_structure'!$A$1:$I$1,0)),0)</f>
        <v>0</v>
      </c>
      <c r="S414" s="9">
        <f>IF(H414&gt;L414,(H414-L414)*INDEX('2018_commission_structure'!$A$1:$I$4,MATCH($E414,'2018_commission_structure'!$A$1:$A$4,0),MATCH(S$1,'2018_commission_structure'!$A$1:$I$1,0)),0)</f>
        <v>0</v>
      </c>
      <c r="T414" s="9">
        <f t="shared" si="66"/>
        <v>118017.3</v>
      </c>
      <c r="U414" s="9">
        <f t="shared" si="67"/>
        <v>177338.3</v>
      </c>
      <c r="V414" s="9">
        <f>MIN($I414,$H414)*INDEX('Key Metrics'!$E$16:$N$19,MATCH($E414,'Key Metrics'!$E$16:$E$19,0),MATCH(V$1,'Key Metrics'!$E$16:$M$16,0))</f>
        <v>90000</v>
      </c>
      <c r="W414" s="9">
        <f>IF($H414&gt;I414, MIN($H414-I414, J414-I414)*INDEX('Key Metrics'!$E$16:$N$19,MATCH($E414,'Key Metrics'!$E$16:$E$19,0),MATCH(W$1,'Key Metrics'!$E$16:$M$16,0)),0)</f>
        <v>27000</v>
      </c>
      <c r="X414" s="9">
        <f>IF($H414&gt;J414, MIN($H414-J414, K414-J414)*INDEX('Key Metrics'!$E$16:$N$19,MATCH($E414,'Key Metrics'!$E$16:$E$19,0),MATCH(X$1,'Key Metrics'!$E$16:$M$16,0)),0)</f>
        <v>17282.5</v>
      </c>
      <c r="Y414" s="9">
        <f>IF($H414&gt;K414, MIN($H414-K414, L414-K414)*INDEX('Key Metrics'!$E$16:$N$19,MATCH($E414,'Key Metrics'!$E$16:$E$19,0),MATCH(Y$1,'Key Metrics'!$E$16:$M$16,0)),0)</f>
        <v>0</v>
      </c>
      <c r="Z414" s="9">
        <f>IF($H414&gt;L414,($H414-L414)*INDEX('Key Metrics'!$E$16:$N$19,MATCH($E414,'Key Metrics'!$E$16:$E$19,0),MATCH(Z$1,'Key Metrics'!$E$16:$M$16,0)),0)</f>
        <v>0</v>
      </c>
      <c r="AA414" s="9">
        <f t="shared" si="68"/>
        <v>134282.5</v>
      </c>
      <c r="AB414" s="9">
        <f t="shared" si="69"/>
        <v>134283.86521666666</v>
      </c>
    </row>
    <row r="415" spans="1:28" x14ac:dyDescent="0.55000000000000004">
      <c r="A415" t="str">
        <f t="shared" si="60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COUNTIF(deals_closed!$D$2:$D$20001,Calculations!B140)</f>
        <v>26</v>
      </c>
      <c r="H415" s="7">
        <f>SUMIF(deals_closed!$D:$D,Calculations!B140,deals_closed!$C:$C)</f>
        <v>1100641</v>
      </c>
      <c r="I415" s="5">
        <f>VLOOKUP(E415,'2018_commission_structure'!$A$1:$I$4,9,FALSE)</f>
        <v>750000</v>
      </c>
      <c r="J415" s="9">
        <f t="shared" si="61"/>
        <v>937500</v>
      </c>
      <c r="K415" s="10">
        <f t="shared" si="62"/>
        <v>1125000</v>
      </c>
      <c r="L415" s="9">
        <f t="shared" si="63"/>
        <v>1500000</v>
      </c>
      <c r="M415" s="8">
        <f t="shared" si="64"/>
        <v>1.4675213333333332</v>
      </c>
      <c r="N415" t="str">
        <f t="shared" si="65"/>
        <v>125-150%</v>
      </c>
      <c r="O415" s="9">
        <f>MIN($H415,$I415)*INDEX('2018_commission_structure'!$A$1:$I$4,MATCH($E415,'2018_commission_structure'!$A$1:$A$4,0),MATCH(O$1,'2018_commission_structure'!$A$1:$I$1,0))</f>
        <v>112500</v>
      </c>
      <c r="P415" s="9">
        <f>IF(H415&gt;I415, MIN(H415-I415, J415-I415)*INDEX('2018_commission_structure'!$A$1:$I$4,MATCH($E415,'2018_commission_structure'!$A$1:$A$4,0),MATCH(P$1,'2018_commission_structure'!$A$1:$I$1,0)),0)</f>
        <v>35625</v>
      </c>
      <c r="Q415" s="9">
        <f>IF($H415&gt;J415, MIN($H415-J415, K415-J415)*INDEX('2018_commission_structure'!$A$1:$I$4,MATCH($E415,'2018_commission_structure'!$A$1:$A$4,0),MATCH(Q$1,'2018_commission_structure'!$A$1:$I$1,0)),0)</f>
        <v>37522.43</v>
      </c>
      <c r="R415" s="9">
        <f>IF($H415&gt;K415, MIN($H415-K415, L415-K415)*INDEX('2018_commission_structure'!$A$1:$I$4,MATCH($E415,'2018_commission_structure'!$A$1:$A$4,0),MATCH(R$1,'2018_commission_structure'!$A$1:$I$1,0)),0)</f>
        <v>0</v>
      </c>
      <c r="S415" s="9">
        <f>IF(H415&gt;L415,(H415-L415)*INDEX('2018_commission_structure'!$A$1:$I$4,MATCH($E415,'2018_commission_structure'!$A$1:$A$4,0),MATCH(S$1,'2018_commission_structure'!$A$1:$I$1,0)),0)</f>
        <v>0</v>
      </c>
      <c r="T415" s="9">
        <f t="shared" si="66"/>
        <v>185647.43</v>
      </c>
      <c r="U415" s="9">
        <f t="shared" si="67"/>
        <v>303038.43</v>
      </c>
      <c r="V415" s="9">
        <f>MIN($I415,$H415)*INDEX('Key Metrics'!$E$16:$N$19,MATCH($E415,'Key Metrics'!$E$16:$E$19,0),MATCH(V$1,'Key Metrics'!$E$16:$M$16,0))</f>
        <v>112500</v>
      </c>
      <c r="W415" s="9">
        <f>IF($H415&gt;I415, MIN($H415-I415, J415-I415)*INDEX('Key Metrics'!$E$16:$N$19,MATCH($E415,'Key Metrics'!$E$16:$E$19,0),MATCH(W$1,'Key Metrics'!$E$16:$M$16,0)),0)</f>
        <v>41250</v>
      </c>
      <c r="X415" s="9">
        <f>IF($H415&gt;J415, MIN($H415-J415, K415-J415)*INDEX('Key Metrics'!$E$16:$N$19,MATCH($E415,'Key Metrics'!$E$16:$E$19,0),MATCH(X$1,'Key Metrics'!$E$16:$M$16,0)),0)</f>
        <v>40785.25</v>
      </c>
      <c r="Y415" s="9">
        <f>IF($H415&gt;K415, MIN($H415-K415, L415-K415)*INDEX('Key Metrics'!$E$16:$N$19,MATCH($E415,'Key Metrics'!$E$16:$E$19,0),MATCH(Y$1,'Key Metrics'!$E$16:$M$16,0)),0)</f>
        <v>0</v>
      </c>
      <c r="Z415" s="9">
        <f>IF($H415&gt;L415,($H415-L415)*INDEX('Key Metrics'!$E$16:$N$19,MATCH($E415,'Key Metrics'!$E$16:$E$19,0),MATCH(Z$1,'Key Metrics'!$E$16:$M$16,0)),0)</f>
        <v>0</v>
      </c>
      <c r="AA415" s="9">
        <f t="shared" si="68"/>
        <v>194535.25</v>
      </c>
      <c r="AB415" s="9">
        <f t="shared" si="69"/>
        <v>194536.71752133334</v>
      </c>
    </row>
    <row r="416" spans="1:28" x14ac:dyDescent="0.55000000000000004">
      <c r="A416" t="str">
        <f t="shared" si="60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COUNTIF(deals_closed!$D$2:$D$20001,Calculations!B994)</f>
        <v>12</v>
      </c>
      <c r="H416" s="7">
        <f>SUMIF(deals_closed!$D:$D,Calculations!B994,deals_closed!$C:$C)</f>
        <v>439307</v>
      </c>
      <c r="I416" s="5">
        <f>VLOOKUP(E416,'2018_commission_structure'!$A$1:$I$4,9,FALSE)</f>
        <v>750000</v>
      </c>
      <c r="J416" s="9">
        <f t="shared" si="61"/>
        <v>937500</v>
      </c>
      <c r="K416" s="10">
        <f t="shared" si="62"/>
        <v>1125000</v>
      </c>
      <c r="L416" s="9">
        <f t="shared" si="63"/>
        <v>1500000</v>
      </c>
      <c r="M416" s="8">
        <f t="shared" si="64"/>
        <v>0.58574266666666663</v>
      </c>
      <c r="N416" t="str">
        <f t="shared" si="65"/>
        <v>0-100%</v>
      </c>
      <c r="O416" s="9">
        <f>MIN($H416,$I416)*INDEX('2018_commission_structure'!$A$1:$I$4,MATCH($E416,'2018_commission_structure'!$A$1:$A$4,0),MATCH(O$1,'2018_commission_structure'!$A$1:$I$1,0))</f>
        <v>65896.05</v>
      </c>
      <c r="P416" s="9">
        <f>IF(H416&gt;I416, MIN(H416-I416, J416-I416)*INDEX('2018_commission_structure'!$A$1:$I$4,MATCH($E416,'2018_commission_structure'!$A$1:$A$4,0),MATCH(P$1,'2018_commission_structure'!$A$1:$I$1,0)),0)</f>
        <v>0</v>
      </c>
      <c r="Q416" s="9">
        <f>IF($H416&gt;J416, MIN($H416-J416, K416-J416)*INDEX('2018_commission_structure'!$A$1:$I$4,MATCH($E416,'2018_commission_structure'!$A$1:$A$4,0),MATCH(Q$1,'2018_commission_structure'!$A$1:$I$1,0)),0)</f>
        <v>0</v>
      </c>
      <c r="R416" s="9">
        <f>IF($H416&gt;K416, MIN($H416-K416, L416-K416)*INDEX('2018_commission_structure'!$A$1:$I$4,MATCH($E416,'2018_commission_structure'!$A$1:$A$4,0),MATCH(R$1,'2018_commission_structure'!$A$1:$I$1,0)),0)</f>
        <v>0</v>
      </c>
      <c r="S416" s="9">
        <f>IF(H416&gt;L416,(H416-L416)*INDEX('2018_commission_structure'!$A$1:$I$4,MATCH($E416,'2018_commission_structure'!$A$1:$A$4,0),MATCH(S$1,'2018_commission_structure'!$A$1:$I$1,0)),0)</f>
        <v>0</v>
      </c>
      <c r="T416" s="9">
        <f t="shared" si="66"/>
        <v>65896.05</v>
      </c>
      <c r="U416" s="9">
        <f t="shared" si="67"/>
        <v>162485.04999999999</v>
      </c>
      <c r="V416" s="9">
        <f>MIN($I416,$H416)*INDEX('Key Metrics'!$E$16:$N$19,MATCH($E416,'Key Metrics'!$E$16:$E$19,0),MATCH(V$1,'Key Metrics'!$E$16:$M$16,0))</f>
        <v>65896.05</v>
      </c>
      <c r="W416" s="9">
        <f>IF($H416&gt;I416, MIN($H416-I416, J416-I416)*INDEX('Key Metrics'!$E$16:$N$19,MATCH($E416,'Key Metrics'!$E$16:$E$19,0),MATCH(W$1,'Key Metrics'!$E$16:$M$16,0)),0)</f>
        <v>0</v>
      </c>
      <c r="X416" s="9">
        <f>IF($H416&gt;J416, MIN($H416-J416, K416-J416)*INDEX('Key Metrics'!$E$16:$N$19,MATCH($E416,'Key Metrics'!$E$16:$E$19,0),MATCH(X$1,'Key Metrics'!$E$16:$M$16,0)),0)</f>
        <v>0</v>
      </c>
      <c r="Y416" s="9">
        <f>IF($H416&gt;K416, MIN($H416-K416, L416-K416)*INDEX('Key Metrics'!$E$16:$N$19,MATCH($E416,'Key Metrics'!$E$16:$E$19,0),MATCH(Y$1,'Key Metrics'!$E$16:$M$16,0)),0)</f>
        <v>0</v>
      </c>
      <c r="Z416" s="9">
        <f>IF($H416&gt;L416,($H416-L416)*INDEX('Key Metrics'!$E$16:$N$19,MATCH($E416,'Key Metrics'!$E$16:$E$19,0),MATCH(Z$1,'Key Metrics'!$E$16:$M$16,0)),0)</f>
        <v>0</v>
      </c>
      <c r="AA416" s="9">
        <f t="shared" si="68"/>
        <v>65896.05</v>
      </c>
      <c r="AB416" s="9">
        <f t="shared" si="69"/>
        <v>65896.635742666665</v>
      </c>
    </row>
    <row r="417" spans="1:28" x14ac:dyDescent="0.55000000000000004">
      <c r="A417" t="str">
        <f t="shared" si="60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COUNTIF(deals_closed!$D:$D,Calculations!B2)</f>
        <v>24</v>
      </c>
      <c r="H417" s="7">
        <f>SUMIF(deals_closed!$D:$D,Calculations!B2,deals_closed!$C:$C)</f>
        <v>792386</v>
      </c>
      <c r="I417" s="5">
        <f>VLOOKUP(E417,'2018_commission_structure'!$A$1:$I$4,9,FALSE)</f>
        <v>500000</v>
      </c>
      <c r="J417" s="9">
        <f t="shared" si="61"/>
        <v>625000</v>
      </c>
      <c r="K417" s="10">
        <f t="shared" si="62"/>
        <v>750000</v>
      </c>
      <c r="L417" s="9">
        <f t="shared" si="63"/>
        <v>1000000</v>
      </c>
      <c r="M417" s="8">
        <f t="shared" si="64"/>
        <v>1.5847720000000001</v>
      </c>
      <c r="N417" t="str">
        <f t="shared" si="65"/>
        <v>150-200%</v>
      </c>
      <c r="O417" s="9">
        <f>MIN($H417,$I417)*INDEX('2018_commission_structure'!$A$1:$I$4,MATCH($E417,'2018_commission_structure'!$A$1:$A$4,0),MATCH(O$1,'2018_commission_structure'!$A$1:$I$1,0))</f>
        <v>50000</v>
      </c>
      <c r="P417" s="9">
        <f>IF($H417&gt;I417, MIN($H417-I417, J417-I417)*INDEX('2018_commission_structure'!$A$1:$I$4,MATCH($E417,'2018_commission_structure'!$A$1:$A$4,0),MATCH(P$1,'2018_commission_structure'!$A$1:$I$1,0)),0)</f>
        <v>18750</v>
      </c>
      <c r="Q417" s="9">
        <f>IF($H417&gt;J417, MIN($H417-J417, K417-J417)*INDEX('2018_commission_structure'!$A$1:$I$4,MATCH($E417,'2018_commission_structure'!$A$1:$A$4,0),MATCH(Q$1,'2018_commission_structure'!$A$1:$I$1,0)),0)</f>
        <v>22500</v>
      </c>
      <c r="R417" s="9">
        <f>IF($H417&gt;K417, MIN($H417-K417, L417-K417)*INDEX('2018_commission_structure'!$A$1:$I$4,MATCH($E417,'2018_commission_structure'!$A$1:$A$4,0),MATCH(R$1,'2018_commission_structure'!$A$1:$I$1,0)),0)</f>
        <v>9324.92</v>
      </c>
      <c r="S417" s="9">
        <f>IF($H417&gt;L417,($H417-L417)*INDEX('2018_commission_structure'!$A$1:$I$4,MATCH($E417,'2018_commission_structure'!$A$1:$A$4,0),MATCH(S$1,'2018_commission_structure'!$A$1:$I$1,0)),0)</f>
        <v>0</v>
      </c>
      <c r="T417" s="9">
        <f t="shared" si="66"/>
        <v>100574.92</v>
      </c>
      <c r="U417" s="9">
        <f>$F417+T417</f>
        <v>155502.91999999998</v>
      </c>
      <c r="V417" s="9">
        <f>MIN($I417,$H417)*INDEX('Key Metrics'!$E$16:$N$19,MATCH($E417,'Key Metrics'!$E$16:$E$19,0),MATCH(V$1,'Key Metrics'!$E$16:$M$16,0))</f>
        <v>60000</v>
      </c>
      <c r="W417" s="9">
        <f>IF($H417&gt;I417, MIN($H417-I417, J417-I417)*INDEX('Key Metrics'!$E$16:$N$19,MATCH($E417,'Key Metrics'!$E$16:$E$19,0),MATCH(W$1,'Key Metrics'!$E$16:$M$16,0)),0)</f>
        <v>21250</v>
      </c>
      <c r="X417" s="9">
        <f>IF($H417&gt;J417, MIN($H417-J417, K417-J417)*INDEX('Key Metrics'!$E$16:$N$19,MATCH($E417,'Key Metrics'!$E$16:$E$19,0),MATCH(X$1,'Key Metrics'!$E$16:$M$16,0)),0)</f>
        <v>25000</v>
      </c>
      <c r="Y417" s="9">
        <f>IF($H417&gt;K417, MIN($H417-K417, L417-K417)*INDEX('Key Metrics'!$E$16:$N$19,MATCH($E417,'Key Metrics'!$E$16:$E$19,0),MATCH(Y$1,'Key Metrics'!$E$16:$M$16,0)),0)</f>
        <v>9324.92</v>
      </c>
      <c r="Z417" s="9">
        <f>IF($H417&gt;L417,($H417-L417)*INDEX('Key Metrics'!$E$16:$N$19,MATCH($E417,'Key Metrics'!$E$16:$E$19,0),MATCH(Z$1,'Key Metrics'!$E$16:$M$16,0)),0)</f>
        <v>0</v>
      </c>
      <c r="AA417" s="9">
        <f t="shared" si="68"/>
        <v>115574.92</v>
      </c>
      <c r="AB417" s="9">
        <f>$F417+AA417</f>
        <v>170502.91999999998</v>
      </c>
    </row>
    <row r="418" spans="1:28" x14ac:dyDescent="0.55000000000000004">
      <c r="A418" t="str">
        <f t="shared" si="60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COUNTIF(deals_closed!$D$2:$D$20001,Calculations!B138)</f>
        <v>18</v>
      </c>
      <c r="H418" s="7">
        <f>SUMIF(deals_closed!$D:$D,Calculations!B138,deals_closed!$C:$C)</f>
        <v>554263</v>
      </c>
      <c r="I418" s="5">
        <f>VLOOKUP(E418,'2018_commission_structure'!$A$1:$I$4,9,FALSE)</f>
        <v>600000</v>
      </c>
      <c r="J418" s="9">
        <f t="shared" si="61"/>
        <v>750000</v>
      </c>
      <c r="K418" s="10">
        <f t="shared" si="62"/>
        <v>900000</v>
      </c>
      <c r="L418" s="9">
        <f t="shared" si="63"/>
        <v>1200000</v>
      </c>
      <c r="M418" s="8">
        <f t="shared" si="64"/>
        <v>0.92377166666666666</v>
      </c>
      <c r="N418" t="str">
        <f t="shared" si="65"/>
        <v>0-100%</v>
      </c>
      <c r="O418" s="9">
        <f>MIN($H418,$I418)*INDEX('2018_commission_structure'!$A$1:$I$4,MATCH($E418,'2018_commission_structure'!$A$1:$A$4,0),MATCH(O$1,'2018_commission_structure'!$A$1:$I$1,0))</f>
        <v>72054.19</v>
      </c>
      <c r="P418" s="9">
        <f>IF(H418&gt;I418, MIN(H418-I418, J418-I418)*INDEX('2018_commission_structure'!$A$1:$I$4,MATCH($E418,'2018_commission_structure'!$A$1:$A$4,0),MATCH(P$1,'2018_commission_structure'!$A$1:$I$1,0)),0)</f>
        <v>0</v>
      </c>
      <c r="Q418" s="9">
        <f>IF($H418&gt;J418, MIN($H418-J418, K418-J418)*INDEX('2018_commission_structure'!$A$1:$I$4,MATCH($E418,'2018_commission_structure'!$A$1:$A$4,0),MATCH(Q$1,'2018_commission_structure'!$A$1:$I$1,0)),0)</f>
        <v>0</v>
      </c>
      <c r="R418" s="9">
        <f>IF($H418&gt;K418, MIN($H418-K418, L418-K418)*INDEX('2018_commission_structure'!$A$1:$I$4,MATCH($E418,'2018_commission_structure'!$A$1:$A$4,0),MATCH(R$1,'2018_commission_structure'!$A$1:$I$1,0)),0)</f>
        <v>0</v>
      </c>
      <c r="S418" s="9">
        <f>IF(H418&gt;L418,(H418-L418)*INDEX('2018_commission_structure'!$A$1:$I$4,MATCH($E418,'2018_commission_structure'!$A$1:$A$4,0),MATCH(S$1,'2018_commission_structure'!$A$1:$I$1,0)),0)</f>
        <v>0</v>
      </c>
      <c r="T418" s="9">
        <f t="shared" si="66"/>
        <v>72054.19</v>
      </c>
      <c r="U418" s="9">
        <f t="shared" ref="U418:U481" si="70">F418+T418</f>
        <v>148563.19</v>
      </c>
      <c r="V418" s="9">
        <f>MIN($I418,$H418)*INDEX('Key Metrics'!$E$16:$N$19,MATCH($E418,'Key Metrics'!$E$16:$E$19,0),MATCH(V$1,'Key Metrics'!$E$16:$M$16,0))</f>
        <v>83139.45</v>
      </c>
      <c r="W418" s="9">
        <f>IF($H418&gt;I418, MIN($H418-I418, J418-I418)*INDEX('Key Metrics'!$E$16:$N$19,MATCH($E418,'Key Metrics'!$E$16:$E$19,0),MATCH(W$1,'Key Metrics'!$E$16:$M$16,0)),0)</f>
        <v>0</v>
      </c>
      <c r="X418" s="9">
        <f>IF($H418&gt;J418, MIN($H418-J418, K418-J418)*INDEX('Key Metrics'!$E$16:$N$19,MATCH($E418,'Key Metrics'!$E$16:$E$19,0),MATCH(X$1,'Key Metrics'!$E$16:$M$16,0)),0)</f>
        <v>0</v>
      </c>
      <c r="Y418" s="9">
        <f>IF($H418&gt;K418, MIN($H418-K418, L418-K418)*INDEX('Key Metrics'!$E$16:$N$19,MATCH($E418,'Key Metrics'!$E$16:$E$19,0),MATCH(Y$1,'Key Metrics'!$E$16:$M$16,0)),0)</f>
        <v>0</v>
      </c>
      <c r="Z418" s="9">
        <f>IF($H418&gt;L418,($H418-L418)*INDEX('Key Metrics'!$E$16:$N$19,MATCH($E418,'Key Metrics'!$E$16:$E$19,0),MATCH(Z$1,'Key Metrics'!$E$16:$M$16,0)),0)</f>
        <v>0</v>
      </c>
      <c r="AA418" s="9">
        <f t="shared" si="68"/>
        <v>83139.45</v>
      </c>
      <c r="AB418" s="9">
        <f t="shared" ref="AB418:AB481" si="71">M418+AA418</f>
        <v>83140.373771666666</v>
      </c>
    </row>
    <row r="419" spans="1:28" x14ac:dyDescent="0.55000000000000004">
      <c r="A419" t="str">
        <f t="shared" si="60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COUNTIF(deals_closed!$D$2:$D$20001,Calculations!B627)</f>
        <v>19</v>
      </c>
      <c r="H419" s="7">
        <f>SUMIF(deals_closed!$D:$D,Calculations!B627,deals_closed!$C:$C)</f>
        <v>624725</v>
      </c>
      <c r="I419" s="5">
        <f>VLOOKUP(E419,'2018_commission_structure'!$A$1:$I$4,9,FALSE)</f>
        <v>600000</v>
      </c>
      <c r="J419" s="9">
        <f t="shared" si="61"/>
        <v>750000</v>
      </c>
      <c r="K419" s="10">
        <f t="shared" si="62"/>
        <v>900000</v>
      </c>
      <c r="L419" s="9">
        <f t="shared" si="63"/>
        <v>1200000</v>
      </c>
      <c r="M419" s="8">
        <f t="shared" si="64"/>
        <v>1.0412083333333333</v>
      </c>
      <c r="N419" t="str">
        <f t="shared" si="65"/>
        <v>100-125%</v>
      </c>
      <c r="O419" s="9">
        <f>MIN($H419,$I419)*INDEX('2018_commission_structure'!$A$1:$I$4,MATCH($E419,'2018_commission_structure'!$A$1:$A$4,0),MATCH(O$1,'2018_commission_structure'!$A$1:$I$1,0))</f>
        <v>78000</v>
      </c>
      <c r="P419" s="9">
        <f>IF(H419&gt;I419, MIN(H419-I419, J419-I419)*INDEX('2018_commission_structure'!$A$1:$I$4,MATCH($E419,'2018_commission_structure'!$A$1:$A$4,0),MATCH(P$1,'2018_commission_structure'!$A$1:$I$1,0)),0)</f>
        <v>4203.25</v>
      </c>
      <c r="Q419" s="9">
        <f>IF($H419&gt;J419, MIN($H419-J419, K419-J419)*INDEX('2018_commission_structure'!$A$1:$I$4,MATCH($E419,'2018_commission_structure'!$A$1:$A$4,0),MATCH(Q$1,'2018_commission_structure'!$A$1:$I$1,0)),0)</f>
        <v>0</v>
      </c>
      <c r="R419" s="9">
        <f>IF($H419&gt;K419, MIN($H419-K419, L419-K419)*INDEX('2018_commission_structure'!$A$1:$I$4,MATCH($E419,'2018_commission_structure'!$A$1:$A$4,0),MATCH(R$1,'2018_commission_structure'!$A$1:$I$1,0)),0)</f>
        <v>0</v>
      </c>
      <c r="S419" s="9">
        <f>IF(H419&gt;L419,(H419-L419)*INDEX('2018_commission_structure'!$A$1:$I$4,MATCH($E419,'2018_commission_structure'!$A$1:$A$4,0),MATCH(S$1,'2018_commission_structure'!$A$1:$I$1,0)),0)</f>
        <v>0</v>
      </c>
      <c r="T419" s="9">
        <f t="shared" si="66"/>
        <v>82203.25</v>
      </c>
      <c r="U419" s="9">
        <f t="shared" si="70"/>
        <v>158465.25</v>
      </c>
      <c r="V419" s="9">
        <f>MIN($I419,$H419)*INDEX('Key Metrics'!$E$16:$N$19,MATCH($E419,'Key Metrics'!$E$16:$E$19,0),MATCH(V$1,'Key Metrics'!$E$16:$M$16,0))</f>
        <v>90000</v>
      </c>
      <c r="W419" s="9">
        <f>IF($H419&gt;I419, MIN($H419-I419, J419-I419)*INDEX('Key Metrics'!$E$16:$N$19,MATCH($E419,'Key Metrics'!$E$16:$E$19,0),MATCH(W$1,'Key Metrics'!$E$16:$M$16,0)),0)</f>
        <v>4450.5</v>
      </c>
      <c r="X419" s="9">
        <f>IF($H419&gt;J419, MIN($H419-J419, K419-J419)*INDEX('Key Metrics'!$E$16:$N$19,MATCH($E419,'Key Metrics'!$E$16:$E$19,0),MATCH(X$1,'Key Metrics'!$E$16:$M$16,0)),0)</f>
        <v>0</v>
      </c>
      <c r="Y419" s="9">
        <f>IF($H419&gt;K419, MIN($H419-K419, L419-K419)*INDEX('Key Metrics'!$E$16:$N$19,MATCH($E419,'Key Metrics'!$E$16:$E$19,0),MATCH(Y$1,'Key Metrics'!$E$16:$M$16,0)),0)</f>
        <v>0</v>
      </c>
      <c r="Z419" s="9">
        <f>IF($H419&gt;L419,($H419-L419)*INDEX('Key Metrics'!$E$16:$N$19,MATCH($E419,'Key Metrics'!$E$16:$E$19,0),MATCH(Z$1,'Key Metrics'!$E$16:$M$16,0)),0)</f>
        <v>0</v>
      </c>
      <c r="AA419" s="9">
        <f t="shared" si="68"/>
        <v>94450.5</v>
      </c>
      <c r="AB419" s="9">
        <f t="shared" si="71"/>
        <v>94451.541208333336</v>
      </c>
    </row>
    <row r="420" spans="1:28" x14ac:dyDescent="0.55000000000000004">
      <c r="A420" t="str">
        <f t="shared" si="60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COUNTIF(deals_closed!$D$2:$D$20001,Calculations!B346)</f>
        <v>13</v>
      </c>
      <c r="H420" s="7">
        <f>SUMIF(deals_closed!$D:$D,Calculations!B346,deals_closed!$C:$C)</f>
        <v>475552</v>
      </c>
      <c r="I420" s="5">
        <f>VLOOKUP(E420,'2018_commission_structure'!$A$1:$I$4,9,FALSE)</f>
        <v>600000</v>
      </c>
      <c r="J420" s="9">
        <f t="shared" si="61"/>
        <v>750000</v>
      </c>
      <c r="K420" s="10">
        <f t="shared" si="62"/>
        <v>900000</v>
      </c>
      <c r="L420" s="9">
        <f t="shared" si="63"/>
        <v>1200000</v>
      </c>
      <c r="M420" s="8">
        <f t="shared" si="64"/>
        <v>0.79258666666666666</v>
      </c>
      <c r="N420" t="str">
        <f t="shared" si="65"/>
        <v>0-100%</v>
      </c>
      <c r="O420" s="9">
        <f>MIN($H420,$I420)*INDEX('2018_commission_structure'!$A$1:$I$4,MATCH($E420,'2018_commission_structure'!$A$1:$A$4,0),MATCH(O$1,'2018_commission_structure'!$A$1:$I$1,0))</f>
        <v>61821.760000000002</v>
      </c>
      <c r="P420" s="9">
        <f>IF(H420&gt;I420, MIN(H420-I420, J420-I420)*INDEX('2018_commission_structure'!$A$1:$I$4,MATCH($E420,'2018_commission_structure'!$A$1:$A$4,0),MATCH(P$1,'2018_commission_structure'!$A$1:$I$1,0)),0)</f>
        <v>0</v>
      </c>
      <c r="Q420" s="9">
        <f>IF($H420&gt;J420, MIN($H420-J420, K420-J420)*INDEX('2018_commission_structure'!$A$1:$I$4,MATCH($E420,'2018_commission_structure'!$A$1:$A$4,0),MATCH(Q$1,'2018_commission_structure'!$A$1:$I$1,0)),0)</f>
        <v>0</v>
      </c>
      <c r="R420" s="9">
        <f>IF($H420&gt;K420, MIN($H420-K420, L420-K420)*INDEX('2018_commission_structure'!$A$1:$I$4,MATCH($E420,'2018_commission_structure'!$A$1:$A$4,0),MATCH(R$1,'2018_commission_structure'!$A$1:$I$1,0)),0)</f>
        <v>0</v>
      </c>
      <c r="S420" s="9">
        <f>IF(H420&gt;L420,(H420-L420)*INDEX('2018_commission_structure'!$A$1:$I$4,MATCH($E420,'2018_commission_structure'!$A$1:$A$4,0),MATCH(S$1,'2018_commission_structure'!$A$1:$I$1,0)),0)</f>
        <v>0</v>
      </c>
      <c r="T420" s="9">
        <f t="shared" si="66"/>
        <v>61821.760000000002</v>
      </c>
      <c r="U420" s="9">
        <f t="shared" si="70"/>
        <v>120430.76000000001</v>
      </c>
      <c r="V420" s="9">
        <f>MIN($I420,$H420)*INDEX('Key Metrics'!$E$16:$N$19,MATCH($E420,'Key Metrics'!$E$16:$E$19,0),MATCH(V$1,'Key Metrics'!$E$16:$M$16,0))</f>
        <v>71332.800000000003</v>
      </c>
      <c r="W420" s="9">
        <f>IF($H420&gt;I420, MIN($H420-I420, J420-I420)*INDEX('Key Metrics'!$E$16:$N$19,MATCH($E420,'Key Metrics'!$E$16:$E$19,0),MATCH(W$1,'Key Metrics'!$E$16:$M$16,0)),0)</f>
        <v>0</v>
      </c>
      <c r="X420" s="9">
        <f>IF($H420&gt;J420, MIN($H420-J420, K420-J420)*INDEX('Key Metrics'!$E$16:$N$19,MATCH($E420,'Key Metrics'!$E$16:$E$19,0),MATCH(X$1,'Key Metrics'!$E$16:$M$16,0)),0)</f>
        <v>0</v>
      </c>
      <c r="Y420" s="9">
        <f>IF($H420&gt;K420, MIN($H420-K420, L420-K420)*INDEX('Key Metrics'!$E$16:$N$19,MATCH($E420,'Key Metrics'!$E$16:$E$19,0),MATCH(Y$1,'Key Metrics'!$E$16:$M$16,0)),0)</f>
        <v>0</v>
      </c>
      <c r="Z420" s="9">
        <f>IF($H420&gt;L420,($H420-L420)*INDEX('Key Metrics'!$E$16:$N$19,MATCH($E420,'Key Metrics'!$E$16:$E$19,0),MATCH(Z$1,'Key Metrics'!$E$16:$M$16,0)),0)</f>
        <v>0</v>
      </c>
      <c r="AA420" s="9">
        <f t="shared" si="68"/>
        <v>71332.800000000003</v>
      </c>
      <c r="AB420" s="9">
        <f t="shared" si="71"/>
        <v>71333.592586666666</v>
      </c>
    </row>
    <row r="421" spans="1:28" x14ac:dyDescent="0.55000000000000004">
      <c r="A421" t="str">
        <f t="shared" si="60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COUNTIF(deals_closed!$D$2:$D$20001,Calculations!B174)</f>
        <v>21</v>
      </c>
      <c r="H421" s="7">
        <f>SUMIF(deals_closed!$D:$D,Calculations!B174,deals_closed!$C:$C)</f>
        <v>772208</v>
      </c>
      <c r="I421" s="5">
        <f>VLOOKUP(E421,'2018_commission_structure'!$A$1:$I$4,9,FALSE)</f>
        <v>500000</v>
      </c>
      <c r="J421" s="9">
        <f t="shared" si="61"/>
        <v>625000</v>
      </c>
      <c r="K421" s="10">
        <f t="shared" si="62"/>
        <v>750000</v>
      </c>
      <c r="L421" s="9">
        <f t="shared" si="63"/>
        <v>1000000</v>
      </c>
      <c r="M421" s="8">
        <f t="shared" si="64"/>
        <v>1.544416</v>
      </c>
      <c r="N421" t="str">
        <f t="shared" si="65"/>
        <v>150-200%</v>
      </c>
      <c r="O421" s="9">
        <f>MIN($H421,$I421)*INDEX('2018_commission_structure'!$A$1:$I$4,MATCH($E421,'2018_commission_structure'!$A$1:$A$4,0),MATCH(O$1,'2018_commission_structure'!$A$1:$I$1,0))</f>
        <v>50000</v>
      </c>
      <c r="P421" s="9">
        <f>IF(H421&gt;I421, MIN(H421-I421, J421-I421)*INDEX('2018_commission_structure'!$A$1:$I$4,MATCH($E421,'2018_commission_structure'!$A$1:$A$4,0),MATCH(P$1,'2018_commission_structure'!$A$1:$I$1,0)),0)</f>
        <v>18750</v>
      </c>
      <c r="Q421" s="9">
        <f>IF($H421&gt;J421, MIN($H421-J421, K421-J421)*INDEX('2018_commission_structure'!$A$1:$I$4,MATCH($E421,'2018_commission_structure'!$A$1:$A$4,0),MATCH(Q$1,'2018_commission_structure'!$A$1:$I$1,0)),0)</f>
        <v>22500</v>
      </c>
      <c r="R421" s="9">
        <f>IF($H421&gt;K421, MIN($H421-K421, L421-K421)*INDEX('2018_commission_structure'!$A$1:$I$4,MATCH($E421,'2018_commission_structure'!$A$1:$A$4,0),MATCH(R$1,'2018_commission_structure'!$A$1:$I$1,0)),0)</f>
        <v>4885.76</v>
      </c>
      <c r="S421" s="9">
        <f>IF(H421&gt;L421,(H421-L421)*INDEX('2018_commission_structure'!$A$1:$I$4,MATCH($E421,'2018_commission_structure'!$A$1:$A$4,0),MATCH(S$1,'2018_commission_structure'!$A$1:$I$1,0)),0)</f>
        <v>0</v>
      </c>
      <c r="T421" s="9">
        <f t="shared" si="66"/>
        <v>96135.76</v>
      </c>
      <c r="U421" s="9">
        <f t="shared" si="70"/>
        <v>142605.76000000001</v>
      </c>
      <c r="V421" s="9">
        <f>MIN($I421,$H421)*INDEX('Key Metrics'!$E$16:$N$19,MATCH($E421,'Key Metrics'!$E$16:$E$19,0),MATCH(V$1,'Key Metrics'!$E$16:$M$16,0))</f>
        <v>60000</v>
      </c>
      <c r="W421" s="9">
        <f>IF($H421&gt;I421, MIN($H421-I421, J421-I421)*INDEX('Key Metrics'!$E$16:$N$19,MATCH($E421,'Key Metrics'!$E$16:$E$19,0),MATCH(W$1,'Key Metrics'!$E$16:$M$16,0)),0)</f>
        <v>21250</v>
      </c>
      <c r="X421" s="9">
        <f>IF($H421&gt;J421, MIN($H421-J421, K421-J421)*INDEX('Key Metrics'!$E$16:$N$19,MATCH($E421,'Key Metrics'!$E$16:$E$19,0),MATCH(X$1,'Key Metrics'!$E$16:$M$16,0)),0)</f>
        <v>25000</v>
      </c>
      <c r="Y421" s="9">
        <f>IF($H421&gt;K421, MIN($H421-K421, L421-K421)*INDEX('Key Metrics'!$E$16:$N$19,MATCH($E421,'Key Metrics'!$E$16:$E$19,0),MATCH(Y$1,'Key Metrics'!$E$16:$M$16,0)),0)</f>
        <v>4885.76</v>
      </c>
      <c r="Z421" s="9">
        <f>IF($H421&gt;L421,($H421-L421)*INDEX('Key Metrics'!$E$16:$N$19,MATCH($E421,'Key Metrics'!$E$16:$E$19,0),MATCH(Z$1,'Key Metrics'!$E$16:$M$16,0)),0)</f>
        <v>0</v>
      </c>
      <c r="AA421" s="9">
        <f t="shared" si="68"/>
        <v>111135.76</v>
      </c>
      <c r="AB421" s="9">
        <f t="shared" si="71"/>
        <v>111137.304416</v>
      </c>
    </row>
    <row r="422" spans="1:28" x14ac:dyDescent="0.55000000000000004">
      <c r="A422" t="str">
        <f t="shared" si="60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COUNTIF(deals_closed!$D$2:$D$20001,Calculations!B421)</f>
        <v>19</v>
      </c>
      <c r="H422" s="7">
        <f>SUMIF(deals_closed!$D:$D,Calculations!B421,deals_closed!$C:$C)</f>
        <v>725008</v>
      </c>
      <c r="I422" s="5">
        <f>VLOOKUP(E422,'2018_commission_structure'!$A$1:$I$4,9,FALSE)</f>
        <v>600000</v>
      </c>
      <c r="J422" s="9">
        <f t="shared" si="61"/>
        <v>750000</v>
      </c>
      <c r="K422" s="10">
        <f t="shared" si="62"/>
        <v>900000</v>
      </c>
      <c r="L422" s="9">
        <f t="shared" si="63"/>
        <v>1200000</v>
      </c>
      <c r="M422" s="8">
        <f t="shared" si="64"/>
        <v>1.2083466666666667</v>
      </c>
      <c r="N422" t="str">
        <f t="shared" si="65"/>
        <v>100-125%</v>
      </c>
      <c r="O422" s="9">
        <f>MIN($H422,$I422)*INDEX('2018_commission_structure'!$A$1:$I$4,MATCH($E422,'2018_commission_structure'!$A$1:$A$4,0),MATCH(O$1,'2018_commission_structure'!$A$1:$I$1,0))</f>
        <v>78000</v>
      </c>
      <c r="P422" s="9">
        <f>IF(H422&gt;I422, MIN(H422-I422, J422-I422)*INDEX('2018_commission_structure'!$A$1:$I$4,MATCH($E422,'2018_commission_structure'!$A$1:$A$4,0),MATCH(P$1,'2018_commission_structure'!$A$1:$I$1,0)),0)</f>
        <v>21251.360000000001</v>
      </c>
      <c r="Q422" s="9">
        <f>IF($H422&gt;J422, MIN($H422-J422, K422-J422)*INDEX('2018_commission_structure'!$A$1:$I$4,MATCH($E422,'2018_commission_structure'!$A$1:$A$4,0),MATCH(Q$1,'2018_commission_structure'!$A$1:$I$1,0)),0)</f>
        <v>0</v>
      </c>
      <c r="R422" s="9">
        <f>IF($H422&gt;K422, MIN($H422-K422, L422-K422)*INDEX('2018_commission_structure'!$A$1:$I$4,MATCH($E422,'2018_commission_structure'!$A$1:$A$4,0),MATCH(R$1,'2018_commission_structure'!$A$1:$I$1,0)),0)</f>
        <v>0</v>
      </c>
      <c r="S422" s="9">
        <f>IF(H422&gt;L422,(H422-L422)*INDEX('2018_commission_structure'!$A$1:$I$4,MATCH($E422,'2018_commission_structure'!$A$1:$A$4,0),MATCH(S$1,'2018_commission_structure'!$A$1:$I$1,0)),0)</f>
        <v>0</v>
      </c>
      <c r="T422" s="9">
        <f t="shared" si="66"/>
        <v>99251.36</v>
      </c>
      <c r="U422" s="9">
        <f t="shared" si="70"/>
        <v>177077.36</v>
      </c>
      <c r="V422" s="9">
        <f>MIN($I422,$H422)*INDEX('Key Metrics'!$E$16:$N$19,MATCH($E422,'Key Metrics'!$E$16:$E$19,0),MATCH(V$1,'Key Metrics'!$E$16:$M$16,0))</f>
        <v>90000</v>
      </c>
      <c r="W422" s="9">
        <f>IF($H422&gt;I422, MIN($H422-I422, J422-I422)*INDEX('Key Metrics'!$E$16:$N$19,MATCH($E422,'Key Metrics'!$E$16:$E$19,0),MATCH(W$1,'Key Metrics'!$E$16:$M$16,0)),0)</f>
        <v>22501.439999999999</v>
      </c>
      <c r="X422" s="9">
        <f>IF($H422&gt;J422, MIN($H422-J422, K422-J422)*INDEX('Key Metrics'!$E$16:$N$19,MATCH($E422,'Key Metrics'!$E$16:$E$19,0),MATCH(X$1,'Key Metrics'!$E$16:$M$16,0)),0)</f>
        <v>0</v>
      </c>
      <c r="Y422" s="9">
        <f>IF($H422&gt;K422, MIN($H422-K422, L422-K422)*INDEX('Key Metrics'!$E$16:$N$19,MATCH($E422,'Key Metrics'!$E$16:$E$19,0),MATCH(Y$1,'Key Metrics'!$E$16:$M$16,0)),0)</f>
        <v>0</v>
      </c>
      <c r="Z422" s="9">
        <f>IF($H422&gt;L422,($H422-L422)*INDEX('Key Metrics'!$E$16:$N$19,MATCH($E422,'Key Metrics'!$E$16:$E$19,0),MATCH(Z$1,'Key Metrics'!$E$16:$M$16,0)),0)</f>
        <v>0</v>
      </c>
      <c r="AA422" s="9">
        <f t="shared" si="68"/>
        <v>112501.44</v>
      </c>
      <c r="AB422" s="9">
        <f t="shared" si="71"/>
        <v>112502.64834666667</v>
      </c>
    </row>
    <row r="423" spans="1:28" x14ac:dyDescent="0.55000000000000004">
      <c r="A423" t="str">
        <f t="shared" si="60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COUNTIF(deals_closed!$D$2:$D$20001,Calculations!B794)</f>
        <v>25</v>
      </c>
      <c r="H423" s="7">
        <f>SUMIF(deals_closed!$D:$D,Calculations!B794,deals_closed!$C:$C)</f>
        <v>858349</v>
      </c>
      <c r="I423" s="5">
        <f>VLOOKUP(E423,'2018_commission_structure'!$A$1:$I$4,9,FALSE)</f>
        <v>750000</v>
      </c>
      <c r="J423" s="9">
        <f t="shared" si="61"/>
        <v>937500</v>
      </c>
      <c r="K423" s="10">
        <f t="shared" si="62"/>
        <v>1125000</v>
      </c>
      <c r="L423" s="9">
        <f t="shared" si="63"/>
        <v>1500000</v>
      </c>
      <c r="M423" s="8">
        <f t="shared" si="64"/>
        <v>1.1444653333333332</v>
      </c>
      <c r="N423" t="str">
        <f t="shared" si="65"/>
        <v>100-125%</v>
      </c>
      <c r="O423" s="9">
        <f>MIN($H423,$I423)*INDEX('2018_commission_structure'!$A$1:$I$4,MATCH($E423,'2018_commission_structure'!$A$1:$A$4,0),MATCH(O$1,'2018_commission_structure'!$A$1:$I$1,0))</f>
        <v>112500</v>
      </c>
      <c r="P423" s="9">
        <f>IF(H423&gt;I423, MIN(H423-I423, J423-I423)*INDEX('2018_commission_structure'!$A$1:$I$4,MATCH($E423,'2018_commission_structure'!$A$1:$A$4,0),MATCH(P$1,'2018_commission_structure'!$A$1:$I$1,0)),0)</f>
        <v>20586.310000000001</v>
      </c>
      <c r="Q423" s="9">
        <f>IF($H423&gt;J423, MIN($H423-J423, K423-J423)*INDEX('2018_commission_structure'!$A$1:$I$4,MATCH($E423,'2018_commission_structure'!$A$1:$A$4,0),MATCH(Q$1,'2018_commission_structure'!$A$1:$I$1,0)),0)</f>
        <v>0</v>
      </c>
      <c r="R423" s="9">
        <f>IF($H423&gt;K423, MIN($H423-K423, L423-K423)*INDEX('2018_commission_structure'!$A$1:$I$4,MATCH($E423,'2018_commission_structure'!$A$1:$A$4,0),MATCH(R$1,'2018_commission_structure'!$A$1:$I$1,0)),0)</f>
        <v>0</v>
      </c>
      <c r="S423" s="9">
        <f>IF(H423&gt;L423,(H423-L423)*INDEX('2018_commission_structure'!$A$1:$I$4,MATCH($E423,'2018_commission_structure'!$A$1:$A$4,0),MATCH(S$1,'2018_commission_structure'!$A$1:$I$1,0)),0)</f>
        <v>0</v>
      </c>
      <c r="T423" s="9">
        <f t="shared" si="66"/>
        <v>133086.31</v>
      </c>
      <c r="U423" s="9">
        <f t="shared" si="70"/>
        <v>255176.31</v>
      </c>
      <c r="V423" s="9">
        <f>MIN($I423,$H423)*INDEX('Key Metrics'!$E$16:$N$19,MATCH($E423,'Key Metrics'!$E$16:$E$19,0),MATCH(V$1,'Key Metrics'!$E$16:$M$16,0))</f>
        <v>112500</v>
      </c>
      <c r="W423" s="9">
        <f>IF($H423&gt;I423, MIN($H423-I423, J423-I423)*INDEX('Key Metrics'!$E$16:$N$19,MATCH($E423,'Key Metrics'!$E$16:$E$19,0),MATCH(W$1,'Key Metrics'!$E$16:$M$16,0)),0)</f>
        <v>23836.78</v>
      </c>
      <c r="X423" s="9">
        <f>IF($H423&gt;J423, MIN($H423-J423, K423-J423)*INDEX('Key Metrics'!$E$16:$N$19,MATCH($E423,'Key Metrics'!$E$16:$E$19,0),MATCH(X$1,'Key Metrics'!$E$16:$M$16,0)),0)</f>
        <v>0</v>
      </c>
      <c r="Y423" s="9">
        <f>IF($H423&gt;K423, MIN($H423-K423, L423-K423)*INDEX('Key Metrics'!$E$16:$N$19,MATCH($E423,'Key Metrics'!$E$16:$E$19,0),MATCH(Y$1,'Key Metrics'!$E$16:$M$16,0)),0)</f>
        <v>0</v>
      </c>
      <c r="Z423" s="9">
        <f>IF($H423&gt;L423,($H423-L423)*INDEX('Key Metrics'!$E$16:$N$19,MATCH($E423,'Key Metrics'!$E$16:$E$19,0),MATCH(Z$1,'Key Metrics'!$E$16:$M$16,0)),0)</f>
        <v>0</v>
      </c>
      <c r="AA423" s="9">
        <f t="shared" si="68"/>
        <v>136336.78</v>
      </c>
      <c r="AB423" s="9">
        <f t="shared" si="71"/>
        <v>136337.92446533334</v>
      </c>
    </row>
    <row r="424" spans="1:28" x14ac:dyDescent="0.55000000000000004">
      <c r="A424" t="str">
        <f t="shared" si="60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COUNTIF(deals_closed!$D$2:$D$20001,Calculations!B406)</f>
        <v>21</v>
      </c>
      <c r="H424" s="7">
        <f>SUMIF(deals_closed!$D:$D,Calculations!B406,deals_closed!$C:$C)</f>
        <v>714330</v>
      </c>
      <c r="I424" s="5">
        <f>VLOOKUP(E424,'2018_commission_structure'!$A$1:$I$4,9,FALSE)</f>
        <v>750000</v>
      </c>
      <c r="J424" s="9">
        <f t="shared" si="61"/>
        <v>937500</v>
      </c>
      <c r="K424" s="10">
        <f t="shared" si="62"/>
        <v>1125000</v>
      </c>
      <c r="L424" s="9">
        <f t="shared" si="63"/>
        <v>1500000</v>
      </c>
      <c r="M424" s="8">
        <f t="shared" si="64"/>
        <v>0.95243999999999995</v>
      </c>
      <c r="N424" t="str">
        <f t="shared" si="65"/>
        <v>0-100%</v>
      </c>
      <c r="O424" s="9">
        <f>MIN($H424,$I424)*INDEX('2018_commission_structure'!$A$1:$I$4,MATCH($E424,'2018_commission_structure'!$A$1:$A$4,0),MATCH(O$1,'2018_commission_structure'!$A$1:$I$1,0))</f>
        <v>107149.5</v>
      </c>
      <c r="P424" s="9">
        <f>IF(H424&gt;I424, MIN(H424-I424, J424-I424)*INDEX('2018_commission_structure'!$A$1:$I$4,MATCH($E424,'2018_commission_structure'!$A$1:$A$4,0),MATCH(P$1,'2018_commission_structure'!$A$1:$I$1,0)),0)</f>
        <v>0</v>
      </c>
      <c r="Q424" s="9">
        <f>IF($H424&gt;J424, MIN($H424-J424, K424-J424)*INDEX('2018_commission_structure'!$A$1:$I$4,MATCH($E424,'2018_commission_structure'!$A$1:$A$4,0),MATCH(Q$1,'2018_commission_structure'!$A$1:$I$1,0)),0)</f>
        <v>0</v>
      </c>
      <c r="R424" s="9">
        <f>IF($H424&gt;K424, MIN($H424-K424, L424-K424)*INDEX('2018_commission_structure'!$A$1:$I$4,MATCH($E424,'2018_commission_structure'!$A$1:$A$4,0),MATCH(R$1,'2018_commission_structure'!$A$1:$I$1,0)),0)</f>
        <v>0</v>
      </c>
      <c r="S424" s="9">
        <f>IF(H424&gt;L424,(H424-L424)*INDEX('2018_commission_structure'!$A$1:$I$4,MATCH($E424,'2018_commission_structure'!$A$1:$A$4,0),MATCH(S$1,'2018_commission_structure'!$A$1:$I$1,0)),0)</f>
        <v>0</v>
      </c>
      <c r="T424" s="9">
        <f t="shared" si="66"/>
        <v>107149.5</v>
      </c>
      <c r="U424" s="9">
        <f t="shared" si="70"/>
        <v>187868.5</v>
      </c>
      <c r="V424" s="9">
        <f>MIN($I424,$H424)*INDEX('Key Metrics'!$E$16:$N$19,MATCH($E424,'Key Metrics'!$E$16:$E$19,0),MATCH(V$1,'Key Metrics'!$E$16:$M$16,0))</f>
        <v>107149.5</v>
      </c>
      <c r="W424" s="9">
        <f>IF($H424&gt;I424, MIN($H424-I424, J424-I424)*INDEX('Key Metrics'!$E$16:$N$19,MATCH($E424,'Key Metrics'!$E$16:$E$19,0),MATCH(W$1,'Key Metrics'!$E$16:$M$16,0)),0)</f>
        <v>0</v>
      </c>
      <c r="X424" s="9">
        <f>IF($H424&gt;J424, MIN($H424-J424, K424-J424)*INDEX('Key Metrics'!$E$16:$N$19,MATCH($E424,'Key Metrics'!$E$16:$E$19,0),MATCH(X$1,'Key Metrics'!$E$16:$M$16,0)),0)</f>
        <v>0</v>
      </c>
      <c r="Y424" s="9">
        <f>IF($H424&gt;K424, MIN($H424-K424, L424-K424)*INDEX('Key Metrics'!$E$16:$N$19,MATCH($E424,'Key Metrics'!$E$16:$E$19,0),MATCH(Y$1,'Key Metrics'!$E$16:$M$16,0)),0)</f>
        <v>0</v>
      </c>
      <c r="Z424" s="9">
        <f>IF($H424&gt;L424,($H424-L424)*INDEX('Key Metrics'!$E$16:$N$19,MATCH($E424,'Key Metrics'!$E$16:$E$19,0),MATCH(Z$1,'Key Metrics'!$E$16:$M$16,0)),0)</f>
        <v>0</v>
      </c>
      <c r="AA424" s="9">
        <f t="shared" si="68"/>
        <v>107149.5</v>
      </c>
      <c r="AB424" s="9">
        <f t="shared" si="71"/>
        <v>107150.45243999999</v>
      </c>
    </row>
    <row r="425" spans="1:28" x14ac:dyDescent="0.55000000000000004">
      <c r="A425" t="str">
        <f t="shared" si="60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COUNTIF(deals_closed!$D$2:$D$20001,Calculations!B547)</f>
        <v>16</v>
      </c>
      <c r="H425" s="7">
        <f>SUMIF(deals_closed!$D:$D,Calculations!B547,deals_closed!$C:$C)</f>
        <v>495156</v>
      </c>
      <c r="I425" s="5">
        <f>VLOOKUP(E425,'2018_commission_structure'!$A$1:$I$4,9,FALSE)</f>
        <v>750000</v>
      </c>
      <c r="J425" s="9">
        <f t="shared" si="61"/>
        <v>937500</v>
      </c>
      <c r="K425" s="10">
        <f t="shared" si="62"/>
        <v>1125000</v>
      </c>
      <c r="L425" s="9">
        <f t="shared" si="63"/>
        <v>1500000</v>
      </c>
      <c r="M425" s="8">
        <f t="shared" si="64"/>
        <v>0.66020800000000002</v>
      </c>
      <c r="N425" t="str">
        <f t="shared" si="65"/>
        <v>0-100%</v>
      </c>
      <c r="O425" s="9">
        <f>MIN($H425,$I425)*INDEX('2018_commission_structure'!$A$1:$I$4,MATCH($E425,'2018_commission_structure'!$A$1:$A$4,0),MATCH(O$1,'2018_commission_structure'!$A$1:$I$1,0))</f>
        <v>74273.399999999994</v>
      </c>
      <c r="P425" s="9">
        <f>IF(H425&gt;I425, MIN(H425-I425, J425-I425)*INDEX('2018_commission_structure'!$A$1:$I$4,MATCH($E425,'2018_commission_structure'!$A$1:$A$4,0),MATCH(P$1,'2018_commission_structure'!$A$1:$I$1,0)),0)</f>
        <v>0</v>
      </c>
      <c r="Q425" s="9">
        <f>IF($H425&gt;J425, MIN($H425-J425, K425-J425)*INDEX('2018_commission_structure'!$A$1:$I$4,MATCH($E425,'2018_commission_structure'!$A$1:$A$4,0),MATCH(Q$1,'2018_commission_structure'!$A$1:$I$1,0)),0)</f>
        <v>0</v>
      </c>
      <c r="R425" s="9">
        <f>IF($H425&gt;K425, MIN($H425-K425, L425-K425)*INDEX('2018_commission_structure'!$A$1:$I$4,MATCH($E425,'2018_commission_structure'!$A$1:$A$4,0),MATCH(R$1,'2018_commission_structure'!$A$1:$I$1,0)),0)</f>
        <v>0</v>
      </c>
      <c r="S425" s="9">
        <f>IF(H425&gt;L425,(H425-L425)*INDEX('2018_commission_structure'!$A$1:$I$4,MATCH($E425,'2018_commission_structure'!$A$1:$A$4,0),MATCH(S$1,'2018_commission_structure'!$A$1:$I$1,0)),0)</f>
        <v>0</v>
      </c>
      <c r="T425" s="9">
        <f t="shared" si="66"/>
        <v>74273.399999999994</v>
      </c>
      <c r="U425" s="9">
        <f t="shared" si="70"/>
        <v>182075.4</v>
      </c>
      <c r="V425" s="9">
        <f>MIN($I425,$H425)*INDEX('Key Metrics'!$E$16:$N$19,MATCH($E425,'Key Metrics'!$E$16:$E$19,0),MATCH(V$1,'Key Metrics'!$E$16:$M$16,0))</f>
        <v>74273.399999999994</v>
      </c>
      <c r="W425" s="9">
        <f>IF($H425&gt;I425, MIN($H425-I425, J425-I425)*INDEX('Key Metrics'!$E$16:$N$19,MATCH($E425,'Key Metrics'!$E$16:$E$19,0),MATCH(W$1,'Key Metrics'!$E$16:$M$16,0)),0)</f>
        <v>0</v>
      </c>
      <c r="X425" s="9">
        <f>IF($H425&gt;J425, MIN($H425-J425, K425-J425)*INDEX('Key Metrics'!$E$16:$N$19,MATCH($E425,'Key Metrics'!$E$16:$E$19,0),MATCH(X$1,'Key Metrics'!$E$16:$M$16,0)),0)</f>
        <v>0</v>
      </c>
      <c r="Y425" s="9">
        <f>IF($H425&gt;K425, MIN($H425-K425, L425-K425)*INDEX('Key Metrics'!$E$16:$N$19,MATCH($E425,'Key Metrics'!$E$16:$E$19,0),MATCH(Y$1,'Key Metrics'!$E$16:$M$16,0)),0)</f>
        <v>0</v>
      </c>
      <c r="Z425" s="9">
        <f>IF($H425&gt;L425,($H425-L425)*INDEX('Key Metrics'!$E$16:$N$19,MATCH($E425,'Key Metrics'!$E$16:$E$19,0),MATCH(Z$1,'Key Metrics'!$E$16:$M$16,0)),0)</f>
        <v>0</v>
      </c>
      <c r="AA425" s="9">
        <f t="shared" si="68"/>
        <v>74273.399999999994</v>
      </c>
      <c r="AB425" s="9">
        <f t="shared" si="71"/>
        <v>74274.060207999995</v>
      </c>
    </row>
    <row r="426" spans="1:28" x14ac:dyDescent="0.55000000000000004">
      <c r="A426" t="str">
        <f t="shared" si="60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COUNTIF(deals_closed!$D$2:$D$20001,Calculations!B114)</f>
        <v>14</v>
      </c>
      <c r="H426" s="7">
        <f>SUMIF(deals_closed!$D:$D,Calculations!B114,deals_closed!$C:$C)</f>
        <v>592368</v>
      </c>
      <c r="I426" s="5">
        <f>VLOOKUP(E426,'2018_commission_structure'!$A$1:$I$4,9,FALSE)</f>
        <v>750000</v>
      </c>
      <c r="J426" s="9">
        <f t="shared" si="61"/>
        <v>937500</v>
      </c>
      <c r="K426" s="10">
        <f t="shared" si="62"/>
        <v>1125000</v>
      </c>
      <c r="L426" s="9">
        <f t="shared" si="63"/>
        <v>1500000</v>
      </c>
      <c r="M426" s="8">
        <f t="shared" si="64"/>
        <v>0.78982399999999997</v>
      </c>
      <c r="N426" t="str">
        <f t="shared" si="65"/>
        <v>0-100%</v>
      </c>
      <c r="O426" s="9">
        <f>MIN($H426,$I426)*INDEX('2018_commission_structure'!$A$1:$I$4,MATCH($E426,'2018_commission_structure'!$A$1:$A$4,0),MATCH(O$1,'2018_commission_structure'!$A$1:$I$1,0))</f>
        <v>88855.2</v>
      </c>
      <c r="P426" s="9">
        <f>IF(H426&gt;I426, MIN(H426-I426, J426-I426)*INDEX('2018_commission_structure'!$A$1:$I$4,MATCH($E426,'2018_commission_structure'!$A$1:$A$4,0),MATCH(P$1,'2018_commission_structure'!$A$1:$I$1,0)),0)</f>
        <v>0</v>
      </c>
      <c r="Q426" s="9">
        <f>IF($H426&gt;J426, MIN($H426-J426, K426-J426)*INDEX('2018_commission_structure'!$A$1:$I$4,MATCH($E426,'2018_commission_structure'!$A$1:$A$4,0),MATCH(Q$1,'2018_commission_structure'!$A$1:$I$1,0)),0)</f>
        <v>0</v>
      </c>
      <c r="R426" s="9">
        <f>IF($H426&gt;K426, MIN($H426-K426, L426-K426)*INDEX('2018_commission_structure'!$A$1:$I$4,MATCH($E426,'2018_commission_structure'!$A$1:$A$4,0),MATCH(R$1,'2018_commission_structure'!$A$1:$I$1,0)),0)</f>
        <v>0</v>
      </c>
      <c r="S426" s="9">
        <f>IF(H426&gt;L426,(H426-L426)*INDEX('2018_commission_structure'!$A$1:$I$4,MATCH($E426,'2018_commission_structure'!$A$1:$A$4,0),MATCH(S$1,'2018_commission_structure'!$A$1:$I$1,0)),0)</f>
        <v>0</v>
      </c>
      <c r="T426" s="9">
        <f t="shared" si="66"/>
        <v>88855.2</v>
      </c>
      <c r="U426" s="9">
        <f t="shared" si="70"/>
        <v>202381.2</v>
      </c>
      <c r="V426" s="9">
        <f>MIN($I426,$H426)*INDEX('Key Metrics'!$E$16:$N$19,MATCH($E426,'Key Metrics'!$E$16:$E$19,0),MATCH(V$1,'Key Metrics'!$E$16:$M$16,0))</f>
        <v>88855.2</v>
      </c>
      <c r="W426" s="9">
        <f>IF($H426&gt;I426, MIN($H426-I426, J426-I426)*INDEX('Key Metrics'!$E$16:$N$19,MATCH($E426,'Key Metrics'!$E$16:$E$19,0),MATCH(W$1,'Key Metrics'!$E$16:$M$16,0)),0)</f>
        <v>0</v>
      </c>
      <c r="X426" s="9">
        <f>IF($H426&gt;J426, MIN($H426-J426, K426-J426)*INDEX('Key Metrics'!$E$16:$N$19,MATCH($E426,'Key Metrics'!$E$16:$E$19,0),MATCH(X$1,'Key Metrics'!$E$16:$M$16,0)),0)</f>
        <v>0</v>
      </c>
      <c r="Y426" s="9">
        <f>IF($H426&gt;K426, MIN($H426-K426, L426-K426)*INDEX('Key Metrics'!$E$16:$N$19,MATCH($E426,'Key Metrics'!$E$16:$E$19,0),MATCH(Y$1,'Key Metrics'!$E$16:$M$16,0)),0)</f>
        <v>0</v>
      </c>
      <c r="Z426" s="9">
        <f>IF($H426&gt;L426,($H426-L426)*INDEX('Key Metrics'!$E$16:$N$19,MATCH($E426,'Key Metrics'!$E$16:$E$19,0),MATCH(Z$1,'Key Metrics'!$E$16:$M$16,0)),0)</f>
        <v>0</v>
      </c>
      <c r="AA426" s="9">
        <f t="shared" si="68"/>
        <v>88855.2</v>
      </c>
      <c r="AB426" s="9">
        <f t="shared" si="71"/>
        <v>88855.989824000004</v>
      </c>
    </row>
    <row r="427" spans="1:28" x14ac:dyDescent="0.55000000000000004">
      <c r="A427" t="str">
        <f t="shared" si="60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COUNTIF(deals_closed!$D$2:$D$20001,Calculations!B844)</f>
        <v>14</v>
      </c>
      <c r="H427" s="7">
        <f>SUMIF(deals_closed!$D:$D,Calculations!B844,deals_closed!$C:$C)</f>
        <v>445257</v>
      </c>
      <c r="I427" s="5">
        <f>VLOOKUP(E427,'2018_commission_structure'!$A$1:$I$4,9,FALSE)</f>
        <v>500000</v>
      </c>
      <c r="J427" s="9">
        <f t="shared" si="61"/>
        <v>625000</v>
      </c>
      <c r="K427" s="10">
        <f t="shared" si="62"/>
        <v>750000</v>
      </c>
      <c r="L427" s="9">
        <f t="shared" si="63"/>
        <v>1000000</v>
      </c>
      <c r="M427" s="8">
        <f t="shared" si="64"/>
        <v>0.89051400000000003</v>
      </c>
      <c r="N427" t="str">
        <f t="shared" si="65"/>
        <v>0-100%</v>
      </c>
      <c r="O427" s="9">
        <f>MIN($H427,$I427)*INDEX('2018_commission_structure'!$A$1:$I$4,MATCH($E427,'2018_commission_structure'!$A$1:$A$4,0),MATCH(O$1,'2018_commission_structure'!$A$1:$I$1,0))</f>
        <v>44525.700000000004</v>
      </c>
      <c r="P427" s="9">
        <f>IF(H427&gt;I427, MIN(H427-I427, J427-I427)*INDEX('2018_commission_structure'!$A$1:$I$4,MATCH($E427,'2018_commission_structure'!$A$1:$A$4,0),MATCH(P$1,'2018_commission_structure'!$A$1:$I$1,0)),0)</f>
        <v>0</v>
      </c>
      <c r="Q427" s="9">
        <f>IF($H427&gt;J427, MIN($H427-J427, K427-J427)*INDEX('2018_commission_structure'!$A$1:$I$4,MATCH($E427,'2018_commission_structure'!$A$1:$A$4,0),MATCH(Q$1,'2018_commission_structure'!$A$1:$I$1,0)),0)</f>
        <v>0</v>
      </c>
      <c r="R427" s="9">
        <f>IF($H427&gt;K427, MIN($H427-K427, L427-K427)*INDEX('2018_commission_structure'!$A$1:$I$4,MATCH($E427,'2018_commission_structure'!$A$1:$A$4,0),MATCH(R$1,'2018_commission_structure'!$A$1:$I$1,0)),0)</f>
        <v>0</v>
      </c>
      <c r="S427" s="9">
        <f>IF(H427&gt;L427,(H427-L427)*INDEX('2018_commission_structure'!$A$1:$I$4,MATCH($E427,'2018_commission_structure'!$A$1:$A$4,0),MATCH(S$1,'2018_commission_structure'!$A$1:$I$1,0)),0)</f>
        <v>0</v>
      </c>
      <c r="T427" s="9">
        <f t="shared" si="66"/>
        <v>44525.700000000004</v>
      </c>
      <c r="U427" s="9">
        <f t="shared" si="70"/>
        <v>85420.700000000012</v>
      </c>
      <c r="V427" s="9">
        <f>MIN($I427,$H427)*INDEX('Key Metrics'!$E$16:$N$19,MATCH($E427,'Key Metrics'!$E$16:$E$19,0),MATCH(V$1,'Key Metrics'!$E$16:$M$16,0))</f>
        <v>53430.84</v>
      </c>
      <c r="W427" s="9">
        <f>IF($H427&gt;I427, MIN($H427-I427, J427-I427)*INDEX('Key Metrics'!$E$16:$N$19,MATCH($E427,'Key Metrics'!$E$16:$E$19,0),MATCH(W$1,'Key Metrics'!$E$16:$M$16,0)),0)</f>
        <v>0</v>
      </c>
      <c r="X427" s="9">
        <f>IF($H427&gt;J427, MIN($H427-J427, K427-J427)*INDEX('Key Metrics'!$E$16:$N$19,MATCH($E427,'Key Metrics'!$E$16:$E$19,0),MATCH(X$1,'Key Metrics'!$E$16:$M$16,0)),0)</f>
        <v>0</v>
      </c>
      <c r="Y427" s="9">
        <f>IF($H427&gt;K427, MIN($H427-K427, L427-K427)*INDEX('Key Metrics'!$E$16:$N$19,MATCH($E427,'Key Metrics'!$E$16:$E$19,0),MATCH(Y$1,'Key Metrics'!$E$16:$M$16,0)),0)</f>
        <v>0</v>
      </c>
      <c r="Z427" s="9">
        <f>IF($H427&gt;L427,($H427-L427)*INDEX('Key Metrics'!$E$16:$N$19,MATCH($E427,'Key Metrics'!$E$16:$E$19,0),MATCH(Z$1,'Key Metrics'!$E$16:$M$16,0)),0)</f>
        <v>0</v>
      </c>
      <c r="AA427" s="9">
        <f t="shared" si="68"/>
        <v>53430.84</v>
      </c>
      <c r="AB427" s="9">
        <f t="shared" si="71"/>
        <v>53431.730513999995</v>
      </c>
    </row>
    <row r="428" spans="1:28" x14ac:dyDescent="0.55000000000000004">
      <c r="A428" t="str">
        <f t="shared" si="60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COUNTIF(deals_closed!$D$2:$D$20001,Calculations!B366)</f>
        <v>14</v>
      </c>
      <c r="H428" s="7">
        <f>SUMIF(deals_closed!$D:$D,Calculations!B366,deals_closed!$C:$C)</f>
        <v>400289</v>
      </c>
      <c r="I428" s="5">
        <f>VLOOKUP(E428,'2018_commission_structure'!$A$1:$I$4,9,FALSE)</f>
        <v>600000</v>
      </c>
      <c r="J428" s="9">
        <f t="shared" si="61"/>
        <v>750000</v>
      </c>
      <c r="K428" s="10">
        <f t="shared" si="62"/>
        <v>900000</v>
      </c>
      <c r="L428" s="9">
        <f t="shared" si="63"/>
        <v>1200000</v>
      </c>
      <c r="M428" s="8">
        <f t="shared" si="64"/>
        <v>0.66714833333333334</v>
      </c>
      <c r="N428" t="str">
        <f t="shared" si="65"/>
        <v>0-100%</v>
      </c>
      <c r="O428" s="9">
        <f>MIN($H428,$I428)*INDEX('2018_commission_structure'!$A$1:$I$4,MATCH($E428,'2018_commission_structure'!$A$1:$A$4,0),MATCH(O$1,'2018_commission_structure'!$A$1:$I$1,0))</f>
        <v>52037.57</v>
      </c>
      <c r="P428" s="9">
        <f>IF(H428&gt;I428, MIN(H428-I428, J428-I428)*INDEX('2018_commission_structure'!$A$1:$I$4,MATCH($E428,'2018_commission_structure'!$A$1:$A$4,0),MATCH(P$1,'2018_commission_structure'!$A$1:$I$1,0)),0)</f>
        <v>0</v>
      </c>
      <c r="Q428" s="9">
        <f>IF($H428&gt;J428, MIN($H428-J428, K428-J428)*INDEX('2018_commission_structure'!$A$1:$I$4,MATCH($E428,'2018_commission_structure'!$A$1:$A$4,0),MATCH(Q$1,'2018_commission_structure'!$A$1:$I$1,0)),0)</f>
        <v>0</v>
      </c>
      <c r="R428" s="9">
        <f>IF($H428&gt;K428, MIN($H428-K428, L428-K428)*INDEX('2018_commission_structure'!$A$1:$I$4,MATCH($E428,'2018_commission_structure'!$A$1:$A$4,0),MATCH(R$1,'2018_commission_structure'!$A$1:$I$1,0)),0)</f>
        <v>0</v>
      </c>
      <c r="S428" s="9">
        <f>IF(H428&gt;L428,(H428-L428)*INDEX('2018_commission_structure'!$A$1:$I$4,MATCH($E428,'2018_commission_structure'!$A$1:$A$4,0),MATCH(S$1,'2018_commission_structure'!$A$1:$I$1,0)),0)</f>
        <v>0</v>
      </c>
      <c r="T428" s="9">
        <f t="shared" si="66"/>
        <v>52037.57</v>
      </c>
      <c r="U428" s="9">
        <f t="shared" si="70"/>
        <v>131238.57</v>
      </c>
      <c r="V428" s="9">
        <f>MIN($I428,$H428)*INDEX('Key Metrics'!$E$16:$N$19,MATCH($E428,'Key Metrics'!$E$16:$E$19,0),MATCH(V$1,'Key Metrics'!$E$16:$M$16,0))</f>
        <v>60043.35</v>
      </c>
      <c r="W428" s="9">
        <f>IF($H428&gt;I428, MIN($H428-I428, J428-I428)*INDEX('Key Metrics'!$E$16:$N$19,MATCH($E428,'Key Metrics'!$E$16:$E$19,0),MATCH(W$1,'Key Metrics'!$E$16:$M$16,0)),0)</f>
        <v>0</v>
      </c>
      <c r="X428" s="9">
        <f>IF($H428&gt;J428, MIN($H428-J428, K428-J428)*INDEX('Key Metrics'!$E$16:$N$19,MATCH($E428,'Key Metrics'!$E$16:$E$19,0),MATCH(X$1,'Key Metrics'!$E$16:$M$16,0)),0)</f>
        <v>0</v>
      </c>
      <c r="Y428" s="9">
        <f>IF($H428&gt;K428, MIN($H428-K428, L428-K428)*INDEX('Key Metrics'!$E$16:$N$19,MATCH($E428,'Key Metrics'!$E$16:$E$19,0),MATCH(Y$1,'Key Metrics'!$E$16:$M$16,0)),0)</f>
        <v>0</v>
      </c>
      <c r="Z428" s="9">
        <f>IF($H428&gt;L428,($H428-L428)*INDEX('Key Metrics'!$E$16:$N$19,MATCH($E428,'Key Metrics'!$E$16:$E$19,0),MATCH(Z$1,'Key Metrics'!$E$16:$M$16,0)),0)</f>
        <v>0</v>
      </c>
      <c r="AA428" s="9">
        <f t="shared" si="68"/>
        <v>60043.35</v>
      </c>
      <c r="AB428" s="9">
        <f t="shared" si="71"/>
        <v>60044.017148333332</v>
      </c>
    </row>
    <row r="429" spans="1:28" x14ac:dyDescent="0.55000000000000004">
      <c r="A429" t="str">
        <f t="shared" si="60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COUNTIF(deals_closed!$D$2:$D$20001,Calculations!B12)</f>
        <v>16</v>
      </c>
      <c r="H429" s="7">
        <f>SUMIF(deals_closed!$D:$D,Calculations!B12,deals_closed!$C:$C)</f>
        <v>693280</v>
      </c>
      <c r="I429" s="5">
        <f>VLOOKUP(E429,'2018_commission_structure'!$A$1:$I$4,9,FALSE)</f>
        <v>600000</v>
      </c>
      <c r="J429" s="9">
        <f t="shared" si="61"/>
        <v>750000</v>
      </c>
      <c r="K429" s="10">
        <f t="shared" si="62"/>
        <v>900000</v>
      </c>
      <c r="L429" s="9">
        <f t="shared" si="63"/>
        <v>1200000</v>
      </c>
      <c r="M429" s="8">
        <f t="shared" si="64"/>
        <v>1.1554666666666666</v>
      </c>
      <c r="N429" t="str">
        <f t="shared" si="65"/>
        <v>100-125%</v>
      </c>
      <c r="O429" s="9">
        <f>MIN($H429,$I429)*INDEX('2018_commission_structure'!$A$1:$I$4,MATCH($E429,'2018_commission_structure'!$A$1:$A$4,0),MATCH(O$1,'2018_commission_structure'!$A$1:$I$1,0))</f>
        <v>78000</v>
      </c>
      <c r="P429" s="9">
        <f>IF(H429&gt;I429, MIN(H429-I429, J429-I429)*INDEX('2018_commission_structure'!$A$1:$I$4,MATCH($E429,'2018_commission_structure'!$A$1:$A$4,0),MATCH(P$1,'2018_commission_structure'!$A$1:$I$1,0)),0)</f>
        <v>15857.6</v>
      </c>
      <c r="Q429" s="9">
        <f>IF($H429&gt;J429, MIN($H429-J429, K429-J429)*INDEX('2018_commission_structure'!$A$1:$I$4,MATCH($E429,'2018_commission_structure'!$A$1:$A$4,0),MATCH(Q$1,'2018_commission_structure'!$A$1:$I$1,0)),0)</f>
        <v>0</v>
      </c>
      <c r="R429" s="9">
        <f>IF($H429&gt;K429, MIN($H429-K429, L429-K429)*INDEX('2018_commission_structure'!$A$1:$I$4,MATCH($E429,'2018_commission_structure'!$A$1:$A$4,0),MATCH(R$1,'2018_commission_structure'!$A$1:$I$1,0)),0)</f>
        <v>0</v>
      </c>
      <c r="S429" s="9">
        <f>IF(H429&gt;L429,(H429-L429)*INDEX('2018_commission_structure'!$A$1:$I$4,MATCH($E429,'2018_commission_structure'!$A$1:$A$4,0),MATCH(S$1,'2018_commission_structure'!$A$1:$I$1,0)),0)</f>
        <v>0</v>
      </c>
      <c r="T429" s="9">
        <f t="shared" si="66"/>
        <v>93857.600000000006</v>
      </c>
      <c r="U429" s="9">
        <f t="shared" si="70"/>
        <v>153679.6</v>
      </c>
      <c r="V429" s="9">
        <f>MIN($I429,$H429)*INDEX('Key Metrics'!$E$16:$N$19,MATCH($E429,'Key Metrics'!$E$16:$E$19,0),MATCH(V$1,'Key Metrics'!$E$16:$M$16,0))</f>
        <v>90000</v>
      </c>
      <c r="W429" s="9">
        <f>IF($H429&gt;I429, MIN($H429-I429, J429-I429)*INDEX('Key Metrics'!$E$16:$N$19,MATCH($E429,'Key Metrics'!$E$16:$E$19,0),MATCH(W$1,'Key Metrics'!$E$16:$M$16,0)),0)</f>
        <v>16790.399999999998</v>
      </c>
      <c r="X429" s="9">
        <f>IF($H429&gt;J429, MIN($H429-J429, K429-J429)*INDEX('Key Metrics'!$E$16:$N$19,MATCH($E429,'Key Metrics'!$E$16:$E$19,0),MATCH(X$1,'Key Metrics'!$E$16:$M$16,0)),0)</f>
        <v>0</v>
      </c>
      <c r="Y429" s="9">
        <f>IF($H429&gt;K429, MIN($H429-K429, L429-K429)*INDEX('Key Metrics'!$E$16:$N$19,MATCH($E429,'Key Metrics'!$E$16:$E$19,0),MATCH(Y$1,'Key Metrics'!$E$16:$M$16,0)),0)</f>
        <v>0</v>
      </c>
      <c r="Z429" s="9">
        <f>IF($H429&gt;L429,($H429-L429)*INDEX('Key Metrics'!$E$16:$N$19,MATCH($E429,'Key Metrics'!$E$16:$E$19,0),MATCH(Z$1,'Key Metrics'!$E$16:$M$16,0)),0)</f>
        <v>0</v>
      </c>
      <c r="AA429" s="9">
        <f t="shared" si="68"/>
        <v>106790.39999999999</v>
      </c>
      <c r="AB429" s="9">
        <f t="shared" si="71"/>
        <v>106791.55546666666</v>
      </c>
    </row>
    <row r="430" spans="1:28" x14ac:dyDescent="0.55000000000000004">
      <c r="A430" t="str">
        <f t="shared" si="60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COUNTIF(deals_closed!$D$2:$D$20001,Calculations!B866)</f>
        <v>25</v>
      </c>
      <c r="H430" s="7">
        <f>SUMIF(deals_closed!$D:$D,Calculations!B866,deals_closed!$C:$C)</f>
        <v>878309</v>
      </c>
      <c r="I430" s="5">
        <f>VLOOKUP(E430,'2018_commission_structure'!$A$1:$I$4,9,FALSE)</f>
        <v>500000</v>
      </c>
      <c r="J430" s="9">
        <f t="shared" si="61"/>
        <v>625000</v>
      </c>
      <c r="K430" s="10">
        <f t="shared" si="62"/>
        <v>750000</v>
      </c>
      <c r="L430" s="9">
        <f t="shared" si="63"/>
        <v>1000000</v>
      </c>
      <c r="M430" s="8">
        <f t="shared" si="64"/>
        <v>1.756618</v>
      </c>
      <c r="N430" t="str">
        <f t="shared" si="65"/>
        <v>150-200%</v>
      </c>
      <c r="O430" s="9">
        <f>MIN($H430,$I430)*INDEX('2018_commission_structure'!$A$1:$I$4,MATCH($E430,'2018_commission_structure'!$A$1:$A$4,0),MATCH(O$1,'2018_commission_structure'!$A$1:$I$1,0))</f>
        <v>50000</v>
      </c>
      <c r="P430" s="9">
        <f>IF(H430&gt;I430, MIN(H430-I430, J430-I430)*INDEX('2018_commission_structure'!$A$1:$I$4,MATCH($E430,'2018_commission_structure'!$A$1:$A$4,0),MATCH(P$1,'2018_commission_structure'!$A$1:$I$1,0)),0)</f>
        <v>18750</v>
      </c>
      <c r="Q430" s="9">
        <f>IF($H430&gt;J430, MIN($H430-J430, K430-J430)*INDEX('2018_commission_structure'!$A$1:$I$4,MATCH($E430,'2018_commission_structure'!$A$1:$A$4,0),MATCH(Q$1,'2018_commission_structure'!$A$1:$I$1,0)),0)</f>
        <v>22500</v>
      </c>
      <c r="R430" s="9">
        <f>IF($H430&gt;K430, MIN($H430-K430, L430-K430)*INDEX('2018_commission_structure'!$A$1:$I$4,MATCH($E430,'2018_commission_structure'!$A$1:$A$4,0),MATCH(R$1,'2018_commission_structure'!$A$1:$I$1,0)),0)</f>
        <v>28227.98</v>
      </c>
      <c r="S430" s="9">
        <f>IF(H430&gt;L430,(H430-L430)*INDEX('2018_commission_structure'!$A$1:$I$4,MATCH($E430,'2018_commission_structure'!$A$1:$A$4,0),MATCH(S$1,'2018_commission_structure'!$A$1:$I$1,0)),0)</f>
        <v>0</v>
      </c>
      <c r="T430" s="9">
        <f t="shared" si="66"/>
        <v>119477.98</v>
      </c>
      <c r="U430" s="9">
        <f t="shared" si="70"/>
        <v>168406.97999999998</v>
      </c>
      <c r="V430" s="9">
        <f>MIN($I430,$H430)*INDEX('Key Metrics'!$E$16:$N$19,MATCH($E430,'Key Metrics'!$E$16:$E$19,0),MATCH(V$1,'Key Metrics'!$E$16:$M$16,0))</f>
        <v>60000</v>
      </c>
      <c r="W430" s="9">
        <f>IF($H430&gt;I430, MIN($H430-I430, J430-I430)*INDEX('Key Metrics'!$E$16:$N$19,MATCH($E430,'Key Metrics'!$E$16:$E$19,0),MATCH(W$1,'Key Metrics'!$E$16:$M$16,0)),0)</f>
        <v>21250</v>
      </c>
      <c r="X430" s="9">
        <f>IF($H430&gt;J430, MIN($H430-J430, K430-J430)*INDEX('Key Metrics'!$E$16:$N$19,MATCH($E430,'Key Metrics'!$E$16:$E$19,0),MATCH(X$1,'Key Metrics'!$E$16:$M$16,0)),0)</f>
        <v>25000</v>
      </c>
      <c r="Y430" s="9">
        <f>IF($H430&gt;K430, MIN($H430-K430, L430-K430)*INDEX('Key Metrics'!$E$16:$N$19,MATCH($E430,'Key Metrics'!$E$16:$E$19,0),MATCH(Y$1,'Key Metrics'!$E$16:$M$16,0)),0)</f>
        <v>28227.98</v>
      </c>
      <c r="Z430" s="9">
        <f>IF($H430&gt;L430,($H430-L430)*INDEX('Key Metrics'!$E$16:$N$19,MATCH($E430,'Key Metrics'!$E$16:$E$19,0),MATCH(Z$1,'Key Metrics'!$E$16:$M$16,0)),0)</f>
        <v>0</v>
      </c>
      <c r="AA430" s="9">
        <f t="shared" si="68"/>
        <v>134477.98000000001</v>
      </c>
      <c r="AB430" s="9">
        <f t="shared" si="71"/>
        <v>134479.73661800002</v>
      </c>
    </row>
    <row r="431" spans="1:28" x14ac:dyDescent="0.55000000000000004">
      <c r="A431" t="str">
        <f t="shared" si="60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COUNTIF(deals_closed!$D$2:$D$20001,Calculations!B670)</f>
        <v>21</v>
      </c>
      <c r="H431" s="7">
        <f>SUMIF(deals_closed!$D:$D,Calculations!B670,deals_closed!$C:$C)</f>
        <v>785055</v>
      </c>
      <c r="I431" s="5">
        <f>VLOOKUP(E431,'2018_commission_structure'!$A$1:$I$4,9,FALSE)</f>
        <v>500000</v>
      </c>
      <c r="J431" s="9">
        <f t="shared" si="61"/>
        <v>625000</v>
      </c>
      <c r="K431" s="10">
        <f t="shared" si="62"/>
        <v>750000</v>
      </c>
      <c r="L431" s="9">
        <f t="shared" si="63"/>
        <v>1000000</v>
      </c>
      <c r="M431" s="8">
        <f t="shared" si="64"/>
        <v>1.5701099999999999</v>
      </c>
      <c r="N431" t="str">
        <f t="shared" si="65"/>
        <v>150-200%</v>
      </c>
      <c r="O431" s="9">
        <f>MIN($H431,$I431)*INDEX('2018_commission_structure'!$A$1:$I$4,MATCH($E431,'2018_commission_structure'!$A$1:$A$4,0),MATCH(O$1,'2018_commission_structure'!$A$1:$I$1,0))</f>
        <v>50000</v>
      </c>
      <c r="P431" s="9">
        <f>IF(H431&gt;I431, MIN(H431-I431, J431-I431)*INDEX('2018_commission_structure'!$A$1:$I$4,MATCH($E431,'2018_commission_structure'!$A$1:$A$4,0),MATCH(P$1,'2018_commission_structure'!$A$1:$I$1,0)),0)</f>
        <v>18750</v>
      </c>
      <c r="Q431" s="9">
        <f>IF($H431&gt;J431, MIN($H431-J431, K431-J431)*INDEX('2018_commission_structure'!$A$1:$I$4,MATCH($E431,'2018_commission_structure'!$A$1:$A$4,0),MATCH(Q$1,'2018_commission_structure'!$A$1:$I$1,0)),0)</f>
        <v>22500</v>
      </c>
      <c r="R431" s="9">
        <f>IF($H431&gt;K431, MIN($H431-K431, L431-K431)*INDEX('2018_commission_structure'!$A$1:$I$4,MATCH($E431,'2018_commission_structure'!$A$1:$A$4,0),MATCH(R$1,'2018_commission_structure'!$A$1:$I$1,0)),0)</f>
        <v>7712.1</v>
      </c>
      <c r="S431" s="9">
        <f>IF(H431&gt;L431,(H431-L431)*INDEX('2018_commission_structure'!$A$1:$I$4,MATCH($E431,'2018_commission_structure'!$A$1:$A$4,0),MATCH(S$1,'2018_commission_structure'!$A$1:$I$1,0)),0)</f>
        <v>0</v>
      </c>
      <c r="T431" s="9">
        <f t="shared" si="66"/>
        <v>98962.1</v>
      </c>
      <c r="U431" s="9">
        <f t="shared" si="70"/>
        <v>129193.1</v>
      </c>
      <c r="V431" s="9">
        <f>MIN($I431,$H431)*INDEX('Key Metrics'!$E$16:$N$19,MATCH($E431,'Key Metrics'!$E$16:$E$19,0),MATCH(V$1,'Key Metrics'!$E$16:$M$16,0))</f>
        <v>60000</v>
      </c>
      <c r="W431" s="9">
        <f>IF($H431&gt;I431, MIN($H431-I431, J431-I431)*INDEX('Key Metrics'!$E$16:$N$19,MATCH($E431,'Key Metrics'!$E$16:$E$19,0),MATCH(W$1,'Key Metrics'!$E$16:$M$16,0)),0)</f>
        <v>21250</v>
      </c>
      <c r="X431" s="9">
        <f>IF($H431&gt;J431, MIN($H431-J431, K431-J431)*INDEX('Key Metrics'!$E$16:$N$19,MATCH($E431,'Key Metrics'!$E$16:$E$19,0),MATCH(X$1,'Key Metrics'!$E$16:$M$16,0)),0)</f>
        <v>25000</v>
      </c>
      <c r="Y431" s="9">
        <f>IF($H431&gt;K431, MIN($H431-K431, L431-K431)*INDEX('Key Metrics'!$E$16:$N$19,MATCH($E431,'Key Metrics'!$E$16:$E$19,0),MATCH(Y$1,'Key Metrics'!$E$16:$M$16,0)),0)</f>
        <v>7712.1</v>
      </c>
      <c r="Z431" s="9">
        <f>IF($H431&gt;L431,($H431-L431)*INDEX('Key Metrics'!$E$16:$N$19,MATCH($E431,'Key Metrics'!$E$16:$E$19,0),MATCH(Z$1,'Key Metrics'!$E$16:$M$16,0)),0)</f>
        <v>0</v>
      </c>
      <c r="AA431" s="9">
        <f t="shared" si="68"/>
        <v>113962.1</v>
      </c>
      <c r="AB431" s="9">
        <f t="shared" si="71"/>
        <v>113963.67011000001</v>
      </c>
    </row>
    <row r="432" spans="1:28" x14ac:dyDescent="0.55000000000000004">
      <c r="A432" t="str">
        <f t="shared" si="60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COUNTIF(deals_closed!$D$2:$D$20001,Calculations!B603)</f>
        <v>15</v>
      </c>
      <c r="H432" s="7">
        <f>SUMIF(deals_closed!$D:$D,Calculations!B603,deals_closed!$C:$C)</f>
        <v>555207</v>
      </c>
      <c r="I432" s="5">
        <f>VLOOKUP(E432,'2018_commission_structure'!$A$1:$I$4,9,FALSE)</f>
        <v>750000</v>
      </c>
      <c r="J432" s="9">
        <f t="shared" si="61"/>
        <v>937500</v>
      </c>
      <c r="K432" s="10">
        <f t="shared" si="62"/>
        <v>1125000</v>
      </c>
      <c r="L432" s="9">
        <f t="shared" si="63"/>
        <v>1500000</v>
      </c>
      <c r="M432" s="8">
        <f t="shared" si="64"/>
        <v>0.74027600000000005</v>
      </c>
      <c r="N432" t="str">
        <f t="shared" si="65"/>
        <v>0-100%</v>
      </c>
      <c r="O432" s="9">
        <f>MIN($H432,$I432)*INDEX('2018_commission_structure'!$A$1:$I$4,MATCH($E432,'2018_commission_structure'!$A$1:$A$4,0),MATCH(O$1,'2018_commission_structure'!$A$1:$I$1,0))</f>
        <v>83281.05</v>
      </c>
      <c r="P432" s="9">
        <f>IF(H432&gt;I432, MIN(H432-I432, J432-I432)*INDEX('2018_commission_structure'!$A$1:$I$4,MATCH($E432,'2018_commission_structure'!$A$1:$A$4,0),MATCH(P$1,'2018_commission_structure'!$A$1:$I$1,0)),0)</f>
        <v>0</v>
      </c>
      <c r="Q432" s="9">
        <f>IF($H432&gt;J432, MIN($H432-J432, K432-J432)*INDEX('2018_commission_structure'!$A$1:$I$4,MATCH($E432,'2018_commission_structure'!$A$1:$A$4,0),MATCH(Q$1,'2018_commission_structure'!$A$1:$I$1,0)),0)</f>
        <v>0</v>
      </c>
      <c r="R432" s="9">
        <f>IF($H432&gt;K432, MIN($H432-K432, L432-K432)*INDEX('2018_commission_structure'!$A$1:$I$4,MATCH($E432,'2018_commission_structure'!$A$1:$A$4,0),MATCH(R$1,'2018_commission_structure'!$A$1:$I$1,0)),0)</f>
        <v>0</v>
      </c>
      <c r="S432" s="9">
        <f>IF(H432&gt;L432,(H432-L432)*INDEX('2018_commission_structure'!$A$1:$I$4,MATCH($E432,'2018_commission_structure'!$A$1:$A$4,0),MATCH(S$1,'2018_commission_structure'!$A$1:$I$1,0)),0)</f>
        <v>0</v>
      </c>
      <c r="T432" s="9">
        <f t="shared" si="66"/>
        <v>83281.05</v>
      </c>
      <c r="U432" s="9">
        <f t="shared" si="70"/>
        <v>163326.04999999999</v>
      </c>
      <c r="V432" s="9">
        <f>MIN($I432,$H432)*INDEX('Key Metrics'!$E$16:$N$19,MATCH($E432,'Key Metrics'!$E$16:$E$19,0),MATCH(V$1,'Key Metrics'!$E$16:$M$16,0))</f>
        <v>83281.05</v>
      </c>
      <c r="W432" s="9">
        <f>IF($H432&gt;I432, MIN($H432-I432, J432-I432)*INDEX('Key Metrics'!$E$16:$N$19,MATCH($E432,'Key Metrics'!$E$16:$E$19,0),MATCH(W$1,'Key Metrics'!$E$16:$M$16,0)),0)</f>
        <v>0</v>
      </c>
      <c r="X432" s="9">
        <f>IF($H432&gt;J432, MIN($H432-J432, K432-J432)*INDEX('Key Metrics'!$E$16:$N$19,MATCH($E432,'Key Metrics'!$E$16:$E$19,0),MATCH(X$1,'Key Metrics'!$E$16:$M$16,0)),0)</f>
        <v>0</v>
      </c>
      <c r="Y432" s="9">
        <f>IF($H432&gt;K432, MIN($H432-K432, L432-K432)*INDEX('Key Metrics'!$E$16:$N$19,MATCH($E432,'Key Metrics'!$E$16:$E$19,0),MATCH(Y$1,'Key Metrics'!$E$16:$M$16,0)),0)</f>
        <v>0</v>
      </c>
      <c r="Z432" s="9">
        <f>IF($H432&gt;L432,($H432-L432)*INDEX('Key Metrics'!$E$16:$N$19,MATCH($E432,'Key Metrics'!$E$16:$E$19,0),MATCH(Z$1,'Key Metrics'!$E$16:$M$16,0)),0)</f>
        <v>0</v>
      </c>
      <c r="AA432" s="9">
        <f t="shared" si="68"/>
        <v>83281.05</v>
      </c>
      <c r="AB432" s="9">
        <f t="shared" si="71"/>
        <v>83281.790276</v>
      </c>
    </row>
    <row r="433" spans="1:28" x14ac:dyDescent="0.55000000000000004">
      <c r="A433" t="str">
        <f t="shared" si="60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COUNTIF(deals_closed!$D$2:$D$20001,Calculations!B924)</f>
        <v>19</v>
      </c>
      <c r="H433" s="7">
        <f>SUMIF(deals_closed!$D:$D,Calculations!B924,deals_closed!$C:$C)</f>
        <v>762516</v>
      </c>
      <c r="I433" s="5">
        <f>VLOOKUP(E433,'2018_commission_structure'!$A$1:$I$4,9,FALSE)</f>
        <v>500000</v>
      </c>
      <c r="J433" s="9">
        <f t="shared" si="61"/>
        <v>625000</v>
      </c>
      <c r="K433" s="10">
        <f t="shared" si="62"/>
        <v>750000</v>
      </c>
      <c r="L433" s="9">
        <f t="shared" si="63"/>
        <v>1000000</v>
      </c>
      <c r="M433" s="8">
        <f t="shared" si="64"/>
        <v>1.5250319999999999</v>
      </c>
      <c r="N433" t="str">
        <f t="shared" si="65"/>
        <v>150-200%</v>
      </c>
      <c r="O433" s="9">
        <f>MIN($H433,$I433)*INDEX('2018_commission_structure'!$A$1:$I$4,MATCH($E433,'2018_commission_structure'!$A$1:$A$4,0),MATCH(O$1,'2018_commission_structure'!$A$1:$I$1,0))</f>
        <v>50000</v>
      </c>
      <c r="P433" s="9">
        <f>IF(H433&gt;I433, MIN(H433-I433, J433-I433)*INDEX('2018_commission_structure'!$A$1:$I$4,MATCH($E433,'2018_commission_structure'!$A$1:$A$4,0),MATCH(P$1,'2018_commission_structure'!$A$1:$I$1,0)),0)</f>
        <v>18750</v>
      </c>
      <c r="Q433" s="9">
        <f>IF($H433&gt;J433, MIN($H433-J433, K433-J433)*INDEX('2018_commission_structure'!$A$1:$I$4,MATCH($E433,'2018_commission_structure'!$A$1:$A$4,0),MATCH(Q$1,'2018_commission_structure'!$A$1:$I$1,0)),0)</f>
        <v>22500</v>
      </c>
      <c r="R433" s="9">
        <f>IF($H433&gt;K433, MIN($H433-K433, L433-K433)*INDEX('2018_commission_structure'!$A$1:$I$4,MATCH($E433,'2018_commission_structure'!$A$1:$A$4,0),MATCH(R$1,'2018_commission_structure'!$A$1:$I$1,0)),0)</f>
        <v>2753.52</v>
      </c>
      <c r="S433" s="9">
        <f>IF(H433&gt;L433,(H433-L433)*INDEX('2018_commission_structure'!$A$1:$I$4,MATCH($E433,'2018_commission_structure'!$A$1:$A$4,0),MATCH(S$1,'2018_commission_structure'!$A$1:$I$1,0)),0)</f>
        <v>0</v>
      </c>
      <c r="T433" s="9">
        <f t="shared" si="66"/>
        <v>94003.520000000004</v>
      </c>
      <c r="U433" s="9">
        <f t="shared" si="70"/>
        <v>146888.52000000002</v>
      </c>
      <c r="V433" s="9">
        <f>MIN($I433,$H433)*INDEX('Key Metrics'!$E$16:$N$19,MATCH($E433,'Key Metrics'!$E$16:$E$19,0),MATCH(V$1,'Key Metrics'!$E$16:$M$16,0))</f>
        <v>60000</v>
      </c>
      <c r="W433" s="9">
        <f>IF($H433&gt;I433, MIN($H433-I433, J433-I433)*INDEX('Key Metrics'!$E$16:$N$19,MATCH($E433,'Key Metrics'!$E$16:$E$19,0),MATCH(W$1,'Key Metrics'!$E$16:$M$16,0)),0)</f>
        <v>21250</v>
      </c>
      <c r="X433" s="9">
        <f>IF($H433&gt;J433, MIN($H433-J433, K433-J433)*INDEX('Key Metrics'!$E$16:$N$19,MATCH($E433,'Key Metrics'!$E$16:$E$19,0),MATCH(X$1,'Key Metrics'!$E$16:$M$16,0)),0)</f>
        <v>25000</v>
      </c>
      <c r="Y433" s="9">
        <f>IF($H433&gt;K433, MIN($H433-K433, L433-K433)*INDEX('Key Metrics'!$E$16:$N$19,MATCH($E433,'Key Metrics'!$E$16:$E$19,0),MATCH(Y$1,'Key Metrics'!$E$16:$M$16,0)),0)</f>
        <v>2753.52</v>
      </c>
      <c r="Z433" s="9">
        <f>IF($H433&gt;L433,($H433-L433)*INDEX('Key Metrics'!$E$16:$N$19,MATCH($E433,'Key Metrics'!$E$16:$E$19,0),MATCH(Z$1,'Key Metrics'!$E$16:$M$16,0)),0)</f>
        <v>0</v>
      </c>
      <c r="AA433" s="9">
        <f t="shared" si="68"/>
        <v>109003.52</v>
      </c>
      <c r="AB433" s="9">
        <f t="shared" si="71"/>
        <v>109005.04503200001</v>
      </c>
    </row>
    <row r="434" spans="1:28" x14ac:dyDescent="0.55000000000000004">
      <c r="A434" t="str">
        <f t="shared" si="60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COUNTIF(deals_closed!$D$2:$D$20001,Calculations!B943)</f>
        <v>21</v>
      </c>
      <c r="H434" s="7">
        <f>SUMIF(deals_closed!$D:$D,Calculations!B943,deals_closed!$C:$C)</f>
        <v>838801</v>
      </c>
      <c r="I434" s="5">
        <f>VLOOKUP(E434,'2018_commission_structure'!$A$1:$I$4,9,FALSE)</f>
        <v>750000</v>
      </c>
      <c r="J434" s="9">
        <f t="shared" si="61"/>
        <v>937500</v>
      </c>
      <c r="K434" s="10">
        <f t="shared" si="62"/>
        <v>1125000</v>
      </c>
      <c r="L434" s="9">
        <f t="shared" si="63"/>
        <v>1500000</v>
      </c>
      <c r="M434" s="8">
        <f t="shared" si="64"/>
        <v>1.1184013333333334</v>
      </c>
      <c r="N434" t="str">
        <f t="shared" si="65"/>
        <v>100-125%</v>
      </c>
      <c r="O434" s="9">
        <f>MIN($H434,$I434)*INDEX('2018_commission_structure'!$A$1:$I$4,MATCH($E434,'2018_commission_structure'!$A$1:$A$4,0),MATCH(O$1,'2018_commission_structure'!$A$1:$I$1,0))</f>
        <v>112500</v>
      </c>
      <c r="P434" s="9">
        <f>IF(H434&gt;I434, MIN(H434-I434, J434-I434)*INDEX('2018_commission_structure'!$A$1:$I$4,MATCH($E434,'2018_commission_structure'!$A$1:$A$4,0),MATCH(P$1,'2018_commission_structure'!$A$1:$I$1,0)),0)</f>
        <v>16872.189999999999</v>
      </c>
      <c r="Q434" s="9">
        <f>IF($H434&gt;J434, MIN($H434-J434, K434-J434)*INDEX('2018_commission_structure'!$A$1:$I$4,MATCH($E434,'2018_commission_structure'!$A$1:$A$4,0),MATCH(Q$1,'2018_commission_structure'!$A$1:$I$1,0)),0)</f>
        <v>0</v>
      </c>
      <c r="R434" s="9">
        <f>IF($H434&gt;K434, MIN($H434-K434, L434-K434)*INDEX('2018_commission_structure'!$A$1:$I$4,MATCH($E434,'2018_commission_structure'!$A$1:$A$4,0),MATCH(R$1,'2018_commission_structure'!$A$1:$I$1,0)),0)</f>
        <v>0</v>
      </c>
      <c r="S434" s="9">
        <f>IF(H434&gt;L434,(H434-L434)*INDEX('2018_commission_structure'!$A$1:$I$4,MATCH($E434,'2018_commission_structure'!$A$1:$A$4,0),MATCH(S$1,'2018_commission_structure'!$A$1:$I$1,0)),0)</f>
        <v>0</v>
      </c>
      <c r="T434" s="9">
        <f t="shared" si="66"/>
        <v>129372.19</v>
      </c>
      <c r="U434" s="9">
        <f t="shared" si="70"/>
        <v>228456.19</v>
      </c>
      <c r="V434" s="9">
        <f>MIN($I434,$H434)*INDEX('Key Metrics'!$E$16:$N$19,MATCH($E434,'Key Metrics'!$E$16:$E$19,0),MATCH(V$1,'Key Metrics'!$E$16:$M$16,0))</f>
        <v>112500</v>
      </c>
      <c r="W434" s="9">
        <f>IF($H434&gt;I434, MIN($H434-I434, J434-I434)*INDEX('Key Metrics'!$E$16:$N$19,MATCH($E434,'Key Metrics'!$E$16:$E$19,0),MATCH(W$1,'Key Metrics'!$E$16:$M$16,0)),0)</f>
        <v>19536.22</v>
      </c>
      <c r="X434" s="9">
        <f>IF($H434&gt;J434, MIN($H434-J434, K434-J434)*INDEX('Key Metrics'!$E$16:$N$19,MATCH($E434,'Key Metrics'!$E$16:$E$19,0),MATCH(X$1,'Key Metrics'!$E$16:$M$16,0)),0)</f>
        <v>0</v>
      </c>
      <c r="Y434" s="9">
        <f>IF($H434&gt;K434, MIN($H434-K434, L434-K434)*INDEX('Key Metrics'!$E$16:$N$19,MATCH($E434,'Key Metrics'!$E$16:$E$19,0),MATCH(Y$1,'Key Metrics'!$E$16:$M$16,0)),0)</f>
        <v>0</v>
      </c>
      <c r="Z434" s="9">
        <f>IF($H434&gt;L434,($H434-L434)*INDEX('Key Metrics'!$E$16:$N$19,MATCH($E434,'Key Metrics'!$E$16:$E$19,0),MATCH(Z$1,'Key Metrics'!$E$16:$M$16,0)),0)</f>
        <v>0</v>
      </c>
      <c r="AA434" s="9">
        <f t="shared" si="68"/>
        <v>132036.22</v>
      </c>
      <c r="AB434" s="9">
        <f t="shared" si="71"/>
        <v>132037.33840133334</v>
      </c>
    </row>
    <row r="435" spans="1:28" x14ac:dyDescent="0.55000000000000004">
      <c r="A435" t="str">
        <f t="shared" si="60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COUNTIF(deals_closed!$D$2:$D$20001,Calculations!B469)</f>
        <v>26</v>
      </c>
      <c r="H435" s="7">
        <f>SUMIF(deals_closed!$D:$D,Calculations!B469,deals_closed!$C:$C)</f>
        <v>922938</v>
      </c>
      <c r="I435" s="5">
        <f>VLOOKUP(E435,'2018_commission_structure'!$A$1:$I$4,9,FALSE)</f>
        <v>600000</v>
      </c>
      <c r="J435" s="9">
        <f t="shared" si="61"/>
        <v>750000</v>
      </c>
      <c r="K435" s="10">
        <f t="shared" si="62"/>
        <v>900000</v>
      </c>
      <c r="L435" s="9">
        <f t="shared" si="63"/>
        <v>1200000</v>
      </c>
      <c r="M435" s="8">
        <f t="shared" si="64"/>
        <v>1.53823</v>
      </c>
      <c r="N435" t="str">
        <f t="shared" si="65"/>
        <v>150-200%</v>
      </c>
      <c r="O435" s="9">
        <f>MIN($H435,$I435)*INDEX('2018_commission_structure'!$A$1:$I$4,MATCH($E435,'2018_commission_structure'!$A$1:$A$4,0),MATCH(O$1,'2018_commission_structure'!$A$1:$I$1,0))</f>
        <v>78000</v>
      </c>
      <c r="P435" s="9">
        <f>IF(H435&gt;I435, MIN(H435-I435, J435-I435)*INDEX('2018_commission_structure'!$A$1:$I$4,MATCH($E435,'2018_commission_structure'!$A$1:$A$4,0),MATCH(P$1,'2018_commission_structure'!$A$1:$I$1,0)),0)</f>
        <v>25500.000000000004</v>
      </c>
      <c r="Q435" s="9">
        <f>IF($H435&gt;J435, MIN($H435-J435, K435-J435)*INDEX('2018_commission_structure'!$A$1:$I$4,MATCH($E435,'2018_commission_structure'!$A$1:$A$4,0),MATCH(Q$1,'2018_commission_structure'!$A$1:$I$1,0)),0)</f>
        <v>31500</v>
      </c>
      <c r="R435" s="9">
        <f>IF($H435&gt;K435, MIN($H435-K435, L435-K435)*INDEX('2018_commission_structure'!$A$1:$I$4,MATCH($E435,'2018_commission_structure'!$A$1:$A$4,0),MATCH(R$1,'2018_commission_structure'!$A$1:$I$1,0)),0)</f>
        <v>5963.88</v>
      </c>
      <c r="S435" s="9">
        <f>IF(H435&gt;L435,(H435-L435)*INDEX('2018_commission_structure'!$A$1:$I$4,MATCH($E435,'2018_commission_structure'!$A$1:$A$4,0),MATCH(S$1,'2018_commission_structure'!$A$1:$I$1,0)),0)</f>
        <v>0</v>
      </c>
      <c r="T435" s="9">
        <f t="shared" si="66"/>
        <v>140963.88</v>
      </c>
      <c r="U435" s="9">
        <f t="shared" si="70"/>
        <v>214975.88</v>
      </c>
      <c r="V435" s="9">
        <f>MIN($I435,$H435)*INDEX('Key Metrics'!$E$16:$N$19,MATCH($E435,'Key Metrics'!$E$16:$E$19,0),MATCH(V$1,'Key Metrics'!$E$16:$M$16,0))</f>
        <v>90000</v>
      </c>
      <c r="W435" s="9">
        <f>IF($H435&gt;I435, MIN($H435-I435, J435-I435)*INDEX('Key Metrics'!$E$16:$N$19,MATCH($E435,'Key Metrics'!$E$16:$E$19,0),MATCH(W$1,'Key Metrics'!$E$16:$M$16,0)),0)</f>
        <v>27000</v>
      </c>
      <c r="X435" s="9">
        <f>IF($H435&gt;J435, MIN($H435-J435, K435-J435)*INDEX('Key Metrics'!$E$16:$N$19,MATCH($E435,'Key Metrics'!$E$16:$E$19,0),MATCH(X$1,'Key Metrics'!$E$16:$M$16,0)),0)</f>
        <v>37500</v>
      </c>
      <c r="Y435" s="9">
        <f>IF($H435&gt;K435, MIN($H435-K435, L435-K435)*INDEX('Key Metrics'!$E$16:$N$19,MATCH($E435,'Key Metrics'!$E$16:$E$19,0),MATCH(Y$1,'Key Metrics'!$E$16:$M$16,0)),0)</f>
        <v>6881.4</v>
      </c>
      <c r="Z435" s="9">
        <f>IF($H435&gt;L435,($H435-L435)*INDEX('Key Metrics'!$E$16:$N$19,MATCH($E435,'Key Metrics'!$E$16:$E$19,0),MATCH(Z$1,'Key Metrics'!$E$16:$M$16,0)),0)</f>
        <v>0</v>
      </c>
      <c r="AA435" s="9">
        <f t="shared" si="68"/>
        <v>161381.4</v>
      </c>
      <c r="AB435" s="9">
        <f t="shared" si="71"/>
        <v>161382.93823</v>
      </c>
    </row>
    <row r="436" spans="1:28" x14ac:dyDescent="0.55000000000000004">
      <c r="A436" t="str">
        <f t="shared" si="60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COUNTIF(deals_closed!$D$2:$D$20001,Calculations!B47)</f>
        <v>13</v>
      </c>
      <c r="H436" s="7">
        <f>SUMIF(deals_closed!$D:$D,Calculations!B47,deals_closed!$C:$C)</f>
        <v>397145</v>
      </c>
      <c r="I436" s="5">
        <f>VLOOKUP(E436,'2018_commission_structure'!$A$1:$I$4,9,FALSE)</f>
        <v>600000</v>
      </c>
      <c r="J436" s="9">
        <f t="shared" si="61"/>
        <v>750000</v>
      </c>
      <c r="K436" s="10">
        <f t="shared" si="62"/>
        <v>900000</v>
      </c>
      <c r="L436" s="9">
        <f t="shared" si="63"/>
        <v>1200000</v>
      </c>
      <c r="M436" s="8">
        <f t="shared" si="64"/>
        <v>0.66190833333333332</v>
      </c>
      <c r="N436" t="str">
        <f t="shared" si="65"/>
        <v>0-100%</v>
      </c>
      <c r="O436" s="9">
        <f>MIN($H436,$I436)*INDEX('2018_commission_structure'!$A$1:$I$4,MATCH($E436,'2018_commission_structure'!$A$1:$A$4,0),MATCH(O$1,'2018_commission_structure'!$A$1:$I$1,0))</f>
        <v>51628.85</v>
      </c>
      <c r="P436" s="9">
        <f>IF(H436&gt;I436, MIN(H436-I436, J436-I436)*INDEX('2018_commission_structure'!$A$1:$I$4,MATCH($E436,'2018_commission_structure'!$A$1:$A$4,0),MATCH(P$1,'2018_commission_structure'!$A$1:$I$1,0)),0)</f>
        <v>0</v>
      </c>
      <c r="Q436" s="9">
        <f>IF($H436&gt;J436, MIN($H436-J436, K436-J436)*INDEX('2018_commission_structure'!$A$1:$I$4,MATCH($E436,'2018_commission_structure'!$A$1:$A$4,0),MATCH(Q$1,'2018_commission_structure'!$A$1:$I$1,0)),0)</f>
        <v>0</v>
      </c>
      <c r="R436" s="9">
        <f>IF($H436&gt;K436, MIN($H436-K436, L436-K436)*INDEX('2018_commission_structure'!$A$1:$I$4,MATCH($E436,'2018_commission_structure'!$A$1:$A$4,0),MATCH(R$1,'2018_commission_structure'!$A$1:$I$1,0)),0)</f>
        <v>0</v>
      </c>
      <c r="S436" s="9">
        <f>IF(H436&gt;L436,(H436-L436)*INDEX('2018_commission_structure'!$A$1:$I$4,MATCH($E436,'2018_commission_structure'!$A$1:$A$4,0),MATCH(S$1,'2018_commission_structure'!$A$1:$I$1,0)),0)</f>
        <v>0</v>
      </c>
      <c r="T436" s="9">
        <f t="shared" si="66"/>
        <v>51628.85</v>
      </c>
      <c r="U436" s="9">
        <f t="shared" si="70"/>
        <v>115675.85</v>
      </c>
      <c r="V436" s="9">
        <f>MIN($I436,$H436)*INDEX('Key Metrics'!$E$16:$N$19,MATCH($E436,'Key Metrics'!$E$16:$E$19,0),MATCH(V$1,'Key Metrics'!$E$16:$M$16,0))</f>
        <v>59571.75</v>
      </c>
      <c r="W436" s="9">
        <f>IF($H436&gt;I436, MIN($H436-I436, J436-I436)*INDEX('Key Metrics'!$E$16:$N$19,MATCH($E436,'Key Metrics'!$E$16:$E$19,0),MATCH(W$1,'Key Metrics'!$E$16:$M$16,0)),0)</f>
        <v>0</v>
      </c>
      <c r="X436" s="9">
        <f>IF($H436&gt;J436, MIN($H436-J436, K436-J436)*INDEX('Key Metrics'!$E$16:$N$19,MATCH($E436,'Key Metrics'!$E$16:$E$19,0),MATCH(X$1,'Key Metrics'!$E$16:$M$16,0)),0)</f>
        <v>0</v>
      </c>
      <c r="Y436" s="9">
        <f>IF($H436&gt;K436, MIN($H436-K436, L436-K436)*INDEX('Key Metrics'!$E$16:$N$19,MATCH($E436,'Key Metrics'!$E$16:$E$19,0),MATCH(Y$1,'Key Metrics'!$E$16:$M$16,0)),0)</f>
        <v>0</v>
      </c>
      <c r="Z436" s="9">
        <f>IF($H436&gt;L436,($H436-L436)*INDEX('Key Metrics'!$E$16:$N$19,MATCH($E436,'Key Metrics'!$E$16:$E$19,0),MATCH(Z$1,'Key Metrics'!$E$16:$M$16,0)),0)</f>
        <v>0</v>
      </c>
      <c r="AA436" s="9">
        <f t="shared" si="68"/>
        <v>59571.75</v>
      </c>
      <c r="AB436" s="9">
        <f t="shared" si="71"/>
        <v>59572.411908333335</v>
      </c>
    </row>
    <row r="437" spans="1:28" x14ac:dyDescent="0.55000000000000004">
      <c r="A437" t="str">
        <f t="shared" si="60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COUNTIF(deals_closed!$D$2:$D$20001,Calculations!B203)</f>
        <v>14</v>
      </c>
      <c r="H437" s="7">
        <f>SUMIF(deals_closed!$D:$D,Calculations!B203,deals_closed!$C:$C)</f>
        <v>445363</v>
      </c>
      <c r="I437" s="5">
        <f>VLOOKUP(E437,'2018_commission_structure'!$A$1:$I$4,9,FALSE)</f>
        <v>750000</v>
      </c>
      <c r="J437" s="9">
        <f t="shared" si="61"/>
        <v>937500</v>
      </c>
      <c r="K437" s="10">
        <f t="shared" si="62"/>
        <v>1125000</v>
      </c>
      <c r="L437" s="9">
        <f t="shared" si="63"/>
        <v>1500000</v>
      </c>
      <c r="M437" s="8">
        <f t="shared" si="64"/>
        <v>0.59381733333333331</v>
      </c>
      <c r="N437" t="str">
        <f t="shared" si="65"/>
        <v>0-100%</v>
      </c>
      <c r="O437" s="9">
        <f>MIN($H437,$I437)*INDEX('2018_commission_structure'!$A$1:$I$4,MATCH($E437,'2018_commission_structure'!$A$1:$A$4,0),MATCH(O$1,'2018_commission_structure'!$A$1:$I$1,0))</f>
        <v>66804.45</v>
      </c>
      <c r="P437" s="9">
        <f>IF(H437&gt;I437, MIN(H437-I437, J437-I437)*INDEX('2018_commission_structure'!$A$1:$I$4,MATCH($E437,'2018_commission_structure'!$A$1:$A$4,0),MATCH(P$1,'2018_commission_structure'!$A$1:$I$1,0)),0)</f>
        <v>0</v>
      </c>
      <c r="Q437" s="9">
        <f>IF($H437&gt;J437, MIN($H437-J437, K437-J437)*INDEX('2018_commission_structure'!$A$1:$I$4,MATCH($E437,'2018_commission_structure'!$A$1:$A$4,0),MATCH(Q$1,'2018_commission_structure'!$A$1:$I$1,0)),0)</f>
        <v>0</v>
      </c>
      <c r="R437" s="9">
        <f>IF($H437&gt;K437, MIN($H437-K437, L437-K437)*INDEX('2018_commission_structure'!$A$1:$I$4,MATCH($E437,'2018_commission_structure'!$A$1:$A$4,0),MATCH(R$1,'2018_commission_structure'!$A$1:$I$1,0)),0)</f>
        <v>0</v>
      </c>
      <c r="S437" s="9">
        <f>IF(H437&gt;L437,(H437-L437)*INDEX('2018_commission_structure'!$A$1:$I$4,MATCH($E437,'2018_commission_structure'!$A$1:$A$4,0),MATCH(S$1,'2018_commission_structure'!$A$1:$I$1,0)),0)</f>
        <v>0</v>
      </c>
      <c r="T437" s="9">
        <f t="shared" si="66"/>
        <v>66804.45</v>
      </c>
      <c r="U437" s="9">
        <f t="shared" si="70"/>
        <v>186738.45</v>
      </c>
      <c r="V437" s="9">
        <f>MIN($I437,$H437)*INDEX('Key Metrics'!$E$16:$N$19,MATCH($E437,'Key Metrics'!$E$16:$E$19,0),MATCH(V$1,'Key Metrics'!$E$16:$M$16,0))</f>
        <v>66804.45</v>
      </c>
      <c r="W437" s="9">
        <f>IF($H437&gt;I437, MIN($H437-I437, J437-I437)*INDEX('Key Metrics'!$E$16:$N$19,MATCH($E437,'Key Metrics'!$E$16:$E$19,0),MATCH(W$1,'Key Metrics'!$E$16:$M$16,0)),0)</f>
        <v>0</v>
      </c>
      <c r="X437" s="9">
        <f>IF($H437&gt;J437, MIN($H437-J437, K437-J437)*INDEX('Key Metrics'!$E$16:$N$19,MATCH($E437,'Key Metrics'!$E$16:$E$19,0),MATCH(X$1,'Key Metrics'!$E$16:$M$16,0)),0)</f>
        <v>0</v>
      </c>
      <c r="Y437" s="9">
        <f>IF($H437&gt;K437, MIN($H437-K437, L437-K437)*INDEX('Key Metrics'!$E$16:$N$19,MATCH($E437,'Key Metrics'!$E$16:$E$19,0),MATCH(Y$1,'Key Metrics'!$E$16:$M$16,0)),0)</f>
        <v>0</v>
      </c>
      <c r="Z437" s="9">
        <f>IF($H437&gt;L437,($H437-L437)*INDEX('Key Metrics'!$E$16:$N$19,MATCH($E437,'Key Metrics'!$E$16:$E$19,0),MATCH(Z$1,'Key Metrics'!$E$16:$M$16,0)),0)</f>
        <v>0</v>
      </c>
      <c r="AA437" s="9">
        <f t="shared" si="68"/>
        <v>66804.45</v>
      </c>
      <c r="AB437" s="9">
        <f t="shared" si="71"/>
        <v>66805.043817333324</v>
      </c>
    </row>
    <row r="438" spans="1:28" x14ac:dyDescent="0.55000000000000004">
      <c r="A438" t="str">
        <f t="shared" si="60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COUNTIF(deals_closed!$D$2:$D$20001,Calculations!B367)</f>
        <v>27</v>
      </c>
      <c r="H438" s="7">
        <f>SUMIF(deals_closed!$D:$D,Calculations!B367,deals_closed!$C:$C)</f>
        <v>933223</v>
      </c>
      <c r="I438" s="5">
        <f>VLOOKUP(E438,'2018_commission_structure'!$A$1:$I$4,9,FALSE)</f>
        <v>500000</v>
      </c>
      <c r="J438" s="9">
        <f t="shared" si="61"/>
        <v>625000</v>
      </c>
      <c r="K438" s="10">
        <f t="shared" si="62"/>
        <v>750000</v>
      </c>
      <c r="L438" s="9">
        <f t="shared" si="63"/>
        <v>1000000</v>
      </c>
      <c r="M438" s="8">
        <f t="shared" si="64"/>
        <v>1.866446</v>
      </c>
      <c r="N438" t="str">
        <f t="shared" si="65"/>
        <v>150-200%</v>
      </c>
      <c r="O438" s="9">
        <f>MIN($H438,$I438)*INDEX('2018_commission_structure'!$A$1:$I$4,MATCH($E438,'2018_commission_structure'!$A$1:$A$4,0),MATCH(O$1,'2018_commission_structure'!$A$1:$I$1,0))</f>
        <v>50000</v>
      </c>
      <c r="P438" s="9">
        <f>IF(H438&gt;I438, MIN(H438-I438, J438-I438)*INDEX('2018_commission_structure'!$A$1:$I$4,MATCH($E438,'2018_commission_structure'!$A$1:$A$4,0),MATCH(P$1,'2018_commission_structure'!$A$1:$I$1,0)),0)</f>
        <v>18750</v>
      </c>
      <c r="Q438" s="9">
        <f>IF($H438&gt;J438, MIN($H438-J438, K438-J438)*INDEX('2018_commission_structure'!$A$1:$I$4,MATCH($E438,'2018_commission_structure'!$A$1:$A$4,0),MATCH(Q$1,'2018_commission_structure'!$A$1:$I$1,0)),0)</f>
        <v>22500</v>
      </c>
      <c r="R438" s="9">
        <f>IF($H438&gt;K438, MIN($H438-K438, L438-K438)*INDEX('2018_commission_structure'!$A$1:$I$4,MATCH($E438,'2018_commission_structure'!$A$1:$A$4,0),MATCH(R$1,'2018_commission_structure'!$A$1:$I$1,0)),0)</f>
        <v>40309.06</v>
      </c>
      <c r="S438" s="9">
        <f>IF(H438&gt;L438,(H438-L438)*INDEX('2018_commission_structure'!$A$1:$I$4,MATCH($E438,'2018_commission_structure'!$A$1:$A$4,0),MATCH(S$1,'2018_commission_structure'!$A$1:$I$1,0)),0)</f>
        <v>0</v>
      </c>
      <c r="T438" s="9">
        <f t="shared" si="66"/>
        <v>131559.06</v>
      </c>
      <c r="U438" s="9">
        <f t="shared" si="70"/>
        <v>173139.06</v>
      </c>
      <c r="V438" s="9">
        <f>MIN($I438,$H438)*INDEX('Key Metrics'!$E$16:$N$19,MATCH($E438,'Key Metrics'!$E$16:$E$19,0),MATCH(V$1,'Key Metrics'!$E$16:$M$16,0))</f>
        <v>60000</v>
      </c>
      <c r="W438" s="9">
        <f>IF($H438&gt;I438, MIN($H438-I438, J438-I438)*INDEX('Key Metrics'!$E$16:$N$19,MATCH($E438,'Key Metrics'!$E$16:$E$19,0),MATCH(W$1,'Key Metrics'!$E$16:$M$16,0)),0)</f>
        <v>21250</v>
      </c>
      <c r="X438" s="9">
        <f>IF($H438&gt;J438, MIN($H438-J438, K438-J438)*INDEX('Key Metrics'!$E$16:$N$19,MATCH($E438,'Key Metrics'!$E$16:$E$19,0),MATCH(X$1,'Key Metrics'!$E$16:$M$16,0)),0)</f>
        <v>25000</v>
      </c>
      <c r="Y438" s="9">
        <f>IF($H438&gt;K438, MIN($H438-K438, L438-K438)*INDEX('Key Metrics'!$E$16:$N$19,MATCH($E438,'Key Metrics'!$E$16:$E$19,0),MATCH(Y$1,'Key Metrics'!$E$16:$M$16,0)),0)</f>
        <v>40309.06</v>
      </c>
      <c r="Z438" s="9">
        <f>IF($H438&gt;L438,($H438-L438)*INDEX('Key Metrics'!$E$16:$N$19,MATCH($E438,'Key Metrics'!$E$16:$E$19,0),MATCH(Z$1,'Key Metrics'!$E$16:$M$16,0)),0)</f>
        <v>0</v>
      </c>
      <c r="AA438" s="9">
        <f t="shared" si="68"/>
        <v>146559.06</v>
      </c>
      <c r="AB438" s="9">
        <f t="shared" si="71"/>
        <v>146560.926446</v>
      </c>
    </row>
    <row r="439" spans="1:28" x14ac:dyDescent="0.55000000000000004">
      <c r="A439" t="str">
        <f t="shared" si="60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COUNTIF(deals_closed!$D$2:$D$20001,Calculations!B575)</f>
        <v>20</v>
      </c>
      <c r="H439" s="7">
        <f>SUMIF(deals_closed!$D:$D,Calculations!B575,deals_closed!$C:$C)</f>
        <v>755828</v>
      </c>
      <c r="I439" s="5">
        <f>VLOOKUP(E439,'2018_commission_structure'!$A$1:$I$4,9,FALSE)</f>
        <v>750000</v>
      </c>
      <c r="J439" s="9">
        <f t="shared" si="61"/>
        <v>937500</v>
      </c>
      <c r="K439" s="10">
        <f t="shared" si="62"/>
        <v>1125000</v>
      </c>
      <c r="L439" s="9">
        <f t="shared" si="63"/>
        <v>1500000</v>
      </c>
      <c r="M439" s="8">
        <f t="shared" si="64"/>
        <v>1.0077706666666666</v>
      </c>
      <c r="N439" t="str">
        <f t="shared" si="65"/>
        <v>100-125%</v>
      </c>
      <c r="O439" s="9">
        <f>MIN($H439,$I439)*INDEX('2018_commission_structure'!$A$1:$I$4,MATCH($E439,'2018_commission_structure'!$A$1:$A$4,0),MATCH(O$1,'2018_commission_structure'!$A$1:$I$1,0))</f>
        <v>112500</v>
      </c>
      <c r="P439" s="9">
        <f>IF(H439&gt;I439, MIN(H439-I439, J439-I439)*INDEX('2018_commission_structure'!$A$1:$I$4,MATCH($E439,'2018_commission_structure'!$A$1:$A$4,0),MATCH(P$1,'2018_commission_structure'!$A$1:$I$1,0)),0)</f>
        <v>1107.32</v>
      </c>
      <c r="Q439" s="9">
        <f>IF($H439&gt;J439, MIN($H439-J439, K439-J439)*INDEX('2018_commission_structure'!$A$1:$I$4,MATCH($E439,'2018_commission_structure'!$A$1:$A$4,0),MATCH(Q$1,'2018_commission_structure'!$A$1:$I$1,0)),0)</f>
        <v>0</v>
      </c>
      <c r="R439" s="9">
        <f>IF($H439&gt;K439, MIN($H439-K439, L439-K439)*INDEX('2018_commission_structure'!$A$1:$I$4,MATCH($E439,'2018_commission_structure'!$A$1:$A$4,0),MATCH(R$1,'2018_commission_structure'!$A$1:$I$1,0)),0)</f>
        <v>0</v>
      </c>
      <c r="S439" s="9">
        <f>IF(H439&gt;L439,(H439-L439)*INDEX('2018_commission_structure'!$A$1:$I$4,MATCH($E439,'2018_commission_structure'!$A$1:$A$4,0),MATCH(S$1,'2018_commission_structure'!$A$1:$I$1,0)),0)</f>
        <v>0</v>
      </c>
      <c r="T439" s="9">
        <f t="shared" si="66"/>
        <v>113607.32</v>
      </c>
      <c r="U439" s="9">
        <f t="shared" si="70"/>
        <v>231090.32</v>
      </c>
      <c r="V439" s="9">
        <f>MIN($I439,$H439)*INDEX('Key Metrics'!$E$16:$N$19,MATCH($E439,'Key Metrics'!$E$16:$E$19,0),MATCH(V$1,'Key Metrics'!$E$16:$M$16,0))</f>
        <v>112500</v>
      </c>
      <c r="W439" s="9">
        <f>IF($H439&gt;I439, MIN($H439-I439, J439-I439)*INDEX('Key Metrics'!$E$16:$N$19,MATCH($E439,'Key Metrics'!$E$16:$E$19,0),MATCH(W$1,'Key Metrics'!$E$16:$M$16,0)),0)</f>
        <v>1282.1600000000001</v>
      </c>
      <c r="X439" s="9">
        <f>IF($H439&gt;J439, MIN($H439-J439, K439-J439)*INDEX('Key Metrics'!$E$16:$N$19,MATCH($E439,'Key Metrics'!$E$16:$E$19,0),MATCH(X$1,'Key Metrics'!$E$16:$M$16,0)),0)</f>
        <v>0</v>
      </c>
      <c r="Y439" s="9">
        <f>IF($H439&gt;K439, MIN($H439-K439, L439-K439)*INDEX('Key Metrics'!$E$16:$N$19,MATCH($E439,'Key Metrics'!$E$16:$E$19,0),MATCH(Y$1,'Key Metrics'!$E$16:$M$16,0)),0)</f>
        <v>0</v>
      </c>
      <c r="Z439" s="9">
        <f>IF($H439&gt;L439,($H439-L439)*INDEX('Key Metrics'!$E$16:$N$19,MATCH($E439,'Key Metrics'!$E$16:$E$19,0),MATCH(Z$1,'Key Metrics'!$E$16:$M$16,0)),0)</f>
        <v>0</v>
      </c>
      <c r="AA439" s="9">
        <f t="shared" si="68"/>
        <v>113782.16</v>
      </c>
      <c r="AB439" s="9">
        <f t="shared" si="71"/>
        <v>113783.16777066667</v>
      </c>
    </row>
    <row r="440" spans="1:28" x14ac:dyDescent="0.55000000000000004">
      <c r="A440" t="str">
        <f t="shared" si="60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COUNTIF(deals_closed!$D$2:$D$20001,Calculations!B967)</f>
        <v>15</v>
      </c>
      <c r="H440" s="7">
        <f>SUMIF(deals_closed!$D:$D,Calculations!B967,deals_closed!$C:$C)</f>
        <v>531790</v>
      </c>
      <c r="I440" s="5">
        <f>VLOOKUP(E440,'2018_commission_structure'!$A$1:$I$4,9,FALSE)</f>
        <v>750000</v>
      </c>
      <c r="J440" s="9">
        <f t="shared" si="61"/>
        <v>937500</v>
      </c>
      <c r="K440" s="10">
        <f t="shared" si="62"/>
        <v>1125000</v>
      </c>
      <c r="L440" s="9">
        <f t="shared" si="63"/>
        <v>1500000</v>
      </c>
      <c r="M440" s="8">
        <f t="shared" si="64"/>
        <v>0.70905333333333331</v>
      </c>
      <c r="N440" t="str">
        <f t="shared" si="65"/>
        <v>0-100%</v>
      </c>
      <c r="O440" s="9">
        <f>MIN($H440,$I440)*INDEX('2018_commission_structure'!$A$1:$I$4,MATCH($E440,'2018_commission_structure'!$A$1:$A$4,0),MATCH(O$1,'2018_commission_structure'!$A$1:$I$1,0))</f>
        <v>79768.5</v>
      </c>
      <c r="P440" s="9">
        <f>IF(H440&gt;I440, MIN(H440-I440, J440-I440)*INDEX('2018_commission_structure'!$A$1:$I$4,MATCH($E440,'2018_commission_structure'!$A$1:$A$4,0),MATCH(P$1,'2018_commission_structure'!$A$1:$I$1,0)),0)</f>
        <v>0</v>
      </c>
      <c r="Q440" s="9">
        <f>IF($H440&gt;J440, MIN($H440-J440, K440-J440)*INDEX('2018_commission_structure'!$A$1:$I$4,MATCH($E440,'2018_commission_structure'!$A$1:$A$4,0),MATCH(Q$1,'2018_commission_structure'!$A$1:$I$1,0)),0)</f>
        <v>0</v>
      </c>
      <c r="R440" s="9">
        <f>IF($H440&gt;K440, MIN($H440-K440, L440-K440)*INDEX('2018_commission_structure'!$A$1:$I$4,MATCH($E440,'2018_commission_structure'!$A$1:$A$4,0),MATCH(R$1,'2018_commission_structure'!$A$1:$I$1,0)),0)</f>
        <v>0</v>
      </c>
      <c r="S440" s="9">
        <f>IF(H440&gt;L440,(H440-L440)*INDEX('2018_commission_structure'!$A$1:$I$4,MATCH($E440,'2018_commission_structure'!$A$1:$A$4,0),MATCH(S$1,'2018_commission_structure'!$A$1:$I$1,0)),0)</f>
        <v>0</v>
      </c>
      <c r="T440" s="9">
        <f t="shared" si="66"/>
        <v>79768.5</v>
      </c>
      <c r="U440" s="9">
        <f t="shared" si="70"/>
        <v>182880.5</v>
      </c>
      <c r="V440" s="9">
        <f>MIN($I440,$H440)*INDEX('Key Metrics'!$E$16:$N$19,MATCH($E440,'Key Metrics'!$E$16:$E$19,0),MATCH(V$1,'Key Metrics'!$E$16:$M$16,0))</f>
        <v>79768.5</v>
      </c>
      <c r="W440" s="9">
        <f>IF($H440&gt;I440, MIN($H440-I440, J440-I440)*INDEX('Key Metrics'!$E$16:$N$19,MATCH($E440,'Key Metrics'!$E$16:$E$19,0),MATCH(W$1,'Key Metrics'!$E$16:$M$16,0)),0)</f>
        <v>0</v>
      </c>
      <c r="X440" s="9">
        <f>IF($H440&gt;J440, MIN($H440-J440, K440-J440)*INDEX('Key Metrics'!$E$16:$N$19,MATCH($E440,'Key Metrics'!$E$16:$E$19,0),MATCH(X$1,'Key Metrics'!$E$16:$M$16,0)),0)</f>
        <v>0</v>
      </c>
      <c r="Y440" s="9">
        <f>IF($H440&gt;K440, MIN($H440-K440, L440-K440)*INDEX('Key Metrics'!$E$16:$N$19,MATCH($E440,'Key Metrics'!$E$16:$E$19,0),MATCH(Y$1,'Key Metrics'!$E$16:$M$16,0)),0)</f>
        <v>0</v>
      </c>
      <c r="Z440" s="9">
        <f>IF($H440&gt;L440,($H440-L440)*INDEX('Key Metrics'!$E$16:$N$19,MATCH($E440,'Key Metrics'!$E$16:$E$19,0),MATCH(Z$1,'Key Metrics'!$E$16:$M$16,0)),0)</f>
        <v>0</v>
      </c>
      <c r="AA440" s="9">
        <f t="shared" si="68"/>
        <v>79768.5</v>
      </c>
      <c r="AB440" s="9">
        <f t="shared" si="71"/>
        <v>79769.209053333339</v>
      </c>
    </row>
    <row r="441" spans="1:28" x14ac:dyDescent="0.55000000000000004">
      <c r="A441" t="str">
        <f t="shared" si="60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COUNTIF(deals_closed!$D$2:$D$20001,Calculations!B89)</f>
        <v>15</v>
      </c>
      <c r="H441" s="7">
        <f>SUMIF(deals_closed!$D:$D,Calculations!B89,deals_closed!$C:$C)</f>
        <v>540083</v>
      </c>
      <c r="I441" s="5">
        <f>VLOOKUP(E441,'2018_commission_structure'!$A$1:$I$4,9,FALSE)</f>
        <v>500000</v>
      </c>
      <c r="J441" s="9">
        <f t="shared" si="61"/>
        <v>625000</v>
      </c>
      <c r="K441" s="10">
        <f t="shared" si="62"/>
        <v>750000</v>
      </c>
      <c r="L441" s="9">
        <f t="shared" si="63"/>
        <v>1000000</v>
      </c>
      <c r="M441" s="8">
        <f t="shared" si="64"/>
        <v>1.080166</v>
      </c>
      <c r="N441" t="str">
        <f t="shared" si="65"/>
        <v>100-125%</v>
      </c>
      <c r="O441" s="9">
        <f>MIN($H441,$I441)*INDEX('2018_commission_structure'!$A$1:$I$4,MATCH($E441,'2018_commission_structure'!$A$1:$A$4,0),MATCH(O$1,'2018_commission_structure'!$A$1:$I$1,0))</f>
        <v>50000</v>
      </c>
      <c r="P441" s="9">
        <f>IF(H441&gt;I441, MIN(H441-I441, J441-I441)*INDEX('2018_commission_structure'!$A$1:$I$4,MATCH($E441,'2018_commission_structure'!$A$1:$A$4,0),MATCH(P$1,'2018_commission_structure'!$A$1:$I$1,0)),0)</f>
        <v>6012.45</v>
      </c>
      <c r="Q441" s="9">
        <f>IF($H441&gt;J441, MIN($H441-J441, K441-J441)*INDEX('2018_commission_structure'!$A$1:$I$4,MATCH($E441,'2018_commission_structure'!$A$1:$A$4,0),MATCH(Q$1,'2018_commission_structure'!$A$1:$I$1,0)),0)</f>
        <v>0</v>
      </c>
      <c r="R441" s="9">
        <f>IF($H441&gt;K441, MIN($H441-K441, L441-K441)*INDEX('2018_commission_structure'!$A$1:$I$4,MATCH($E441,'2018_commission_structure'!$A$1:$A$4,0),MATCH(R$1,'2018_commission_structure'!$A$1:$I$1,0)),0)</f>
        <v>0</v>
      </c>
      <c r="S441" s="9">
        <f>IF(H441&gt;L441,(H441-L441)*INDEX('2018_commission_structure'!$A$1:$I$4,MATCH($E441,'2018_commission_structure'!$A$1:$A$4,0),MATCH(S$1,'2018_commission_structure'!$A$1:$I$1,0)),0)</f>
        <v>0</v>
      </c>
      <c r="T441" s="9">
        <f t="shared" si="66"/>
        <v>56012.45</v>
      </c>
      <c r="U441" s="9">
        <f t="shared" si="70"/>
        <v>93058.45</v>
      </c>
      <c r="V441" s="9">
        <f>MIN($I441,$H441)*INDEX('Key Metrics'!$E$16:$N$19,MATCH($E441,'Key Metrics'!$E$16:$E$19,0),MATCH(V$1,'Key Metrics'!$E$16:$M$16,0))</f>
        <v>60000</v>
      </c>
      <c r="W441" s="9">
        <f>IF($H441&gt;I441, MIN($H441-I441, J441-I441)*INDEX('Key Metrics'!$E$16:$N$19,MATCH($E441,'Key Metrics'!$E$16:$E$19,0),MATCH(W$1,'Key Metrics'!$E$16:$M$16,0)),0)</f>
        <v>6814.1100000000006</v>
      </c>
      <c r="X441" s="9">
        <f>IF($H441&gt;J441, MIN($H441-J441, K441-J441)*INDEX('Key Metrics'!$E$16:$N$19,MATCH($E441,'Key Metrics'!$E$16:$E$19,0),MATCH(X$1,'Key Metrics'!$E$16:$M$16,0)),0)</f>
        <v>0</v>
      </c>
      <c r="Y441" s="9">
        <f>IF($H441&gt;K441, MIN($H441-K441, L441-K441)*INDEX('Key Metrics'!$E$16:$N$19,MATCH($E441,'Key Metrics'!$E$16:$E$19,0),MATCH(Y$1,'Key Metrics'!$E$16:$M$16,0)),0)</f>
        <v>0</v>
      </c>
      <c r="Z441" s="9">
        <f>IF($H441&gt;L441,($H441-L441)*INDEX('Key Metrics'!$E$16:$N$19,MATCH($E441,'Key Metrics'!$E$16:$E$19,0),MATCH(Z$1,'Key Metrics'!$E$16:$M$16,0)),0)</f>
        <v>0</v>
      </c>
      <c r="AA441" s="9">
        <f t="shared" si="68"/>
        <v>66814.11</v>
      </c>
      <c r="AB441" s="9">
        <f t="shared" si="71"/>
        <v>66815.190166</v>
      </c>
    </row>
    <row r="442" spans="1:28" x14ac:dyDescent="0.55000000000000004">
      <c r="A442" t="str">
        <f t="shared" si="60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COUNTIF(deals_closed!$D$2:$D$20001,Calculations!B465)</f>
        <v>20</v>
      </c>
      <c r="H442" s="7">
        <f>SUMIF(deals_closed!$D:$D,Calculations!B465,deals_closed!$C:$C)</f>
        <v>634582</v>
      </c>
      <c r="I442" s="5">
        <f>VLOOKUP(E442,'2018_commission_structure'!$A$1:$I$4,9,FALSE)</f>
        <v>600000</v>
      </c>
      <c r="J442" s="9">
        <f t="shared" si="61"/>
        <v>750000</v>
      </c>
      <c r="K442" s="10">
        <f t="shared" si="62"/>
        <v>900000</v>
      </c>
      <c r="L442" s="9">
        <f t="shared" si="63"/>
        <v>1200000</v>
      </c>
      <c r="M442" s="8">
        <f t="shared" si="64"/>
        <v>1.0576366666666666</v>
      </c>
      <c r="N442" t="str">
        <f t="shared" si="65"/>
        <v>100-125%</v>
      </c>
      <c r="O442" s="9">
        <f>MIN($H442,$I442)*INDEX('2018_commission_structure'!$A$1:$I$4,MATCH($E442,'2018_commission_structure'!$A$1:$A$4,0),MATCH(O$1,'2018_commission_structure'!$A$1:$I$1,0))</f>
        <v>78000</v>
      </c>
      <c r="P442" s="9">
        <f>IF(H442&gt;I442, MIN(H442-I442, J442-I442)*INDEX('2018_commission_structure'!$A$1:$I$4,MATCH($E442,'2018_commission_structure'!$A$1:$A$4,0),MATCH(P$1,'2018_commission_structure'!$A$1:$I$1,0)),0)</f>
        <v>5878.9400000000005</v>
      </c>
      <c r="Q442" s="9">
        <f>IF($H442&gt;J442, MIN($H442-J442, K442-J442)*INDEX('2018_commission_structure'!$A$1:$I$4,MATCH($E442,'2018_commission_structure'!$A$1:$A$4,0),MATCH(Q$1,'2018_commission_structure'!$A$1:$I$1,0)),0)</f>
        <v>0</v>
      </c>
      <c r="R442" s="9">
        <f>IF($H442&gt;K442, MIN($H442-K442, L442-K442)*INDEX('2018_commission_structure'!$A$1:$I$4,MATCH($E442,'2018_commission_structure'!$A$1:$A$4,0),MATCH(R$1,'2018_commission_structure'!$A$1:$I$1,0)),0)</f>
        <v>0</v>
      </c>
      <c r="S442" s="9">
        <f>IF(H442&gt;L442,(H442-L442)*INDEX('2018_commission_structure'!$A$1:$I$4,MATCH($E442,'2018_commission_structure'!$A$1:$A$4,0),MATCH(S$1,'2018_commission_structure'!$A$1:$I$1,0)),0)</f>
        <v>0</v>
      </c>
      <c r="T442" s="9">
        <f t="shared" si="66"/>
        <v>83878.94</v>
      </c>
      <c r="U442" s="9">
        <f t="shared" si="70"/>
        <v>155995.94</v>
      </c>
      <c r="V442" s="9">
        <f>MIN($I442,$H442)*INDEX('Key Metrics'!$E$16:$N$19,MATCH($E442,'Key Metrics'!$E$16:$E$19,0),MATCH(V$1,'Key Metrics'!$E$16:$M$16,0))</f>
        <v>90000</v>
      </c>
      <c r="W442" s="9">
        <f>IF($H442&gt;I442, MIN($H442-I442, J442-I442)*INDEX('Key Metrics'!$E$16:$N$19,MATCH($E442,'Key Metrics'!$E$16:$E$19,0),MATCH(W$1,'Key Metrics'!$E$16:$M$16,0)),0)</f>
        <v>6224.76</v>
      </c>
      <c r="X442" s="9">
        <f>IF($H442&gt;J442, MIN($H442-J442, K442-J442)*INDEX('Key Metrics'!$E$16:$N$19,MATCH($E442,'Key Metrics'!$E$16:$E$19,0),MATCH(X$1,'Key Metrics'!$E$16:$M$16,0)),0)</f>
        <v>0</v>
      </c>
      <c r="Y442" s="9">
        <f>IF($H442&gt;K442, MIN($H442-K442, L442-K442)*INDEX('Key Metrics'!$E$16:$N$19,MATCH($E442,'Key Metrics'!$E$16:$E$19,0),MATCH(Y$1,'Key Metrics'!$E$16:$M$16,0)),0)</f>
        <v>0</v>
      </c>
      <c r="Z442" s="9">
        <f>IF($H442&gt;L442,($H442-L442)*INDEX('Key Metrics'!$E$16:$N$19,MATCH($E442,'Key Metrics'!$E$16:$E$19,0),MATCH(Z$1,'Key Metrics'!$E$16:$M$16,0)),0)</f>
        <v>0</v>
      </c>
      <c r="AA442" s="9">
        <f t="shared" si="68"/>
        <v>96224.76</v>
      </c>
      <c r="AB442" s="9">
        <f t="shared" si="71"/>
        <v>96225.817636666659</v>
      </c>
    </row>
    <row r="443" spans="1:28" x14ac:dyDescent="0.55000000000000004">
      <c r="A443" t="str">
        <f t="shared" si="60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COUNTIF(deals_closed!$D$2:$D$20001,Calculations!B628)</f>
        <v>14</v>
      </c>
      <c r="H443" s="7">
        <f>SUMIF(deals_closed!$D:$D,Calculations!B628,deals_closed!$C:$C)</f>
        <v>425190</v>
      </c>
      <c r="I443" s="5">
        <f>VLOOKUP(E443,'2018_commission_structure'!$A$1:$I$4,9,FALSE)</f>
        <v>500000</v>
      </c>
      <c r="J443" s="9">
        <f t="shared" si="61"/>
        <v>625000</v>
      </c>
      <c r="K443" s="10">
        <f t="shared" si="62"/>
        <v>750000</v>
      </c>
      <c r="L443" s="9">
        <f t="shared" si="63"/>
        <v>1000000</v>
      </c>
      <c r="M443" s="8">
        <f t="shared" si="64"/>
        <v>0.85038000000000002</v>
      </c>
      <c r="N443" t="str">
        <f t="shared" si="65"/>
        <v>0-100%</v>
      </c>
      <c r="O443" s="9">
        <f>MIN($H443,$I443)*INDEX('2018_commission_structure'!$A$1:$I$4,MATCH($E443,'2018_commission_structure'!$A$1:$A$4,0),MATCH(O$1,'2018_commission_structure'!$A$1:$I$1,0))</f>
        <v>42519</v>
      </c>
      <c r="P443" s="9">
        <f>IF(H443&gt;I443, MIN(H443-I443, J443-I443)*INDEX('2018_commission_structure'!$A$1:$I$4,MATCH($E443,'2018_commission_structure'!$A$1:$A$4,0),MATCH(P$1,'2018_commission_structure'!$A$1:$I$1,0)),0)</f>
        <v>0</v>
      </c>
      <c r="Q443" s="9">
        <f>IF($H443&gt;J443, MIN($H443-J443, K443-J443)*INDEX('2018_commission_structure'!$A$1:$I$4,MATCH($E443,'2018_commission_structure'!$A$1:$A$4,0),MATCH(Q$1,'2018_commission_structure'!$A$1:$I$1,0)),0)</f>
        <v>0</v>
      </c>
      <c r="R443" s="9">
        <f>IF($H443&gt;K443, MIN($H443-K443, L443-K443)*INDEX('2018_commission_structure'!$A$1:$I$4,MATCH($E443,'2018_commission_structure'!$A$1:$A$4,0),MATCH(R$1,'2018_commission_structure'!$A$1:$I$1,0)),0)</f>
        <v>0</v>
      </c>
      <c r="S443" s="9">
        <f>IF(H443&gt;L443,(H443-L443)*INDEX('2018_commission_structure'!$A$1:$I$4,MATCH($E443,'2018_commission_structure'!$A$1:$A$4,0),MATCH(S$1,'2018_commission_structure'!$A$1:$I$1,0)),0)</f>
        <v>0</v>
      </c>
      <c r="T443" s="9">
        <f t="shared" si="66"/>
        <v>42519</v>
      </c>
      <c r="U443" s="9">
        <f t="shared" si="70"/>
        <v>84447</v>
      </c>
      <c r="V443" s="9">
        <f>MIN($I443,$H443)*INDEX('Key Metrics'!$E$16:$N$19,MATCH($E443,'Key Metrics'!$E$16:$E$19,0),MATCH(V$1,'Key Metrics'!$E$16:$M$16,0))</f>
        <v>51022.799999999996</v>
      </c>
      <c r="W443" s="9">
        <f>IF($H443&gt;I443, MIN($H443-I443, J443-I443)*INDEX('Key Metrics'!$E$16:$N$19,MATCH($E443,'Key Metrics'!$E$16:$E$19,0),MATCH(W$1,'Key Metrics'!$E$16:$M$16,0)),0)</f>
        <v>0</v>
      </c>
      <c r="X443" s="9">
        <f>IF($H443&gt;J443, MIN($H443-J443, K443-J443)*INDEX('Key Metrics'!$E$16:$N$19,MATCH($E443,'Key Metrics'!$E$16:$E$19,0),MATCH(X$1,'Key Metrics'!$E$16:$M$16,0)),0)</f>
        <v>0</v>
      </c>
      <c r="Y443" s="9">
        <f>IF($H443&gt;K443, MIN($H443-K443, L443-K443)*INDEX('Key Metrics'!$E$16:$N$19,MATCH($E443,'Key Metrics'!$E$16:$E$19,0),MATCH(Y$1,'Key Metrics'!$E$16:$M$16,0)),0)</f>
        <v>0</v>
      </c>
      <c r="Z443" s="9">
        <f>IF($H443&gt;L443,($H443-L443)*INDEX('Key Metrics'!$E$16:$N$19,MATCH($E443,'Key Metrics'!$E$16:$E$19,0),MATCH(Z$1,'Key Metrics'!$E$16:$M$16,0)),0)</f>
        <v>0</v>
      </c>
      <c r="AA443" s="9">
        <f t="shared" si="68"/>
        <v>51022.799999999996</v>
      </c>
      <c r="AB443" s="9">
        <f t="shared" si="71"/>
        <v>51023.650379999999</v>
      </c>
    </row>
    <row r="444" spans="1:28" x14ac:dyDescent="0.55000000000000004">
      <c r="A444" t="str">
        <f t="shared" si="60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COUNTIF(deals_closed!$D$2:$D$20001,Calculations!B854)</f>
        <v>19</v>
      </c>
      <c r="H444" s="7">
        <f>SUMIF(deals_closed!$D:$D,Calculations!B854,deals_closed!$C:$C)</f>
        <v>662484</v>
      </c>
      <c r="I444" s="5">
        <f>VLOOKUP(E444,'2018_commission_structure'!$A$1:$I$4,9,FALSE)</f>
        <v>600000</v>
      </c>
      <c r="J444" s="9">
        <f t="shared" si="61"/>
        <v>750000</v>
      </c>
      <c r="K444" s="10">
        <f t="shared" si="62"/>
        <v>900000</v>
      </c>
      <c r="L444" s="9">
        <f t="shared" si="63"/>
        <v>1200000</v>
      </c>
      <c r="M444" s="8">
        <f t="shared" si="64"/>
        <v>1.1041399999999999</v>
      </c>
      <c r="N444" t="str">
        <f t="shared" si="65"/>
        <v>100-125%</v>
      </c>
      <c r="O444" s="9">
        <f>MIN($H444,$I444)*INDEX('2018_commission_structure'!$A$1:$I$4,MATCH($E444,'2018_commission_structure'!$A$1:$A$4,0),MATCH(O$1,'2018_commission_structure'!$A$1:$I$1,0))</f>
        <v>78000</v>
      </c>
      <c r="P444" s="9">
        <f>IF(H444&gt;I444, MIN(H444-I444, J444-I444)*INDEX('2018_commission_structure'!$A$1:$I$4,MATCH($E444,'2018_commission_structure'!$A$1:$A$4,0),MATCH(P$1,'2018_commission_structure'!$A$1:$I$1,0)),0)</f>
        <v>10622.28</v>
      </c>
      <c r="Q444" s="9">
        <f>IF($H444&gt;J444, MIN($H444-J444, K444-J444)*INDEX('2018_commission_structure'!$A$1:$I$4,MATCH($E444,'2018_commission_structure'!$A$1:$A$4,0),MATCH(Q$1,'2018_commission_structure'!$A$1:$I$1,0)),0)</f>
        <v>0</v>
      </c>
      <c r="R444" s="9">
        <f>IF($H444&gt;K444, MIN($H444-K444, L444-K444)*INDEX('2018_commission_structure'!$A$1:$I$4,MATCH($E444,'2018_commission_structure'!$A$1:$A$4,0),MATCH(R$1,'2018_commission_structure'!$A$1:$I$1,0)),0)</f>
        <v>0</v>
      </c>
      <c r="S444" s="9">
        <f>IF(H444&gt;L444,(H444-L444)*INDEX('2018_commission_structure'!$A$1:$I$4,MATCH($E444,'2018_commission_structure'!$A$1:$A$4,0),MATCH(S$1,'2018_commission_structure'!$A$1:$I$1,0)),0)</f>
        <v>0</v>
      </c>
      <c r="T444" s="9">
        <f t="shared" si="66"/>
        <v>88622.28</v>
      </c>
      <c r="U444" s="9">
        <f t="shared" si="70"/>
        <v>166080.28</v>
      </c>
      <c r="V444" s="9">
        <f>MIN($I444,$H444)*INDEX('Key Metrics'!$E$16:$N$19,MATCH($E444,'Key Metrics'!$E$16:$E$19,0),MATCH(V$1,'Key Metrics'!$E$16:$M$16,0))</f>
        <v>90000</v>
      </c>
      <c r="W444" s="9">
        <f>IF($H444&gt;I444, MIN($H444-I444, J444-I444)*INDEX('Key Metrics'!$E$16:$N$19,MATCH($E444,'Key Metrics'!$E$16:$E$19,0),MATCH(W$1,'Key Metrics'!$E$16:$M$16,0)),0)</f>
        <v>11247.119999999999</v>
      </c>
      <c r="X444" s="9">
        <f>IF($H444&gt;J444, MIN($H444-J444, K444-J444)*INDEX('Key Metrics'!$E$16:$N$19,MATCH($E444,'Key Metrics'!$E$16:$E$19,0),MATCH(X$1,'Key Metrics'!$E$16:$M$16,0)),0)</f>
        <v>0</v>
      </c>
      <c r="Y444" s="9">
        <f>IF($H444&gt;K444, MIN($H444-K444, L444-K444)*INDEX('Key Metrics'!$E$16:$N$19,MATCH($E444,'Key Metrics'!$E$16:$E$19,0),MATCH(Y$1,'Key Metrics'!$E$16:$M$16,0)),0)</f>
        <v>0</v>
      </c>
      <c r="Z444" s="9">
        <f>IF($H444&gt;L444,($H444-L444)*INDEX('Key Metrics'!$E$16:$N$19,MATCH($E444,'Key Metrics'!$E$16:$E$19,0),MATCH(Z$1,'Key Metrics'!$E$16:$M$16,0)),0)</f>
        <v>0</v>
      </c>
      <c r="AA444" s="9">
        <f t="shared" si="68"/>
        <v>101247.12</v>
      </c>
      <c r="AB444" s="9">
        <f t="shared" si="71"/>
        <v>101248.22413999999</v>
      </c>
    </row>
    <row r="445" spans="1:28" x14ac:dyDescent="0.55000000000000004">
      <c r="A445" t="str">
        <f t="shared" si="60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COUNTIF(deals_closed!$D$2:$D$20001,Calculations!B789)</f>
        <v>23</v>
      </c>
      <c r="H445" s="7">
        <f>SUMIF(deals_closed!$D:$D,Calculations!B789,deals_closed!$C:$C)</f>
        <v>778322</v>
      </c>
      <c r="I445" s="5">
        <f>VLOOKUP(E445,'2018_commission_structure'!$A$1:$I$4,9,FALSE)</f>
        <v>750000</v>
      </c>
      <c r="J445" s="9">
        <f t="shared" si="61"/>
        <v>937500</v>
      </c>
      <c r="K445" s="10">
        <f t="shared" si="62"/>
        <v>1125000</v>
      </c>
      <c r="L445" s="9">
        <f t="shared" si="63"/>
        <v>1500000</v>
      </c>
      <c r="M445" s="8">
        <f t="shared" si="64"/>
        <v>1.0377626666666666</v>
      </c>
      <c r="N445" t="str">
        <f t="shared" si="65"/>
        <v>100-125%</v>
      </c>
      <c r="O445" s="9">
        <f>MIN($H445,$I445)*INDEX('2018_commission_structure'!$A$1:$I$4,MATCH($E445,'2018_commission_structure'!$A$1:$A$4,0),MATCH(O$1,'2018_commission_structure'!$A$1:$I$1,0))</f>
        <v>112500</v>
      </c>
      <c r="P445" s="9">
        <f>IF(H445&gt;I445, MIN(H445-I445, J445-I445)*INDEX('2018_commission_structure'!$A$1:$I$4,MATCH($E445,'2018_commission_structure'!$A$1:$A$4,0),MATCH(P$1,'2018_commission_structure'!$A$1:$I$1,0)),0)</f>
        <v>5381.18</v>
      </c>
      <c r="Q445" s="9">
        <f>IF($H445&gt;J445, MIN($H445-J445, K445-J445)*INDEX('2018_commission_structure'!$A$1:$I$4,MATCH($E445,'2018_commission_structure'!$A$1:$A$4,0),MATCH(Q$1,'2018_commission_structure'!$A$1:$I$1,0)),0)</f>
        <v>0</v>
      </c>
      <c r="R445" s="9">
        <f>IF($H445&gt;K445, MIN($H445-K445, L445-K445)*INDEX('2018_commission_structure'!$A$1:$I$4,MATCH($E445,'2018_commission_structure'!$A$1:$A$4,0),MATCH(R$1,'2018_commission_structure'!$A$1:$I$1,0)),0)</f>
        <v>0</v>
      </c>
      <c r="S445" s="9">
        <f>IF(H445&gt;L445,(H445-L445)*INDEX('2018_commission_structure'!$A$1:$I$4,MATCH($E445,'2018_commission_structure'!$A$1:$A$4,0),MATCH(S$1,'2018_commission_structure'!$A$1:$I$1,0)),0)</f>
        <v>0</v>
      </c>
      <c r="T445" s="9">
        <f t="shared" si="66"/>
        <v>117881.18</v>
      </c>
      <c r="U445" s="9">
        <f t="shared" si="70"/>
        <v>230019.18</v>
      </c>
      <c r="V445" s="9">
        <f>MIN($I445,$H445)*INDEX('Key Metrics'!$E$16:$N$19,MATCH($E445,'Key Metrics'!$E$16:$E$19,0),MATCH(V$1,'Key Metrics'!$E$16:$M$16,0))</f>
        <v>112500</v>
      </c>
      <c r="W445" s="9">
        <f>IF($H445&gt;I445, MIN($H445-I445, J445-I445)*INDEX('Key Metrics'!$E$16:$N$19,MATCH($E445,'Key Metrics'!$E$16:$E$19,0),MATCH(W$1,'Key Metrics'!$E$16:$M$16,0)),0)</f>
        <v>6230.84</v>
      </c>
      <c r="X445" s="9">
        <f>IF($H445&gt;J445, MIN($H445-J445, K445-J445)*INDEX('Key Metrics'!$E$16:$N$19,MATCH($E445,'Key Metrics'!$E$16:$E$19,0),MATCH(X$1,'Key Metrics'!$E$16:$M$16,0)),0)</f>
        <v>0</v>
      </c>
      <c r="Y445" s="9">
        <f>IF($H445&gt;K445, MIN($H445-K445, L445-K445)*INDEX('Key Metrics'!$E$16:$N$19,MATCH($E445,'Key Metrics'!$E$16:$E$19,0),MATCH(Y$1,'Key Metrics'!$E$16:$M$16,0)),0)</f>
        <v>0</v>
      </c>
      <c r="Z445" s="9">
        <f>IF($H445&gt;L445,($H445-L445)*INDEX('Key Metrics'!$E$16:$N$19,MATCH($E445,'Key Metrics'!$E$16:$E$19,0),MATCH(Z$1,'Key Metrics'!$E$16:$M$16,0)),0)</f>
        <v>0</v>
      </c>
      <c r="AA445" s="9">
        <f t="shared" si="68"/>
        <v>118730.84</v>
      </c>
      <c r="AB445" s="9">
        <f t="shared" si="71"/>
        <v>118731.87776266666</v>
      </c>
    </row>
    <row r="446" spans="1:28" x14ac:dyDescent="0.55000000000000004">
      <c r="A446" t="str">
        <f t="shared" si="60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COUNTIF(deals_closed!$D$2:$D$20001,Calculations!B499)</f>
        <v>20</v>
      </c>
      <c r="H446" s="7">
        <f>SUMIF(deals_closed!$D:$D,Calculations!B499,deals_closed!$C:$C)</f>
        <v>614002</v>
      </c>
      <c r="I446" s="5">
        <f>VLOOKUP(E446,'2018_commission_structure'!$A$1:$I$4,9,FALSE)</f>
        <v>600000</v>
      </c>
      <c r="J446" s="9">
        <f t="shared" si="61"/>
        <v>750000</v>
      </c>
      <c r="K446" s="10">
        <f t="shared" si="62"/>
        <v>900000</v>
      </c>
      <c r="L446" s="9">
        <f t="shared" si="63"/>
        <v>1200000</v>
      </c>
      <c r="M446" s="8">
        <f t="shared" si="64"/>
        <v>1.0233366666666666</v>
      </c>
      <c r="N446" t="str">
        <f t="shared" si="65"/>
        <v>100-125%</v>
      </c>
      <c r="O446" s="9">
        <f>MIN($H446,$I446)*INDEX('2018_commission_structure'!$A$1:$I$4,MATCH($E446,'2018_commission_structure'!$A$1:$A$4,0),MATCH(O$1,'2018_commission_structure'!$A$1:$I$1,0))</f>
        <v>78000</v>
      </c>
      <c r="P446" s="9">
        <f>IF(H446&gt;I446, MIN(H446-I446, J446-I446)*INDEX('2018_commission_structure'!$A$1:$I$4,MATCH($E446,'2018_commission_structure'!$A$1:$A$4,0),MATCH(P$1,'2018_commission_structure'!$A$1:$I$1,0)),0)</f>
        <v>2380.34</v>
      </c>
      <c r="Q446" s="9">
        <f>IF($H446&gt;J446, MIN($H446-J446, K446-J446)*INDEX('2018_commission_structure'!$A$1:$I$4,MATCH($E446,'2018_commission_structure'!$A$1:$A$4,0),MATCH(Q$1,'2018_commission_structure'!$A$1:$I$1,0)),0)</f>
        <v>0</v>
      </c>
      <c r="R446" s="9">
        <f>IF($H446&gt;K446, MIN($H446-K446, L446-K446)*INDEX('2018_commission_structure'!$A$1:$I$4,MATCH($E446,'2018_commission_structure'!$A$1:$A$4,0),MATCH(R$1,'2018_commission_structure'!$A$1:$I$1,0)),0)</f>
        <v>0</v>
      </c>
      <c r="S446" s="9">
        <f>IF(H446&gt;L446,(H446-L446)*INDEX('2018_commission_structure'!$A$1:$I$4,MATCH($E446,'2018_commission_structure'!$A$1:$A$4,0),MATCH(S$1,'2018_commission_structure'!$A$1:$I$1,0)),0)</f>
        <v>0</v>
      </c>
      <c r="T446" s="9">
        <f t="shared" si="66"/>
        <v>80380.34</v>
      </c>
      <c r="U446" s="9">
        <f t="shared" si="70"/>
        <v>131945.34</v>
      </c>
      <c r="V446" s="9">
        <f>MIN($I446,$H446)*INDEX('Key Metrics'!$E$16:$N$19,MATCH($E446,'Key Metrics'!$E$16:$E$19,0),MATCH(V$1,'Key Metrics'!$E$16:$M$16,0))</f>
        <v>90000</v>
      </c>
      <c r="W446" s="9">
        <f>IF($H446&gt;I446, MIN($H446-I446, J446-I446)*INDEX('Key Metrics'!$E$16:$N$19,MATCH($E446,'Key Metrics'!$E$16:$E$19,0),MATCH(W$1,'Key Metrics'!$E$16:$M$16,0)),0)</f>
        <v>2520.36</v>
      </c>
      <c r="X446" s="9">
        <f>IF($H446&gt;J446, MIN($H446-J446, K446-J446)*INDEX('Key Metrics'!$E$16:$N$19,MATCH($E446,'Key Metrics'!$E$16:$E$19,0),MATCH(X$1,'Key Metrics'!$E$16:$M$16,0)),0)</f>
        <v>0</v>
      </c>
      <c r="Y446" s="9">
        <f>IF($H446&gt;K446, MIN($H446-K446, L446-K446)*INDEX('Key Metrics'!$E$16:$N$19,MATCH($E446,'Key Metrics'!$E$16:$E$19,0),MATCH(Y$1,'Key Metrics'!$E$16:$M$16,0)),0)</f>
        <v>0</v>
      </c>
      <c r="Z446" s="9">
        <f>IF($H446&gt;L446,($H446-L446)*INDEX('Key Metrics'!$E$16:$N$19,MATCH($E446,'Key Metrics'!$E$16:$E$19,0),MATCH(Z$1,'Key Metrics'!$E$16:$M$16,0)),0)</f>
        <v>0</v>
      </c>
      <c r="AA446" s="9">
        <f t="shared" si="68"/>
        <v>92520.36</v>
      </c>
      <c r="AB446" s="9">
        <f t="shared" si="71"/>
        <v>92521.383336666666</v>
      </c>
    </row>
    <row r="447" spans="1:28" x14ac:dyDescent="0.55000000000000004">
      <c r="A447" t="str">
        <f t="shared" si="60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COUNTIF(deals_closed!$D$2:$D$20001,Calculations!B64)</f>
        <v>23</v>
      </c>
      <c r="H447" s="7">
        <f>SUMIF(deals_closed!$D:$D,Calculations!B64,deals_closed!$C:$C)</f>
        <v>789211</v>
      </c>
      <c r="I447" s="5">
        <f>VLOOKUP(E447,'2018_commission_structure'!$A$1:$I$4,9,FALSE)</f>
        <v>600000</v>
      </c>
      <c r="J447" s="9">
        <f t="shared" si="61"/>
        <v>750000</v>
      </c>
      <c r="K447" s="10">
        <f t="shared" si="62"/>
        <v>900000</v>
      </c>
      <c r="L447" s="9">
        <f t="shared" si="63"/>
        <v>1200000</v>
      </c>
      <c r="M447" s="8">
        <f t="shared" si="64"/>
        <v>1.3153516666666667</v>
      </c>
      <c r="N447" t="str">
        <f t="shared" si="65"/>
        <v>125-150%</v>
      </c>
      <c r="O447" s="9">
        <f>MIN($H447,$I447)*INDEX('2018_commission_structure'!$A$1:$I$4,MATCH($E447,'2018_commission_structure'!$A$1:$A$4,0),MATCH(O$1,'2018_commission_structure'!$A$1:$I$1,0))</f>
        <v>78000</v>
      </c>
      <c r="P447" s="9">
        <f>IF(H447&gt;I447, MIN(H447-I447, J447-I447)*INDEX('2018_commission_structure'!$A$1:$I$4,MATCH($E447,'2018_commission_structure'!$A$1:$A$4,0),MATCH(P$1,'2018_commission_structure'!$A$1:$I$1,0)),0)</f>
        <v>25500.000000000004</v>
      </c>
      <c r="Q447" s="9">
        <f>IF($H447&gt;J447, MIN($H447-J447, K447-J447)*INDEX('2018_commission_structure'!$A$1:$I$4,MATCH($E447,'2018_commission_structure'!$A$1:$A$4,0),MATCH(Q$1,'2018_commission_structure'!$A$1:$I$1,0)),0)</f>
        <v>8234.31</v>
      </c>
      <c r="R447" s="9">
        <f>IF($H447&gt;K447, MIN($H447-K447, L447-K447)*INDEX('2018_commission_structure'!$A$1:$I$4,MATCH($E447,'2018_commission_structure'!$A$1:$A$4,0),MATCH(R$1,'2018_commission_structure'!$A$1:$I$1,0)),0)</f>
        <v>0</v>
      </c>
      <c r="S447" s="9">
        <f>IF(H447&gt;L447,(H447-L447)*INDEX('2018_commission_structure'!$A$1:$I$4,MATCH($E447,'2018_commission_structure'!$A$1:$A$4,0),MATCH(S$1,'2018_commission_structure'!$A$1:$I$1,0)),0)</f>
        <v>0</v>
      </c>
      <c r="T447" s="9">
        <f t="shared" si="66"/>
        <v>111734.31</v>
      </c>
      <c r="U447" s="9">
        <f t="shared" si="70"/>
        <v>184926.31</v>
      </c>
      <c r="V447" s="9">
        <f>MIN($I447,$H447)*INDEX('Key Metrics'!$E$16:$N$19,MATCH($E447,'Key Metrics'!$E$16:$E$19,0),MATCH(V$1,'Key Metrics'!$E$16:$M$16,0))</f>
        <v>90000</v>
      </c>
      <c r="W447" s="9">
        <f>IF($H447&gt;I447, MIN($H447-I447, J447-I447)*INDEX('Key Metrics'!$E$16:$N$19,MATCH($E447,'Key Metrics'!$E$16:$E$19,0),MATCH(W$1,'Key Metrics'!$E$16:$M$16,0)),0)</f>
        <v>27000</v>
      </c>
      <c r="X447" s="9">
        <f>IF($H447&gt;J447, MIN($H447-J447, K447-J447)*INDEX('Key Metrics'!$E$16:$N$19,MATCH($E447,'Key Metrics'!$E$16:$E$19,0),MATCH(X$1,'Key Metrics'!$E$16:$M$16,0)),0)</f>
        <v>9802.75</v>
      </c>
      <c r="Y447" s="9">
        <f>IF($H447&gt;K447, MIN($H447-K447, L447-K447)*INDEX('Key Metrics'!$E$16:$N$19,MATCH($E447,'Key Metrics'!$E$16:$E$19,0),MATCH(Y$1,'Key Metrics'!$E$16:$M$16,0)),0)</f>
        <v>0</v>
      </c>
      <c r="Z447" s="9">
        <f>IF($H447&gt;L447,($H447-L447)*INDEX('Key Metrics'!$E$16:$N$19,MATCH($E447,'Key Metrics'!$E$16:$E$19,0),MATCH(Z$1,'Key Metrics'!$E$16:$M$16,0)),0)</f>
        <v>0</v>
      </c>
      <c r="AA447" s="9">
        <f t="shared" si="68"/>
        <v>126802.75</v>
      </c>
      <c r="AB447" s="9">
        <f t="shared" si="71"/>
        <v>126804.06535166666</v>
      </c>
    </row>
    <row r="448" spans="1:28" x14ac:dyDescent="0.55000000000000004">
      <c r="A448" t="str">
        <f t="shared" si="60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COUNTIF(deals_closed!$D$2:$D$20001,Calculations!B666)</f>
        <v>16</v>
      </c>
      <c r="H448" s="7">
        <f>SUMIF(deals_closed!$D:$D,Calculations!B666,deals_closed!$C:$C)</f>
        <v>635633</v>
      </c>
      <c r="I448" s="5">
        <f>VLOOKUP(E448,'2018_commission_structure'!$A$1:$I$4,9,FALSE)</f>
        <v>750000</v>
      </c>
      <c r="J448" s="9">
        <f t="shared" si="61"/>
        <v>937500</v>
      </c>
      <c r="K448" s="10">
        <f t="shared" si="62"/>
        <v>1125000</v>
      </c>
      <c r="L448" s="9">
        <f t="shared" si="63"/>
        <v>1500000</v>
      </c>
      <c r="M448" s="8">
        <f t="shared" si="64"/>
        <v>0.84751066666666663</v>
      </c>
      <c r="N448" t="str">
        <f t="shared" si="65"/>
        <v>0-100%</v>
      </c>
      <c r="O448" s="9">
        <f>MIN($H448,$I448)*INDEX('2018_commission_structure'!$A$1:$I$4,MATCH($E448,'2018_commission_structure'!$A$1:$A$4,0),MATCH(O$1,'2018_commission_structure'!$A$1:$I$1,0))</f>
        <v>95344.95</v>
      </c>
      <c r="P448" s="9">
        <f>IF(H448&gt;I448, MIN(H448-I448, J448-I448)*INDEX('2018_commission_structure'!$A$1:$I$4,MATCH($E448,'2018_commission_structure'!$A$1:$A$4,0),MATCH(P$1,'2018_commission_structure'!$A$1:$I$1,0)),0)</f>
        <v>0</v>
      </c>
      <c r="Q448" s="9">
        <f>IF($H448&gt;J448, MIN($H448-J448, K448-J448)*INDEX('2018_commission_structure'!$A$1:$I$4,MATCH($E448,'2018_commission_structure'!$A$1:$A$4,0),MATCH(Q$1,'2018_commission_structure'!$A$1:$I$1,0)),0)</f>
        <v>0</v>
      </c>
      <c r="R448" s="9">
        <f>IF($H448&gt;K448, MIN($H448-K448, L448-K448)*INDEX('2018_commission_structure'!$A$1:$I$4,MATCH($E448,'2018_commission_structure'!$A$1:$A$4,0),MATCH(R$1,'2018_commission_structure'!$A$1:$I$1,0)),0)</f>
        <v>0</v>
      </c>
      <c r="S448" s="9">
        <f>IF(H448&gt;L448,(H448-L448)*INDEX('2018_commission_structure'!$A$1:$I$4,MATCH($E448,'2018_commission_structure'!$A$1:$A$4,0),MATCH(S$1,'2018_commission_structure'!$A$1:$I$1,0)),0)</f>
        <v>0</v>
      </c>
      <c r="T448" s="9">
        <f t="shared" si="66"/>
        <v>95344.95</v>
      </c>
      <c r="U448" s="9">
        <f t="shared" si="70"/>
        <v>189949.95</v>
      </c>
      <c r="V448" s="9">
        <f>MIN($I448,$H448)*INDEX('Key Metrics'!$E$16:$N$19,MATCH($E448,'Key Metrics'!$E$16:$E$19,0),MATCH(V$1,'Key Metrics'!$E$16:$M$16,0))</f>
        <v>95344.95</v>
      </c>
      <c r="W448" s="9">
        <f>IF($H448&gt;I448, MIN($H448-I448, J448-I448)*INDEX('Key Metrics'!$E$16:$N$19,MATCH($E448,'Key Metrics'!$E$16:$E$19,0),MATCH(W$1,'Key Metrics'!$E$16:$M$16,0)),0)</f>
        <v>0</v>
      </c>
      <c r="X448" s="9">
        <f>IF($H448&gt;J448, MIN($H448-J448, K448-J448)*INDEX('Key Metrics'!$E$16:$N$19,MATCH($E448,'Key Metrics'!$E$16:$E$19,0),MATCH(X$1,'Key Metrics'!$E$16:$M$16,0)),0)</f>
        <v>0</v>
      </c>
      <c r="Y448" s="9">
        <f>IF($H448&gt;K448, MIN($H448-K448, L448-K448)*INDEX('Key Metrics'!$E$16:$N$19,MATCH($E448,'Key Metrics'!$E$16:$E$19,0),MATCH(Y$1,'Key Metrics'!$E$16:$M$16,0)),0)</f>
        <v>0</v>
      </c>
      <c r="Z448" s="9">
        <f>IF($H448&gt;L448,($H448-L448)*INDEX('Key Metrics'!$E$16:$N$19,MATCH($E448,'Key Metrics'!$E$16:$E$19,0),MATCH(Z$1,'Key Metrics'!$E$16:$M$16,0)),0)</f>
        <v>0</v>
      </c>
      <c r="AA448" s="9">
        <f t="shared" si="68"/>
        <v>95344.95</v>
      </c>
      <c r="AB448" s="9">
        <f t="shared" si="71"/>
        <v>95345.797510666671</v>
      </c>
    </row>
    <row r="449" spans="1:28" x14ac:dyDescent="0.55000000000000004">
      <c r="A449" t="str">
        <f t="shared" si="60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COUNTIF(deals_closed!$D$2:$D$20001,Calculations!B409)</f>
        <v>17</v>
      </c>
      <c r="H449" s="7">
        <f>SUMIF(deals_closed!$D:$D,Calculations!B409,deals_closed!$C:$C)</f>
        <v>599910</v>
      </c>
      <c r="I449" s="5">
        <f>VLOOKUP(E449,'2018_commission_structure'!$A$1:$I$4,9,FALSE)</f>
        <v>500000</v>
      </c>
      <c r="J449" s="9">
        <f t="shared" si="61"/>
        <v>625000</v>
      </c>
      <c r="K449" s="10">
        <f t="shared" si="62"/>
        <v>750000</v>
      </c>
      <c r="L449" s="9">
        <f t="shared" si="63"/>
        <v>1000000</v>
      </c>
      <c r="M449" s="8">
        <f t="shared" si="64"/>
        <v>1.1998200000000001</v>
      </c>
      <c r="N449" t="str">
        <f t="shared" si="65"/>
        <v>100-125%</v>
      </c>
      <c r="O449" s="9">
        <f>MIN($H449,$I449)*INDEX('2018_commission_structure'!$A$1:$I$4,MATCH($E449,'2018_commission_structure'!$A$1:$A$4,0),MATCH(O$1,'2018_commission_structure'!$A$1:$I$1,0))</f>
        <v>50000</v>
      </c>
      <c r="P449" s="9">
        <f>IF(H449&gt;I449, MIN(H449-I449, J449-I449)*INDEX('2018_commission_structure'!$A$1:$I$4,MATCH($E449,'2018_commission_structure'!$A$1:$A$4,0),MATCH(P$1,'2018_commission_structure'!$A$1:$I$1,0)),0)</f>
        <v>14986.5</v>
      </c>
      <c r="Q449" s="9">
        <f>IF($H449&gt;J449, MIN($H449-J449, K449-J449)*INDEX('2018_commission_structure'!$A$1:$I$4,MATCH($E449,'2018_commission_structure'!$A$1:$A$4,0),MATCH(Q$1,'2018_commission_structure'!$A$1:$I$1,0)),0)</f>
        <v>0</v>
      </c>
      <c r="R449" s="9">
        <f>IF($H449&gt;K449, MIN($H449-K449, L449-K449)*INDEX('2018_commission_structure'!$A$1:$I$4,MATCH($E449,'2018_commission_structure'!$A$1:$A$4,0),MATCH(R$1,'2018_commission_structure'!$A$1:$I$1,0)),0)</f>
        <v>0</v>
      </c>
      <c r="S449" s="9">
        <f>IF(H449&gt;L449,(H449-L449)*INDEX('2018_commission_structure'!$A$1:$I$4,MATCH($E449,'2018_commission_structure'!$A$1:$A$4,0),MATCH(S$1,'2018_commission_structure'!$A$1:$I$1,0)),0)</f>
        <v>0</v>
      </c>
      <c r="T449" s="9">
        <f t="shared" si="66"/>
        <v>64986.5</v>
      </c>
      <c r="U449" s="9">
        <f t="shared" si="70"/>
        <v>97540.5</v>
      </c>
      <c r="V449" s="9">
        <f>MIN($I449,$H449)*INDEX('Key Metrics'!$E$16:$N$19,MATCH($E449,'Key Metrics'!$E$16:$E$19,0),MATCH(V$1,'Key Metrics'!$E$16:$M$16,0))</f>
        <v>60000</v>
      </c>
      <c r="W449" s="9">
        <f>IF($H449&gt;I449, MIN($H449-I449, J449-I449)*INDEX('Key Metrics'!$E$16:$N$19,MATCH($E449,'Key Metrics'!$E$16:$E$19,0),MATCH(W$1,'Key Metrics'!$E$16:$M$16,0)),0)</f>
        <v>16984.7</v>
      </c>
      <c r="X449" s="9">
        <f>IF($H449&gt;J449, MIN($H449-J449, K449-J449)*INDEX('Key Metrics'!$E$16:$N$19,MATCH($E449,'Key Metrics'!$E$16:$E$19,0),MATCH(X$1,'Key Metrics'!$E$16:$M$16,0)),0)</f>
        <v>0</v>
      </c>
      <c r="Y449" s="9">
        <f>IF($H449&gt;K449, MIN($H449-K449, L449-K449)*INDEX('Key Metrics'!$E$16:$N$19,MATCH($E449,'Key Metrics'!$E$16:$E$19,0),MATCH(Y$1,'Key Metrics'!$E$16:$M$16,0)),0)</f>
        <v>0</v>
      </c>
      <c r="Z449" s="9">
        <f>IF($H449&gt;L449,($H449-L449)*INDEX('Key Metrics'!$E$16:$N$19,MATCH($E449,'Key Metrics'!$E$16:$E$19,0),MATCH(Z$1,'Key Metrics'!$E$16:$M$16,0)),0)</f>
        <v>0</v>
      </c>
      <c r="AA449" s="9">
        <f t="shared" si="68"/>
        <v>76984.7</v>
      </c>
      <c r="AB449" s="9">
        <f t="shared" si="71"/>
        <v>76985.899819999991</v>
      </c>
    </row>
    <row r="450" spans="1:28" x14ac:dyDescent="0.55000000000000004">
      <c r="A450" t="str">
        <f t="shared" ref="A450:A513" si="72">CONCATENATE(C450," ",D450)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COUNTIF(deals_closed!$D$2:$D$20001,Calculations!B826)</f>
        <v>20</v>
      </c>
      <c r="H450" s="7">
        <f>SUMIF(deals_closed!$D:$D,Calculations!B826,deals_closed!$C:$C)</f>
        <v>751419</v>
      </c>
      <c r="I450" s="5">
        <f>VLOOKUP(E450,'2018_commission_structure'!$A$1:$I$4,9,FALSE)</f>
        <v>600000</v>
      </c>
      <c r="J450" s="9">
        <f t="shared" ref="J450:J513" si="73">I450*1.25</f>
        <v>750000</v>
      </c>
      <c r="K450" s="10">
        <f t="shared" ref="K450:K513" si="74">I450*1.5</f>
        <v>900000</v>
      </c>
      <c r="L450" s="9">
        <f t="shared" ref="L450:L513" si="75">I450*2</f>
        <v>1200000</v>
      </c>
      <c r="M450" s="8">
        <f t="shared" ref="M450:M513" si="76">H450/I450</f>
        <v>1.252365</v>
      </c>
      <c r="N450" t="str">
        <f t="shared" ref="N450:N513" si="77">IF(M450&lt;=100%,"0-100%",IF(M450&lt;=125%,"100-125%",IF(M450&lt;=150%,"125-150%",IF(M450&lt;=200%,"150-200%","&gt;200%"))))</f>
        <v>125-150%</v>
      </c>
      <c r="O450" s="9">
        <f>MIN($H450,$I450)*INDEX('2018_commission_structure'!$A$1:$I$4,MATCH($E450,'2018_commission_structure'!$A$1:$A$4,0),MATCH(O$1,'2018_commission_structure'!$A$1:$I$1,0))</f>
        <v>78000</v>
      </c>
      <c r="P450" s="9">
        <f>IF(H450&gt;I450, MIN(H450-I450, J450-I450)*INDEX('2018_commission_structure'!$A$1:$I$4,MATCH($E450,'2018_commission_structure'!$A$1:$A$4,0),MATCH(P$1,'2018_commission_structure'!$A$1:$I$1,0)),0)</f>
        <v>25500.000000000004</v>
      </c>
      <c r="Q450" s="9">
        <f>IF($H450&gt;J450, MIN($H450-J450, K450-J450)*INDEX('2018_commission_structure'!$A$1:$I$4,MATCH($E450,'2018_commission_structure'!$A$1:$A$4,0),MATCH(Q$1,'2018_commission_structure'!$A$1:$I$1,0)),0)</f>
        <v>297.99</v>
      </c>
      <c r="R450" s="9">
        <f>IF($H450&gt;K450, MIN($H450-K450, L450-K450)*INDEX('2018_commission_structure'!$A$1:$I$4,MATCH($E450,'2018_commission_structure'!$A$1:$A$4,0),MATCH(R$1,'2018_commission_structure'!$A$1:$I$1,0)),0)</f>
        <v>0</v>
      </c>
      <c r="S450" s="9">
        <f>IF(H450&gt;L450,(H450-L450)*INDEX('2018_commission_structure'!$A$1:$I$4,MATCH($E450,'2018_commission_structure'!$A$1:$A$4,0),MATCH(S$1,'2018_commission_structure'!$A$1:$I$1,0)),0)</f>
        <v>0</v>
      </c>
      <c r="T450" s="9">
        <f t="shared" ref="T450:T513" si="78">SUM(O450:S450)</f>
        <v>103797.99</v>
      </c>
      <c r="U450" s="9">
        <f t="shared" si="70"/>
        <v>155329.99</v>
      </c>
      <c r="V450" s="9">
        <f>MIN($I450,$H450)*INDEX('Key Metrics'!$E$16:$N$19,MATCH($E450,'Key Metrics'!$E$16:$E$19,0),MATCH(V$1,'Key Metrics'!$E$16:$M$16,0))</f>
        <v>90000</v>
      </c>
      <c r="W450" s="9">
        <f>IF($H450&gt;I450, MIN($H450-I450, J450-I450)*INDEX('Key Metrics'!$E$16:$N$19,MATCH($E450,'Key Metrics'!$E$16:$E$19,0),MATCH(W$1,'Key Metrics'!$E$16:$M$16,0)),0)</f>
        <v>27000</v>
      </c>
      <c r="X450" s="9">
        <f>IF($H450&gt;J450, MIN($H450-J450, K450-J450)*INDEX('Key Metrics'!$E$16:$N$19,MATCH($E450,'Key Metrics'!$E$16:$E$19,0),MATCH(X$1,'Key Metrics'!$E$16:$M$16,0)),0)</f>
        <v>354.75</v>
      </c>
      <c r="Y450" s="9">
        <f>IF($H450&gt;K450, MIN($H450-K450, L450-K450)*INDEX('Key Metrics'!$E$16:$N$19,MATCH($E450,'Key Metrics'!$E$16:$E$19,0),MATCH(Y$1,'Key Metrics'!$E$16:$M$16,0)),0)</f>
        <v>0</v>
      </c>
      <c r="Z450" s="9">
        <f>IF($H450&gt;L450,($H450-L450)*INDEX('Key Metrics'!$E$16:$N$19,MATCH($E450,'Key Metrics'!$E$16:$E$19,0),MATCH(Z$1,'Key Metrics'!$E$16:$M$16,0)),0)</f>
        <v>0</v>
      </c>
      <c r="AA450" s="9">
        <f t="shared" ref="AA450:AA513" si="79">SUM(V450:Z450)</f>
        <v>117354.75</v>
      </c>
      <c r="AB450" s="9">
        <f t="shared" si="71"/>
        <v>117356.00236499999</v>
      </c>
    </row>
    <row r="451" spans="1:28" x14ac:dyDescent="0.55000000000000004">
      <c r="A451" t="str">
        <f t="shared" si="72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COUNTIF(deals_closed!$D$2:$D$20001,Calculations!B883)</f>
        <v>24</v>
      </c>
      <c r="H451" s="7">
        <f>SUMIF(deals_closed!$D:$D,Calculations!B883,deals_closed!$C:$C)</f>
        <v>862004</v>
      </c>
      <c r="I451" s="5">
        <f>VLOOKUP(E451,'2018_commission_structure'!$A$1:$I$4,9,FALSE)</f>
        <v>600000</v>
      </c>
      <c r="J451" s="9">
        <f t="shared" si="73"/>
        <v>750000</v>
      </c>
      <c r="K451" s="10">
        <f t="shared" si="74"/>
        <v>900000</v>
      </c>
      <c r="L451" s="9">
        <f t="shared" si="75"/>
        <v>1200000</v>
      </c>
      <c r="M451" s="8">
        <f t="shared" si="76"/>
        <v>1.4366733333333332</v>
      </c>
      <c r="N451" t="str">
        <f t="shared" si="77"/>
        <v>125-150%</v>
      </c>
      <c r="O451" s="9">
        <f>MIN($H451,$I451)*INDEX('2018_commission_structure'!$A$1:$I$4,MATCH($E451,'2018_commission_structure'!$A$1:$A$4,0),MATCH(O$1,'2018_commission_structure'!$A$1:$I$1,0))</f>
        <v>78000</v>
      </c>
      <c r="P451" s="9">
        <f>IF(H451&gt;I451, MIN(H451-I451, J451-I451)*INDEX('2018_commission_structure'!$A$1:$I$4,MATCH($E451,'2018_commission_structure'!$A$1:$A$4,0),MATCH(P$1,'2018_commission_structure'!$A$1:$I$1,0)),0)</f>
        <v>25500.000000000004</v>
      </c>
      <c r="Q451" s="9">
        <f>IF($H451&gt;J451, MIN($H451-J451, K451-J451)*INDEX('2018_commission_structure'!$A$1:$I$4,MATCH($E451,'2018_commission_structure'!$A$1:$A$4,0),MATCH(Q$1,'2018_commission_structure'!$A$1:$I$1,0)),0)</f>
        <v>23520.84</v>
      </c>
      <c r="R451" s="9">
        <f>IF($H451&gt;K451, MIN($H451-K451, L451-K451)*INDEX('2018_commission_structure'!$A$1:$I$4,MATCH($E451,'2018_commission_structure'!$A$1:$A$4,0),MATCH(R$1,'2018_commission_structure'!$A$1:$I$1,0)),0)</f>
        <v>0</v>
      </c>
      <c r="S451" s="9">
        <f>IF(H451&gt;L451,(H451-L451)*INDEX('2018_commission_structure'!$A$1:$I$4,MATCH($E451,'2018_commission_structure'!$A$1:$A$4,0),MATCH(S$1,'2018_commission_structure'!$A$1:$I$1,0)),0)</f>
        <v>0</v>
      </c>
      <c r="T451" s="9">
        <f t="shared" si="78"/>
        <v>127020.84</v>
      </c>
      <c r="U451" s="9">
        <f t="shared" si="70"/>
        <v>185129.84</v>
      </c>
      <c r="V451" s="9">
        <f>MIN($I451,$H451)*INDEX('Key Metrics'!$E$16:$N$19,MATCH($E451,'Key Metrics'!$E$16:$E$19,0),MATCH(V$1,'Key Metrics'!$E$16:$M$16,0))</f>
        <v>90000</v>
      </c>
      <c r="W451" s="9">
        <f>IF($H451&gt;I451, MIN($H451-I451, J451-I451)*INDEX('Key Metrics'!$E$16:$N$19,MATCH($E451,'Key Metrics'!$E$16:$E$19,0),MATCH(W$1,'Key Metrics'!$E$16:$M$16,0)),0)</f>
        <v>27000</v>
      </c>
      <c r="X451" s="9">
        <f>IF($H451&gt;J451, MIN($H451-J451, K451-J451)*INDEX('Key Metrics'!$E$16:$N$19,MATCH($E451,'Key Metrics'!$E$16:$E$19,0),MATCH(X$1,'Key Metrics'!$E$16:$M$16,0)),0)</f>
        <v>28001</v>
      </c>
      <c r="Y451" s="9">
        <f>IF($H451&gt;K451, MIN($H451-K451, L451-K451)*INDEX('Key Metrics'!$E$16:$N$19,MATCH($E451,'Key Metrics'!$E$16:$E$19,0),MATCH(Y$1,'Key Metrics'!$E$16:$M$16,0)),0)</f>
        <v>0</v>
      </c>
      <c r="Z451" s="9">
        <f>IF($H451&gt;L451,($H451-L451)*INDEX('Key Metrics'!$E$16:$N$19,MATCH($E451,'Key Metrics'!$E$16:$E$19,0),MATCH(Z$1,'Key Metrics'!$E$16:$M$16,0)),0)</f>
        <v>0</v>
      </c>
      <c r="AA451" s="9">
        <f t="shared" si="79"/>
        <v>145001</v>
      </c>
      <c r="AB451" s="9">
        <f t="shared" si="71"/>
        <v>145002.43667333334</v>
      </c>
    </row>
    <row r="452" spans="1:28" x14ac:dyDescent="0.55000000000000004">
      <c r="A452" t="str">
        <f t="shared" si="72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COUNTIF(deals_closed!$D$2:$D$20001,Calculations!B985)</f>
        <v>20</v>
      </c>
      <c r="H452" s="7">
        <f>SUMIF(deals_closed!$D:$D,Calculations!B985,deals_closed!$C:$C)</f>
        <v>599501</v>
      </c>
      <c r="I452" s="5">
        <f>VLOOKUP(E452,'2018_commission_structure'!$A$1:$I$4,9,FALSE)</f>
        <v>500000</v>
      </c>
      <c r="J452" s="9">
        <f t="shared" si="73"/>
        <v>625000</v>
      </c>
      <c r="K452" s="10">
        <f t="shared" si="74"/>
        <v>750000</v>
      </c>
      <c r="L452" s="9">
        <f t="shared" si="75"/>
        <v>1000000</v>
      </c>
      <c r="M452" s="8">
        <f t="shared" si="76"/>
        <v>1.1990019999999999</v>
      </c>
      <c r="N452" t="str">
        <f t="shared" si="77"/>
        <v>100-125%</v>
      </c>
      <c r="O452" s="9">
        <f>MIN($H452,$I452)*INDEX('2018_commission_structure'!$A$1:$I$4,MATCH($E452,'2018_commission_structure'!$A$1:$A$4,0),MATCH(O$1,'2018_commission_structure'!$A$1:$I$1,0))</f>
        <v>50000</v>
      </c>
      <c r="P452" s="9">
        <f>IF(H452&gt;I452, MIN(H452-I452, J452-I452)*INDEX('2018_commission_structure'!$A$1:$I$4,MATCH($E452,'2018_commission_structure'!$A$1:$A$4,0),MATCH(P$1,'2018_commission_structure'!$A$1:$I$1,0)),0)</f>
        <v>14925.15</v>
      </c>
      <c r="Q452" s="9">
        <f>IF($H452&gt;J452, MIN($H452-J452, K452-J452)*INDEX('2018_commission_structure'!$A$1:$I$4,MATCH($E452,'2018_commission_structure'!$A$1:$A$4,0),MATCH(Q$1,'2018_commission_structure'!$A$1:$I$1,0)),0)</f>
        <v>0</v>
      </c>
      <c r="R452" s="9">
        <f>IF($H452&gt;K452, MIN($H452-K452, L452-K452)*INDEX('2018_commission_structure'!$A$1:$I$4,MATCH($E452,'2018_commission_structure'!$A$1:$A$4,0),MATCH(R$1,'2018_commission_structure'!$A$1:$I$1,0)),0)</f>
        <v>0</v>
      </c>
      <c r="S452" s="9">
        <f>IF(H452&gt;L452,(H452-L452)*INDEX('2018_commission_structure'!$A$1:$I$4,MATCH($E452,'2018_commission_structure'!$A$1:$A$4,0),MATCH(S$1,'2018_commission_structure'!$A$1:$I$1,0)),0)</f>
        <v>0</v>
      </c>
      <c r="T452" s="9">
        <f t="shared" si="78"/>
        <v>64925.15</v>
      </c>
      <c r="U452" s="9">
        <f t="shared" si="70"/>
        <v>125927.15</v>
      </c>
      <c r="V452" s="9">
        <f>MIN($I452,$H452)*INDEX('Key Metrics'!$E$16:$N$19,MATCH($E452,'Key Metrics'!$E$16:$E$19,0),MATCH(V$1,'Key Metrics'!$E$16:$M$16,0))</f>
        <v>60000</v>
      </c>
      <c r="W452" s="9">
        <f>IF($H452&gt;I452, MIN($H452-I452, J452-I452)*INDEX('Key Metrics'!$E$16:$N$19,MATCH($E452,'Key Metrics'!$E$16:$E$19,0),MATCH(W$1,'Key Metrics'!$E$16:$M$16,0)),0)</f>
        <v>16915.170000000002</v>
      </c>
      <c r="X452" s="9">
        <f>IF($H452&gt;J452, MIN($H452-J452, K452-J452)*INDEX('Key Metrics'!$E$16:$N$19,MATCH($E452,'Key Metrics'!$E$16:$E$19,0),MATCH(X$1,'Key Metrics'!$E$16:$M$16,0)),0)</f>
        <v>0</v>
      </c>
      <c r="Y452" s="9">
        <f>IF($H452&gt;K452, MIN($H452-K452, L452-K452)*INDEX('Key Metrics'!$E$16:$N$19,MATCH($E452,'Key Metrics'!$E$16:$E$19,0),MATCH(Y$1,'Key Metrics'!$E$16:$M$16,0)),0)</f>
        <v>0</v>
      </c>
      <c r="Z452" s="9">
        <f>IF($H452&gt;L452,($H452-L452)*INDEX('Key Metrics'!$E$16:$N$19,MATCH($E452,'Key Metrics'!$E$16:$E$19,0),MATCH(Z$1,'Key Metrics'!$E$16:$M$16,0)),0)</f>
        <v>0</v>
      </c>
      <c r="AA452" s="9">
        <f t="shared" si="79"/>
        <v>76915.17</v>
      </c>
      <c r="AB452" s="9">
        <f t="shared" si="71"/>
        <v>76916.369001999992</v>
      </c>
    </row>
    <row r="453" spans="1:28" x14ac:dyDescent="0.55000000000000004">
      <c r="A453" t="str">
        <f t="shared" si="72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COUNTIF(deals_closed!$D$2:$D$20001,Calculations!B300)</f>
        <v>26</v>
      </c>
      <c r="H453" s="7">
        <f>SUMIF(deals_closed!$D:$D,Calculations!B300,deals_closed!$C:$C)</f>
        <v>805390</v>
      </c>
      <c r="I453" s="5">
        <f>VLOOKUP(E453,'2018_commission_structure'!$A$1:$I$4,9,FALSE)</f>
        <v>600000</v>
      </c>
      <c r="J453" s="9">
        <f t="shared" si="73"/>
        <v>750000</v>
      </c>
      <c r="K453" s="10">
        <f t="shared" si="74"/>
        <v>900000</v>
      </c>
      <c r="L453" s="9">
        <f t="shared" si="75"/>
        <v>1200000</v>
      </c>
      <c r="M453" s="8">
        <f t="shared" si="76"/>
        <v>1.3423166666666666</v>
      </c>
      <c r="N453" t="str">
        <f t="shared" si="77"/>
        <v>125-150%</v>
      </c>
      <c r="O453" s="9">
        <f>MIN($H453,$I453)*INDEX('2018_commission_structure'!$A$1:$I$4,MATCH($E453,'2018_commission_structure'!$A$1:$A$4,0),MATCH(O$1,'2018_commission_structure'!$A$1:$I$1,0))</f>
        <v>78000</v>
      </c>
      <c r="P453" s="9">
        <f>IF(H453&gt;I453, MIN(H453-I453, J453-I453)*INDEX('2018_commission_structure'!$A$1:$I$4,MATCH($E453,'2018_commission_structure'!$A$1:$A$4,0),MATCH(P$1,'2018_commission_structure'!$A$1:$I$1,0)),0)</f>
        <v>25500.000000000004</v>
      </c>
      <c r="Q453" s="9">
        <f>IF($H453&gt;J453, MIN($H453-J453, K453-J453)*INDEX('2018_commission_structure'!$A$1:$I$4,MATCH($E453,'2018_commission_structure'!$A$1:$A$4,0),MATCH(Q$1,'2018_commission_structure'!$A$1:$I$1,0)),0)</f>
        <v>11631.9</v>
      </c>
      <c r="R453" s="9">
        <f>IF($H453&gt;K453, MIN($H453-K453, L453-K453)*INDEX('2018_commission_structure'!$A$1:$I$4,MATCH($E453,'2018_commission_structure'!$A$1:$A$4,0),MATCH(R$1,'2018_commission_structure'!$A$1:$I$1,0)),0)</f>
        <v>0</v>
      </c>
      <c r="S453" s="9">
        <f>IF(H453&gt;L453,(H453-L453)*INDEX('2018_commission_structure'!$A$1:$I$4,MATCH($E453,'2018_commission_structure'!$A$1:$A$4,0),MATCH(S$1,'2018_commission_structure'!$A$1:$I$1,0)),0)</f>
        <v>0</v>
      </c>
      <c r="T453" s="9">
        <f t="shared" si="78"/>
        <v>115131.9</v>
      </c>
      <c r="U453" s="9">
        <f t="shared" si="70"/>
        <v>165182.9</v>
      </c>
      <c r="V453" s="9">
        <f>MIN($I453,$H453)*INDEX('Key Metrics'!$E$16:$N$19,MATCH($E453,'Key Metrics'!$E$16:$E$19,0),MATCH(V$1,'Key Metrics'!$E$16:$M$16,0))</f>
        <v>90000</v>
      </c>
      <c r="W453" s="9">
        <f>IF($H453&gt;I453, MIN($H453-I453, J453-I453)*INDEX('Key Metrics'!$E$16:$N$19,MATCH($E453,'Key Metrics'!$E$16:$E$19,0),MATCH(W$1,'Key Metrics'!$E$16:$M$16,0)),0)</f>
        <v>27000</v>
      </c>
      <c r="X453" s="9">
        <f>IF($H453&gt;J453, MIN($H453-J453, K453-J453)*INDEX('Key Metrics'!$E$16:$N$19,MATCH($E453,'Key Metrics'!$E$16:$E$19,0),MATCH(X$1,'Key Metrics'!$E$16:$M$16,0)),0)</f>
        <v>13847.5</v>
      </c>
      <c r="Y453" s="9">
        <f>IF($H453&gt;K453, MIN($H453-K453, L453-K453)*INDEX('Key Metrics'!$E$16:$N$19,MATCH($E453,'Key Metrics'!$E$16:$E$19,0),MATCH(Y$1,'Key Metrics'!$E$16:$M$16,0)),0)</f>
        <v>0</v>
      </c>
      <c r="Z453" s="9">
        <f>IF($H453&gt;L453,($H453-L453)*INDEX('Key Metrics'!$E$16:$N$19,MATCH($E453,'Key Metrics'!$E$16:$E$19,0),MATCH(Z$1,'Key Metrics'!$E$16:$M$16,0)),0)</f>
        <v>0</v>
      </c>
      <c r="AA453" s="9">
        <f t="shared" si="79"/>
        <v>130847.5</v>
      </c>
      <c r="AB453" s="9">
        <f t="shared" si="71"/>
        <v>130848.84231666666</v>
      </c>
    </row>
    <row r="454" spans="1:28" x14ac:dyDescent="0.55000000000000004">
      <c r="A454" t="str">
        <f t="shared" si="72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COUNTIF(deals_closed!$D$2:$D$20001,Calculations!B534)</f>
        <v>20</v>
      </c>
      <c r="H454" s="7">
        <f>SUMIF(deals_closed!$D:$D,Calculations!B534,deals_closed!$C:$C)</f>
        <v>668997</v>
      </c>
      <c r="I454" s="5">
        <f>VLOOKUP(E454,'2018_commission_structure'!$A$1:$I$4,9,FALSE)</f>
        <v>750000</v>
      </c>
      <c r="J454" s="9">
        <f t="shared" si="73"/>
        <v>937500</v>
      </c>
      <c r="K454" s="10">
        <f t="shared" si="74"/>
        <v>1125000</v>
      </c>
      <c r="L454" s="9">
        <f t="shared" si="75"/>
        <v>1500000</v>
      </c>
      <c r="M454" s="8">
        <f t="shared" si="76"/>
        <v>0.89199600000000001</v>
      </c>
      <c r="N454" t="str">
        <f t="shared" si="77"/>
        <v>0-100%</v>
      </c>
      <c r="O454" s="9">
        <f>MIN($H454,$I454)*INDEX('2018_commission_structure'!$A$1:$I$4,MATCH($E454,'2018_commission_structure'!$A$1:$A$4,0),MATCH(O$1,'2018_commission_structure'!$A$1:$I$1,0))</f>
        <v>100349.55</v>
      </c>
      <c r="P454" s="9">
        <f>IF(H454&gt;I454, MIN(H454-I454, J454-I454)*INDEX('2018_commission_structure'!$A$1:$I$4,MATCH($E454,'2018_commission_structure'!$A$1:$A$4,0),MATCH(P$1,'2018_commission_structure'!$A$1:$I$1,0)),0)</f>
        <v>0</v>
      </c>
      <c r="Q454" s="9">
        <f>IF($H454&gt;J454, MIN($H454-J454, K454-J454)*INDEX('2018_commission_structure'!$A$1:$I$4,MATCH($E454,'2018_commission_structure'!$A$1:$A$4,0),MATCH(Q$1,'2018_commission_structure'!$A$1:$I$1,0)),0)</f>
        <v>0</v>
      </c>
      <c r="R454" s="9">
        <f>IF($H454&gt;K454, MIN($H454-K454, L454-K454)*INDEX('2018_commission_structure'!$A$1:$I$4,MATCH($E454,'2018_commission_structure'!$A$1:$A$4,0),MATCH(R$1,'2018_commission_structure'!$A$1:$I$1,0)),0)</f>
        <v>0</v>
      </c>
      <c r="S454" s="9">
        <f>IF(H454&gt;L454,(H454-L454)*INDEX('2018_commission_structure'!$A$1:$I$4,MATCH($E454,'2018_commission_structure'!$A$1:$A$4,0),MATCH(S$1,'2018_commission_structure'!$A$1:$I$1,0)),0)</f>
        <v>0</v>
      </c>
      <c r="T454" s="9">
        <f t="shared" si="78"/>
        <v>100349.55</v>
      </c>
      <c r="U454" s="9">
        <f t="shared" si="70"/>
        <v>201891.55</v>
      </c>
      <c r="V454" s="9">
        <f>MIN($I454,$H454)*INDEX('Key Metrics'!$E$16:$N$19,MATCH($E454,'Key Metrics'!$E$16:$E$19,0),MATCH(V$1,'Key Metrics'!$E$16:$M$16,0))</f>
        <v>100349.55</v>
      </c>
      <c r="W454" s="9">
        <f>IF($H454&gt;I454, MIN($H454-I454, J454-I454)*INDEX('Key Metrics'!$E$16:$N$19,MATCH($E454,'Key Metrics'!$E$16:$E$19,0),MATCH(W$1,'Key Metrics'!$E$16:$M$16,0)),0)</f>
        <v>0</v>
      </c>
      <c r="X454" s="9">
        <f>IF($H454&gt;J454, MIN($H454-J454, K454-J454)*INDEX('Key Metrics'!$E$16:$N$19,MATCH($E454,'Key Metrics'!$E$16:$E$19,0),MATCH(X$1,'Key Metrics'!$E$16:$M$16,0)),0)</f>
        <v>0</v>
      </c>
      <c r="Y454" s="9">
        <f>IF($H454&gt;K454, MIN($H454-K454, L454-K454)*INDEX('Key Metrics'!$E$16:$N$19,MATCH($E454,'Key Metrics'!$E$16:$E$19,0),MATCH(Y$1,'Key Metrics'!$E$16:$M$16,0)),0)</f>
        <v>0</v>
      </c>
      <c r="Z454" s="9">
        <f>IF($H454&gt;L454,($H454-L454)*INDEX('Key Metrics'!$E$16:$N$19,MATCH($E454,'Key Metrics'!$E$16:$E$19,0),MATCH(Z$1,'Key Metrics'!$E$16:$M$16,0)),0)</f>
        <v>0</v>
      </c>
      <c r="AA454" s="9">
        <f t="shared" si="79"/>
        <v>100349.55</v>
      </c>
      <c r="AB454" s="9">
        <f t="shared" si="71"/>
        <v>100350.44199600001</v>
      </c>
    </row>
    <row r="455" spans="1:28" x14ac:dyDescent="0.55000000000000004">
      <c r="A455" t="str">
        <f t="shared" si="72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COUNTIF(deals_closed!$D$2:$D$20001,Calculations!B507)</f>
        <v>20</v>
      </c>
      <c r="H455" s="7">
        <f>SUMIF(deals_closed!$D:$D,Calculations!B507,deals_closed!$C:$C)</f>
        <v>737684</v>
      </c>
      <c r="I455" s="5">
        <f>VLOOKUP(E455,'2018_commission_structure'!$A$1:$I$4,9,FALSE)</f>
        <v>500000</v>
      </c>
      <c r="J455" s="9">
        <f t="shared" si="73"/>
        <v>625000</v>
      </c>
      <c r="K455" s="10">
        <f t="shared" si="74"/>
        <v>750000</v>
      </c>
      <c r="L455" s="9">
        <f t="shared" si="75"/>
        <v>1000000</v>
      </c>
      <c r="M455" s="8">
        <f t="shared" si="76"/>
        <v>1.475368</v>
      </c>
      <c r="N455" t="str">
        <f t="shared" si="77"/>
        <v>125-150%</v>
      </c>
      <c r="O455" s="9">
        <f>MIN($H455,$I455)*INDEX('2018_commission_structure'!$A$1:$I$4,MATCH($E455,'2018_commission_structure'!$A$1:$A$4,0),MATCH(O$1,'2018_commission_structure'!$A$1:$I$1,0))</f>
        <v>50000</v>
      </c>
      <c r="P455" s="9">
        <f>IF(H455&gt;I455, MIN(H455-I455, J455-I455)*INDEX('2018_commission_structure'!$A$1:$I$4,MATCH($E455,'2018_commission_structure'!$A$1:$A$4,0),MATCH(P$1,'2018_commission_structure'!$A$1:$I$1,0)),0)</f>
        <v>18750</v>
      </c>
      <c r="Q455" s="9">
        <f>IF($H455&gt;J455, MIN($H455-J455, K455-J455)*INDEX('2018_commission_structure'!$A$1:$I$4,MATCH($E455,'2018_commission_structure'!$A$1:$A$4,0),MATCH(Q$1,'2018_commission_structure'!$A$1:$I$1,0)),0)</f>
        <v>20283.12</v>
      </c>
      <c r="R455" s="9">
        <f>IF($H455&gt;K455, MIN($H455-K455, L455-K455)*INDEX('2018_commission_structure'!$A$1:$I$4,MATCH($E455,'2018_commission_structure'!$A$1:$A$4,0),MATCH(R$1,'2018_commission_structure'!$A$1:$I$1,0)),0)</f>
        <v>0</v>
      </c>
      <c r="S455" s="9">
        <f>IF(H455&gt;L455,(H455-L455)*INDEX('2018_commission_structure'!$A$1:$I$4,MATCH($E455,'2018_commission_structure'!$A$1:$A$4,0),MATCH(S$1,'2018_commission_structure'!$A$1:$I$1,0)),0)</f>
        <v>0</v>
      </c>
      <c r="T455" s="9">
        <f t="shared" si="78"/>
        <v>89033.12</v>
      </c>
      <c r="U455" s="9">
        <f t="shared" si="70"/>
        <v>147481.12</v>
      </c>
      <c r="V455" s="9">
        <f>MIN($I455,$H455)*INDEX('Key Metrics'!$E$16:$N$19,MATCH($E455,'Key Metrics'!$E$16:$E$19,0),MATCH(V$1,'Key Metrics'!$E$16:$M$16,0))</f>
        <v>60000</v>
      </c>
      <c r="W455" s="9">
        <f>IF($H455&gt;I455, MIN($H455-I455, J455-I455)*INDEX('Key Metrics'!$E$16:$N$19,MATCH($E455,'Key Metrics'!$E$16:$E$19,0),MATCH(W$1,'Key Metrics'!$E$16:$M$16,0)),0)</f>
        <v>21250</v>
      </c>
      <c r="X455" s="9">
        <f>IF($H455&gt;J455, MIN($H455-J455, K455-J455)*INDEX('Key Metrics'!$E$16:$N$19,MATCH($E455,'Key Metrics'!$E$16:$E$19,0),MATCH(X$1,'Key Metrics'!$E$16:$M$16,0)),0)</f>
        <v>22536.800000000003</v>
      </c>
      <c r="Y455" s="9">
        <f>IF($H455&gt;K455, MIN($H455-K455, L455-K455)*INDEX('Key Metrics'!$E$16:$N$19,MATCH($E455,'Key Metrics'!$E$16:$E$19,0),MATCH(Y$1,'Key Metrics'!$E$16:$M$16,0)),0)</f>
        <v>0</v>
      </c>
      <c r="Z455" s="9">
        <f>IF($H455&gt;L455,($H455-L455)*INDEX('Key Metrics'!$E$16:$N$19,MATCH($E455,'Key Metrics'!$E$16:$E$19,0),MATCH(Z$1,'Key Metrics'!$E$16:$M$16,0)),0)</f>
        <v>0</v>
      </c>
      <c r="AA455" s="9">
        <f t="shared" si="79"/>
        <v>103786.8</v>
      </c>
      <c r="AB455" s="9">
        <f t="shared" si="71"/>
        <v>103788.275368</v>
      </c>
    </row>
    <row r="456" spans="1:28" x14ac:dyDescent="0.55000000000000004">
      <c r="A456" t="str">
        <f t="shared" si="72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COUNTIF(deals_closed!$D$2:$D$20001,Calculations!B227)</f>
        <v>19</v>
      </c>
      <c r="H456" s="7">
        <f>SUMIF(deals_closed!$D:$D,Calculations!B227,deals_closed!$C:$C)</f>
        <v>674298</v>
      </c>
      <c r="I456" s="5">
        <f>VLOOKUP(E456,'2018_commission_structure'!$A$1:$I$4,9,FALSE)</f>
        <v>600000</v>
      </c>
      <c r="J456" s="9">
        <f t="shared" si="73"/>
        <v>750000</v>
      </c>
      <c r="K456" s="10">
        <f t="shared" si="74"/>
        <v>900000</v>
      </c>
      <c r="L456" s="9">
        <f t="shared" si="75"/>
        <v>1200000</v>
      </c>
      <c r="M456" s="8">
        <f t="shared" si="76"/>
        <v>1.1238300000000001</v>
      </c>
      <c r="N456" t="str">
        <f t="shared" si="77"/>
        <v>100-125%</v>
      </c>
      <c r="O456" s="9">
        <f>MIN($H456,$I456)*INDEX('2018_commission_structure'!$A$1:$I$4,MATCH($E456,'2018_commission_structure'!$A$1:$A$4,0),MATCH(O$1,'2018_commission_structure'!$A$1:$I$1,0))</f>
        <v>78000</v>
      </c>
      <c r="P456" s="9">
        <f>IF(H456&gt;I456, MIN(H456-I456, J456-I456)*INDEX('2018_commission_structure'!$A$1:$I$4,MATCH($E456,'2018_commission_structure'!$A$1:$A$4,0),MATCH(P$1,'2018_commission_structure'!$A$1:$I$1,0)),0)</f>
        <v>12630.660000000002</v>
      </c>
      <c r="Q456" s="9">
        <f>IF($H456&gt;J456, MIN($H456-J456, K456-J456)*INDEX('2018_commission_structure'!$A$1:$I$4,MATCH($E456,'2018_commission_structure'!$A$1:$A$4,0),MATCH(Q$1,'2018_commission_structure'!$A$1:$I$1,0)),0)</f>
        <v>0</v>
      </c>
      <c r="R456" s="9">
        <f>IF($H456&gt;K456, MIN($H456-K456, L456-K456)*INDEX('2018_commission_structure'!$A$1:$I$4,MATCH($E456,'2018_commission_structure'!$A$1:$A$4,0),MATCH(R$1,'2018_commission_structure'!$A$1:$I$1,0)),0)</f>
        <v>0</v>
      </c>
      <c r="S456" s="9">
        <f>IF(H456&gt;L456,(H456-L456)*INDEX('2018_commission_structure'!$A$1:$I$4,MATCH($E456,'2018_commission_structure'!$A$1:$A$4,0),MATCH(S$1,'2018_commission_structure'!$A$1:$I$1,0)),0)</f>
        <v>0</v>
      </c>
      <c r="T456" s="9">
        <f t="shared" si="78"/>
        <v>90630.66</v>
      </c>
      <c r="U456" s="9">
        <f t="shared" si="70"/>
        <v>154707.66</v>
      </c>
      <c r="V456" s="9">
        <f>MIN($I456,$H456)*INDEX('Key Metrics'!$E$16:$N$19,MATCH($E456,'Key Metrics'!$E$16:$E$19,0),MATCH(V$1,'Key Metrics'!$E$16:$M$16,0))</f>
        <v>90000</v>
      </c>
      <c r="W456" s="9">
        <f>IF($H456&gt;I456, MIN($H456-I456, J456-I456)*INDEX('Key Metrics'!$E$16:$N$19,MATCH($E456,'Key Metrics'!$E$16:$E$19,0),MATCH(W$1,'Key Metrics'!$E$16:$M$16,0)),0)</f>
        <v>13373.64</v>
      </c>
      <c r="X456" s="9">
        <f>IF($H456&gt;J456, MIN($H456-J456, K456-J456)*INDEX('Key Metrics'!$E$16:$N$19,MATCH($E456,'Key Metrics'!$E$16:$E$19,0),MATCH(X$1,'Key Metrics'!$E$16:$M$16,0)),0)</f>
        <v>0</v>
      </c>
      <c r="Y456" s="9">
        <f>IF($H456&gt;K456, MIN($H456-K456, L456-K456)*INDEX('Key Metrics'!$E$16:$N$19,MATCH($E456,'Key Metrics'!$E$16:$E$19,0),MATCH(Y$1,'Key Metrics'!$E$16:$M$16,0)),0)</f>
        <v>0</v>
      </c>
      <c r="Z456" s="9">
        <f>IF($H456&gt;L456,($H456-L456)*INDEX('Key Metrics'!$E$16:$N$19,MATCH($E456,'Key Metrics'!$E$16:$E$19,0),MATCH(Z$1,'Key Metrics'!$E$16:$M$16,0)),0)</f>
        <v>0</v>
      </c>
      <c r="AA456" s="9">
        <f t="shared" si="79"/>
        <v>103373.64</v>
      </c>
      <c r="AB456" s="9">
        <f t="shared" si="71"/>
        <v>103374.76383</v>
      </c>
    </row>
    <row r="457" spans="1:28" x14ac:dyDescent="0.55000000000000004">
      <c r="A457" t="str">
        <f t="shared" si="72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COUNTIF(deals_closed!$D$2:$D$20001,Calculations!B455)</f>
        <v>17</v>
      </c>
      <c r="H457" s="7">
        <f>SUMIF(deals_closed!$D:$D,Calculations!B455,deals_closed!$C:$C)</f>
        <v>545501</v>
      </c>
      <c r="I457" s="5">
        <f>VLOOKUP(E457,'2018_commission_structure'!$A$1:$I$4,9,FALSE)</f>
        <v>600000</v>
      </c>
      <c r="J457" s="9">
        <f t="shared" si="73"/>
        <v>750000</v>
      </c>
      <c r="K457" s="10">
        <f t="shared" si="74"/>
        <v>900000</v>
      </c>
      <c r="L457" s="9">
        <f t="shared" si="75"/>
        <v>1200000</v>
      </c>
      <c r="M457" s="8">
        <f t="shared" si="76"/>
        <v>0.90916833333333336</v>
      </c>
      <c r="N457" t="str">
        <f t="shared" si="77"/>
        <v>0-100%</v>
      </c>
      <c r="O457" s="9">
        <f>MIN($H457,$I457)*INDEX('2018_commission_structure'!$A$1:$I$4,MATCH($E457,'2018_commission_structure'!$A$1:$A$4,0),MATCH(O$1,'2018_commission_structure'!$A$1:$I$1,0))</f>
        <v>70915.13</v>
      </c>
      <c r="P457" s="9">
        <f>IF(H457&gt;I457, MIN(H457-I457, J457-I457)*INDEX('2018_commission_structure'!$A$1:$I$4,MATCH($E457,'2018_commission_structure'!$A$1:$A$4,0),MATCH(P$1,'2018_commission_structure'!$A$1:$I$1,0)),0)</f>
        <v>0</v>
      </c>
      <c r="Q457" s="9">
        <f>IF($H457&gt;J457, MIN($H457-J457, K457-J457)*INDEX('2018_commission_structure'!$A$1:$I$4,MATCH($E457,'2018_commission_structure'!$A$1:$A$4,0),MATCH(Q$1,'2018_commission_structure'!$A$1:$I$1,0)),0)</f>
        <v>0</v>
      </c>
      <c r="R457" s="9">
        <f>IF($H457&gt;K457, MIN($H457-K457, L457-K457)*INDEX('2018_commission_structure'!$A$1:$I$4,MATCH($E457,'2018_commission_structure'!$A$1:$A$4,0),MATCH(R$1,'2018_commission_structure'!$A$1:$I$1,0)),0)</f>
        <v>0</v>
      </c>
      <c r="S457" s="9">
        <f>IF(H457&gt;L457,(H457-L457)*INDEX('2018_commission_structure'!$A$1:$I$4,MATCH($E457,'2018_commission_structure'!$A$1:$A$4,0),MATCH(S$1,'2018_commission_structure'!$A$1:$I$1,0)),0)</f>
        <v>0</v>
      </c>
      <c r="T457" s="9">
        <f t="shared" si="78"/>
        <v>70915.13</v>
      </c>
      <c r="U457" s="9">
        <f t="shared" si="70"/>
        <v>144423.13</v>
      </c>
      <c r="V457" s="9">
        <f>MIN($I457,$H457)*INDEX('Key Metrics'!$E$16:$N$19,MATCH($E457,'Key Metrics'!$E$16:$E$19,0),MATCH(V$1,'Key Metrics'!$E$16:$M$16,0))</f>
        <v>81825.149999999994</v>
      </c>
      <c r="W457" s="9">
        <f>IF($H457&gt;I457, MIN($H457-I457, J457-I457)*INDEX('Key Metrics'!$E$16:$N$19,MATCH($E457,'Key Metrics'!$E$16:$E$19,0),MATCH(W$1,'Key Metrics'!$E$16:$M$16,0)),0)</f>
        <v>0</v>
      </c>
      <c r="X457" s="9">
        <f>IF($H457&gt;J457, MIN($H457-J457, K457-J457)*INDEX('Key Metrics'!$E$16:$N$19,MATCH($E457,'Key Metrics'!$E$16:$E$19,0),MATCH(X$1,'Key Metrics'!$E$16:$M$16,0)),0)</f>
        <v>0</v>
      </c>
      <c r="Y457" s="9">
        <f>IF($H457&gt;K457, MIN($H457-K457, L457-K457)*INDEX('Key Metrics'!$E$16:$N$19,MATCH($E457,'Key Metrics'!$E$16:$E$19,0),MATCH(Y$1,'Key Metrics'!$E$16:$M$16,0)),0)</f>
        <v>0</v>
      </c>
      <c r="Z457" s="9">
        <f>IF($H457&gt;L457,($H457-L457)*INDEX('Key Metrics'!$E$16:$N$19,MATCH($E457,'Key Metrics'!$E$16:$E$19,0),MATCH(Z$1,'Key Metrics'!$E$16:$M$16,0)),0)</f>
        <v>0</v>
      </c>
      <c r="AA457" s="9">
        <f t="shared" si="79"/>
        <v>81825.149999999994</v>
      </c>
      <c r="AB457" s="9">
        <f t="shared" si="71"/>
        <v>81826.059168333333</v>
      </c>
    </row>
    <row r="458" spans="1:28" x14ac:dyDescent="0.55000000000000004">
      <c r="A458" t="str">
        <f t="shared" si="72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COUNTIF(deals_closed!$D$2:$D$20001,Calculations!B361)</f>
        <v>28</v>
      </c>
      <c r="H458" s="7">
        <f>SUMIF(deals_closed!$D:$D,Calculations!B361,deals_closed!$C:$C)</f>
        <v>914088</v>
      </c>
      <c r="I458" s="5">
        <f>VLOOKUP(E458,'2018_commission_structure'!$A$1:$I$4,9,FALSE)</f>
        <v>500000</v>
      </c>
      <c r="J458" s="9">
        <f t="shared" si="73"/>
        <v>625000</v>
      </c>
      <c r="K458" s="10">
        <f t="shared" si="74"/>
        <v>750000</v>
      </c>
      <c r="L458" s="9">
        <f t="shared" si="75"/>
        <v>1000000</v>
      </c>
      <c r="M458" s="8">
        <f t="shared" si="76"/>
        <v>1.828176</v>
      </c>
      <c r="N458" t="str">
        <f t="shared" si="77"/>
        <v>150-200%</v>
      </c>
      <c r="O458" s="9">
        <f>MIN($H458,$I458)*INDEX('2018_commission_structure'!$A$1:$I$4,MATCH($E458,'2018_commission_structure'!$A$1:$A$4,0),MATCH(O$1,'2018_commission_structure'!$A$1:$I$1,0))</f>
        <v>50000</v>
      </c>
      <c r="P458" s="9">
        <f>IF(H458&gt;I458, MIN(H458-I458, J458-I458)*INDEX('2018_commission_structure'!$A$1:$I$4,MATCH($E458,'2018_commission_structure'!$A$1:$A$4,0),MATCH(P$1,'2018_commission_structure'!$A$1:$I$1,0)),0)</f>
        <v>18750</v>
      </c>
      <c r="Q458" s="9">
        <f>IF($H458&gt;J458, MIN($H458-J458, K458-J458)*INDEX('2018_commission_structure'!$A$1:$I$4,MATCH($E458,'2018_commission_structure'!$A$1:$A$4,0),MATCH(Q$1,'2018_commission_structure'!$A$1:$I$1,0)),0)</f>
        <v>22500</v>
      </c>
      <c r="R458" s="9">
        <f>IF($H458&gt;K458, MIN($H458-K458, L458-K458)*INDEX('2018_commission_structure'!$A$1:$I$4,MATCH($E458,'2018_commission_structure'!$A$1:$A$4,0),MATCH(R$1,'2018_commission_structure'!$A$1:$I$1,0)),0)</f>
        <v>36099.360000000001</v>
      </c>
      <c r="S458" s="9">
        <f>IF(H458&gt;L458,(H458-L458)*INDEX('2018_commission_structure'!$A$1:$I$4,MATCH($E458,'2018_commission_structure'!$A$1:$A$4,0),MATCH(S$1,'2018_commission_structure'!$A$1:$I$1,0)),0)</f>
        <v>0</v>
      </c>
      <c r="T458" s="9">
        <f t="shared" si="78"/>
        <v>127349.36</v>
      </c>
      <c r="U458" s="9">
        <f t="shared" si="70"/>
        <v>159666.35999999999</v>
      </c>
      <c r="V458" s="9">
        <f>MIN($I458,$H458)*INDEX('Key Metrics'!$E$16:$N$19,MATCH($E458,'Key Metrics'!$E$16:$E$19,0),MATCH(V$1,'Key Metrics'!$E$16:$M$16,0))</f>
        <v>60000</v>
      </c>
      <c r="W458" s="9">
        <f>IF($H458&gt;I458, MIN($H458-I458, J458-I458)*INDEX('Key Metrics'!$E$16:$N$19,MATCH($E458,'Key Metrics'!$E$16:$E$19,0),MATCH(W$1,'Key Metrics'!$E$16:$M$16,0)),0)</f>
        <v>21250</v>
      </c>
      <c r="X458" s="9">
        <f>IF($H458&gt;J458, MIN($H458-J458, K458-J458)*INDEX('Key Metrics'!$E$16:$N$19,MATCH($E458,'Key Metrics'!$E$16:$E$19,0),MATCH(X$1,'Key Metrics'!$E$16:$M$16,0)),0)</f>
        <v>25000</v>
      </c>
      <c r="Y458" s="9">
        <f>IF($H458&gt;K458, MIN($H458-K458, L458-K458)*INDEX('Key Metrics'!$E$16:$N$19,MATCH($E458,'Key Metrics'!$E$16:$E$19,0),MATCH(Y$1,'Key Metrics'!$E$16:$M$16,0)),0)</f>
        <v>36099.360000000001</v>
      </c>
      <c r="Z458" s="9">
        <f>IF($H458&gt;L458,($H458-L458)*INDEX('Key Metrics'!$E$16:$N$19,MATCH($E458,'Key Metrics'!$E$16:$E$19,0),MATCH(Z$1,'Key Metrics'!$E$16:$M$16,0)),0)</f>
        <v>0</v>
      </c>
      <c r="AA458" s="9">
        <f t="shared" si="79"/>
        <v>142349.35999999999</v>
      </c>
      <c r="AB458" s="9">
        <f t="shared" si="71"/>
        <v>142351.188176</v>
      </c>
    </row>
    <row r="459" spans="1:28" x14ac:dyDescent="0.55000000000000004">
      <c r="A459" t="str">
        <f t="shared" si="72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COUNTIF(deals_closed!$D$2:$D$20001,Calculations!B591)</f>
        <v>11</v>
      </c>
      <c r="H459" s="7">
        <f>SUMIF(deals_closed!$D:$D,Calculations!B591,deals_closed!$C:$C)</f>
        <v>373695</v>
      </c>
      <c r="I459" s="5">
        <f>VLOOKUP(E459,'2018_commission_structure'!$A$1:$I$4,9,FALSE)</f>
        <v>750000</v>
      </c>
      <c r="J459" s="9">
        <f t="shared" si="73"/>
        <v>937500</v>
      </c>
      <c r="K459" s="10">
        <f t="shared" si="74"/>
        <v>1125000</v>
      </c>
      <c r="L459" s="9">
        <f t="shared" si="75"/>
        <v>1500000</v>
      </c>
      <c r="M459" s="8">
        <f t="shared" si="76"/>
        <v>0.49825999999999998</v>
      </c>
      <c r="N459" t="str">
        <f t="shared" si="77"/>
        <v>0-100%</v>
      </c>
      <c r="O459" s="9">
        <f>MIN($H459,$I459)*INDEX('2018_commission_structure'!$A$1:$I$4,MATCH($E459,'2018_commission_structure'!$A$1:$A$4,0),MATCH(O$1,'2018_commission_structure'!$A$1:$I$1,0))</f>
        <v>56054.25</v>
      </c>
      <c r="P459" s="9">
        <f>IF(H459&gt;I459, MIN(H459-I459, J459-I459)*INDEX('2018_commission_structure'!$A$1:$I$4,MATCH($E459,'2018_commission_structure'!$A$1:$A$4,0),MATCH(P$1,'2018_commission_structure'!$A$1:$I$1,0)),0)</f>
        <v>0</v>
      </c>
      <c r="Q459" s="9">
        <f>IF($H459&gt;J459, MIN($H459-J459, K459-J459)*INDEX('2018_commission_structure'!$A$1:$I$4,MATCH($E459,'2018_commission_structure'!$A$1:$A$4,0),MATCH(Q$1,'2018_commission_structure'!$A$1:$I$1,0)),0)</f>
        <v>0</v>
      </c>
      <c r="R459" s="9">
        <f>IF($H459&gt;K459, MIN($H459-K459, L459-K459)*INDEX('2018_commission_structure'!$A$1:$I$4,MATCH($E459,'2018_commission_structure'!$A$1:$A$4,0),MATCH(R$1,'2018_commission_structure'!$A$1:$I$1,0)),0)</f>
        <v>0</v>
      </c>
      <c r="S459" s="9">
        <f>IF(H459&gt;L459,(H459-L459)*INDEX('2018_commission_structure'!$A$1:$I$4,MATCH($E459,'2018_commission_structure'!$A$1:$A$4,0),MATCH(S$1,'2018_commission_structure'!$A$1:$I$1,0)),0)</f>
        <v>0</v>
      </c>
      <c r="T459" s="9">
        <f t="shared" si="78"/>
        <v>56054.25</v>
      </c>
      <c r="U459" s="9">
        <f t="shared" si="70"/>
        <v>177474.25</v>
      </c>
      <c r="V459" s="9">
        <f>MIN($I459,$H459)*INDEX('Key Metrics'!$E$16:$N$19,MATCH($E459,'Key Metrics'!$E$16:$E$19,0),MATCH(V$1,'Key Metrics'!$E$16:$M$16,0))</f>
        <v>56054.25</v>
      </c>
      <c r="W459" s="9">
        <f>IF($H459&gt;I459, MIN($H459-I459, J459-I459)*INDEX('Key Metrics'!$E$16:$N$19,MATCH($E459,'Key Metrics'!$E$16:$E$19,0),MATCH(W$1,'Key Metrics'!$E$16:$M$16,0)),0)</f>
        <v>0</v>
      </c>
      <c r="X459" s="9">
        <f>IF($H459&gt;J459, MIN($H459-J459, K459-J459)*INDEX('Key Metrics'!$E$16:$N$19,MATCH($E459,'Key Metrics'!$E$16:$E$19,0),MATCH(X$1,'Key Metrics'!$E$16:$M$16,0)),0)</f>
        <v>0</v>
      </c>
      <c r="Y459" s="9">
        <f>IF($H459&gt;K459, MIN($H459-K459, L459-K459)*INDEX('Key Metrics'!$E$16:$N$19,MATCH($E459,'Key Metrics'!$E$16:$E$19,0),MATCH(Y$1,'Key Metrics'!$E$16:$M$16,0)),0)</f>
        <v>0</v>
      </c>
      <c r="Z459" s="9">
        <f>IF($H459&gt;L459,($H459-L459)*INDEX('Key Metrics'!$E$16:$N$19,MATCH($E459,'Key Metrics'!$E$16:$E$19,0),MATCH(Z$1,'Key Metrics'!$E$16:$M$16,0)),0)</f>
        <v>0</v>
      </c>
      <c r="AA459" s="9">
        <f t="shared" si="79"/>
        <v>56054.25</v>
      </c>
      <c r="AB459" s="9">
        <f t="shared" si="71"/>
        <v>56054.74826</v>
      </c>
    </row>
    <row r="460" spans="1:28" x14ac:dyDescent="0.55000000000000004">
      <c r="A460" t="str">
        <f t="shared" si="72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COUNTIF(deals_closed!$D$2:$D$20001,Calculations!B69)</f>
        <v>23</v>
      </c>
      <c r="H460" s="7">
        <f>SUMIF(deals_closed!$D:$D,Calculations!B69,deals_closed!$C:$C)</f>
        <v>708390</v>
      </c>
      <c r="I460" s="5">
        <f>VLOOKUP(E460,'2018_commission_structure'!$A$1:$I$4,9,FALSE)</f>
        <v>600000</v>
      </c>
      <c r="J460" s="9">
        <f t="shared" si="73"/>
        <v>750000</v>
      </c>
      <c r="K460" s="10">
        <f t="shared" si="74"/>
        <v>900000</v>
      </c>
      <c r="L460" s="9">
        <f t="shared" si="75"/>
        <v>1200000</v>
      </c>
      <c r="M460" s="8">
        <f t="shared" si="76"/>
        <v>1.18065</v>
      </c>
      <c r="N460" t="str">
        <f t="shared" si="77"/>
        <v>100-125%</v>
      </c>
      <c r="O460" s="9">
        <f>MIN($H460,$I460)*INDEX('2018_commission_structure'!$A$1:$I$4,MATCH($E460,'2018_commission_structure'!$A$1:$A$4,0),MATCH(O$1,'2018_commission_structure'!$A$1:$I$1,0))</f>
        <v>78000</v>
      </c>
      <c r="P460" s="9">
        <f>IF(H460&gt;I460, MIN(H460-I460, J460-I460)*INDEX('2018_commission_structure'!$A$1:$I$4,MATCH($E460,'2018_commission_structure'!$A$1:$A$4,0),MATCH(P$1,'2018_commission_structure'!$A$1:$I$1,0)),0)</f>
        <v>18426.300000000003</v>
      </c>
      <c r="Q460" s="9">
        <f>IF($H460&gt;J460, MIN($H460-J460, K460-J460)*INDEX('2018_commission_structure'!$A$1:$I$4,MATCH($E460,'2018_commission_structure'!$A$1:$A$4,0),MATCH(Q$1,'2018_commission_structure'!$A$1:$I$1,0)),0)</f>
        <v>0</v>
      </c>
      <c r="R460" s="9">
        <f>IF($H460&gt;K460, MIN($H460-K460, L460-K460)*INDEX('2018_commission_structure'!$A$1:$I$4,MATCH($E460,'2018_commission_structure'!$A$1:$A$4,0),MATCH(R$1,'2018_commission_structure'!$A$1:$I$1,0)),0)</f>
        <v>0</v>
      </c>
      <c r="S460" s="9">
        <f>IF(H460&gt;L460,(H460-L460)*INDEX('2018_commission_structure'!$A$1:$I$4,MATCH($E460,'2018_commission_structure'!$A$1:$A$4,0),MATCH(S$1,'2018_commission_structure'!$A$1:$I$1,0)),0)</f>
        <v>0</v>
      </c>
      <c r="T460" s="9">
        <f t="shared" si="78"/>
        <v>96426.3</v>
      </c>
      <c r="U460" s="9">
        <f t="shared" si="70"/>
        <v>156285.29999999999</v>
      </c>
      <c r="V460" s="9">
        <f>MIN($I460,$H460)*INDEX('Key Metrics'!$E$16:$N$19,MATCH($E460,'Key Metrics'!$E$16:$E$19,0),MATCH(V$1,'Key Metrics'!$E$16:$M$16,0))</f>
        <v>90000</v>
      </c>
      <c r="W460" s="9">
        <f>IF($H460&gt;I460, MIN($H460-I460, J460-I460)*INDEX('Key Metrics'!$E$16:$N$19,MATCH($E460,'Key Metrics'!$E$16:$E$19,0),MATCH(W$1,'Key Metrics'!$E$16:$M$16,0)),0)</f>
        <v>19510.2</v>
      </c>
      <c r="X460" s="9">
        <f>IF($H460&gt;J460, MIN($H460-J460, K460-J460)*INDEX('Key Metrics'!$E$16:$N$19,MATCH($E460,'Key Metrics'!$E$16:$E$19,0),MATCH(X$1,'Key Metrics'!$E$16:$M$16,0)),0)</f>
        <v>0</v>
      </c>
      <c r="Y460" s="9">
        <f>IF($H460&gt;K460, MIN($H460-K460, L460-K460)*INDEX('Key Metrics'!$E$16:$N$19,MATCH($E460,'Key Metrics'!$E$16:$E$19,0),MATCH(Y$1,'Key Metrics'!$E$16:$M$16,0)),0)</f>
        <v>0</v>
      </c>
      <c r="Z460" s="9">
        <f>IF($H460&gt;L460,($H460-L460)*INDEX('Key Metrics'!$E$16:$N$19,MATCH($E460,'Key Metrics'!$E$16:$E$19,0),MATCH(Z$1,'Key Metrics'!$E$16:$M$16,0)),0)</f>
        <v>0</v>
      </c>
      <c r="AA460" s="9">
        <f t="shared" si="79"/>
        <v>109510.2</v>
      </c>
      <c r="AB460" s="9">
        <f t="shared" si="71"/>
        <v>109511.38064999999</v>
      </c>
    </row>
    <row r="461" spans="1:28" x14ac:dyDescent="0.55000000000000004">
      <c r="A461" t="str">
        <f t="shared" si="72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COUNTIF(deals_closed!$D$2:$D$20001,Calculations!B639)</f>
        <v>26</v>
      </c>
      <c r="H461" s="7">
        <f>SUMIF(deals_closed!$D:$D,Calculations!B639,deals_closed!$C:$C)</f>
        <v>1004176</v>
      </c>
      <c r="I461" s="5">
        <f>VLOOKUP(E461,'2018_commission_structure'!$A$1:$I$4,9,FALSE)</f>
        <v>500000</v>
      </c>
      <c r="J461" s="9">
        <f t="shared" si="73"/>
        <v>625000</v>
      </c>
      <c r="K461" s="10">
        <f t="shared" si="74"/>
        <v>750000</v>
      </c>
      <c r="L461" s="9">
        <f t="shared" si="75"/>
        <v>1000000</v>
      </c>
      <c r="M461" s="8">
        <f t="shared" si="76"/>
        <v>2.0083519999999999</v>
      </c>
      <c r="N461" t="str">
        <f t="shared" si="77"/>
        <v>&gt;200%</v>
      </c>
      <c r="O461" s="9">
        <f>MIN($H461,$I461)*INDEX('2018_commission_structure'!$A$1:$I$4,MATCH($E461,'2018_commission_structure'!$A$1:$A$4,0),MATCH(O$1,'2018_commission_structure'!$A$1:$I$1,0))</f>
        <v>50000</v>
      </c>
      <c r="P461" s="9">
        <f>IF(H461&gt;I461, MIN(H461-I461, J461-I461)*INDEX('2018_commission_structure'!$A$1:$I$4,MATCH($E461,'2018_commission_structure'!$A$1:$A$4,0),MATCH(P$1,'2018_commission_structure'!$A$1:$I$1,0)),0)</f>
        <v>18750</v>
      </c>
      <c r="Q461" s="9">
        <f>IF($H461&gt;J461, MIN($H461-J461, K461-J461)*INDEX('2018_commission_structure'!$A$1:$I$4,MATCH($E461,'2018_commission_structure'!$A$1:$A$4,0),MATCH(Q$1,'2018_commission_structure'!$A$1:$I$1,0)),0)</f>
        <v>22500</v>
      </c>
      <c r="R461" s="9">
        <f>IF($H461&gt;K461, MIN($H461-K461, L461-K461)*INDEX('2018_commission_structure'!$A$1:$I$4,MATCH($E461,'2018_commission_structure'!$A$1:$A$4,0),MATCH(R$1,'2018_commission_structure'!$A$1:$I$1,0)),0)</f>
        <v>55000</v>
      </c>
      <c r="S461" s="9">
        <f>IF(H461&gt;L461,(H461-L461)*INDEX('2018_commission_structure'!$A$1:$I$4,MATCH($E461,'2018_commission_structure'!$A$1:$A$4,0),MATCH(S$1,'2018_commission_structure'!$A$1:$I$1,0)),0)</f>
        <v>417.6</v>
      </c>
      <c r="T461" s="9">
        <f t="shared" si="78"/>
        <v>146667.6</v>
      </c>
      <c r="U461" s="9">
        <f t="shared" si="70"/>
        <v>188813.6</v>
      </c>
      <c r="V461" s="9">
        <f>MIN($I461,$H461)*INDEX('Key Metrics'!$E$16:$N$19,MATCH($E461,'Key Metrics'!$E$16:$E$19,0),MATCH(V$1,'Key Metrics'!$E$16:$M$16,0))</f>
        <v>60000</v>
      </c>
      <c r="W461" s="9">
        <f>IF($H461&gt;I461, MIN($H461-I461, J461-I461)*INDEX('Key Metrics'!$E$16:$N$19,MATCH($E461,'Key Metrics'!$E$16:$E$19,0),MATCH(W$1,'Key Metrics'!$E$16:$M$16,0)),0)</f>
        <v>21250</v>
      </c>
      <c r="X461" s="9">
        <f>IF($H461&gt;J461, MIN($H461-J461, K461-J461)*INDEX('Key Metrics'!$E$16:$N$19,MATCH($E461,'Key Metrics'!$E$16:$E$19,0),MATCH(X$1,'Key Metrics'!$E$16:$M$16,0)),0)</f>
        <v>25000</v>
      </c>
      <c r="Y461" s="9">
        <f>IF($H461&gt;K461, MIN($H461-K461, L461-K461)*INDEX('Key Metrics'!$E$16:$N$19,MATCH($E461,'Key Metrics'!$E$16:$E$19,0),MATCH(Y$1,'Key Metrics'!$E$16:$M$16,0)),0)</f>
        <v>55000</v>
      </c>
      <c r="Z461" s="9">
        <f>IF($H461&gt;L461,($H461-L461)*INDEX('Key Metrics'!$E$16:$N$19,MATCH($E461,'Key Metrics'!$E$16:$E$19,0),MATCH(Z$1,'Key Metrics'!$E$16:$M$16,0)),0)</f>
        <v>417.6</v>
      </c>
      <c r="AA461" s="9">
        <f t="shared" si="79"/>
        <v>161667.6</v>
      </c>
      <c r="AB461" s="9">
        <f t="shared" si="71"/>
        <v>161669.60835200001</v>
      </c>
    </row>
    <row r="462" spans="1:28" x14ac:dyDescent="0.55000000000000004">
      <c r="A462" t="str">
        <f t="shared" si="72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COUNTIF(deals_closed!$D$2:$D$20001,Calculations!B803)</f>
        <v>20</v>
      </c>
      <c r="H462" s="7">
        <f>SUMIF(deals_closed!$D:$D,Calculations!B803,deals_closed!$C:$C)</f>
        <v>745121</v>
      </c>
      <c r="I462" s="5">
        <f>VLOOKUP(E462,'2018_commission_structure'!$A$1:$I$4,9,FALSE)</f>
        <v>750000</v>
      </c>
      <c r="J462" s="9">
        <f t="shared" si="73"/>
        <v>937500</v>
      </c>
      <c r="K462" s="10">
        <f t="shared" si="74"/>
        <v>1125000</v>
      </c>
      <c r="L462" s="9">
        <f t="shared" si="75"/>
        <v>1500000</v>
      </c>
      <c r="M462" s="8">
        <f t="shared" si="76"/>
        <v>0.99349466666666664</v>
      </c>
      <c r="N462" t="str">
        <f t="shared" si="77"/>
        <v>0-100%</v>
      </c>
      <c r="O462" s="9">
        <f>MIN($H462,$I462)*INDEX('2018_commission_structure'!$A$1:$I$4,MATCH($E462,'2018_commission_structure'!$A$1:$A$4,0),MATCH(O$1,'2018_commission_structure'!$A$1:$I$1,0))</f>
        <v>111768.15</v>
      </c>
      <c r="P462" s="9">
        <f>IF(H462&gt;I462, MIN(H462-I462, J462-I462)*INDEX('2018_commission_structure'!$A$1:$I$4,MATCH($E462,'2018_commission_structure'!$A$1:$A$4,0),MATCH(P$1,'2018_commission_structure'!$A$1:$I$1,0)),0)</f>
        <v>0</v>
      </c>
      <c r="Q462" s="9">
        <f>IF($H462&gt;J462, MIN($H462-J462, K462-J462)*INDEX('2018_commission_structure'!$A$1:$I$4,MATCH($E462,'2018_commission_structure'!$A$1:$A$4,0),MATCH(Q$1,'2018_commission_structure'!$A$1:$I$1,0)),0)</f>
        <v>0</v>
      </c>
      <c r="R462" s="9">
        <f>IF($H462&gt;K462, MIN($H462-K462, L462-K462)*INDEX('2018_commission_structure'!$A$1:$I$4,MATCH($E462,'2018_commission_structure'!$A$1:$A$4,0),MATCH(R$1,'2018_commission_structure'!$A$1:$I$1,0)),0)</f>
        <v>0</v>
      </c>
      <c r="S462" s="9">
        <f>IF(H462&gt;L462,(H462-L462)*INDEX('2018_commission_structure'!$A$1:$I$4,MATCH($E462,'2018_commission_structure'!$A$1:$A$4,0),MATCH(S$1,'2018_commission_structure'!$A$1:$I$1,0)),0)</f>
        <v>0</v>
      </c>
      <c r="T462" s="9">
        <f t="shared" si="78"/>
        <v>111768.15</v>
      </c>
      <c r="U462" s="9">
        <f t="shared" si="70"/>
        <v>202002.15</v>
      </c>
      <c r="V462" s="9">
        <f>MIN($I462,$H462)*INDEX('Key Metrics'!$E$16:$N$19,MATCH($E462,'Key Metrics'!$E$16:$E$19,0),MATCH(V$1,'Key Metrics'!$E$16:$M$16,0))</f>
        <v>111768.15</v>
      </c>
      <c r="W462" s="9">
        <f>IF($H462&gt;I462, MIN($H462-I462, J462-I462)*INDEX('Key Metrics'!$E$16:$N$19,MATCH($E462,'Key Metrics'!$E$16:$E$19,0),MATCH(W$1,'Key Metrics'!$E$16:$M$16,0)),0)</f>
        <v>0</v>
      </c>
      <c r="X462" s="9">
        <f>IF($H462&gt;J462, MIN($H462-J462, K462-J462)*INDEX('Key Metrics'!$E$16:$N$19,MATCH($E462,'Key Metrics'!$E$16:$E$19,0),MATCH(X$1,'Key Metrics'!$E$16:$M$16,0)),0)</f>
        <v>0</v>
      </c>
      <c r="Y462" s="9">
        <f>IF($H462&gt;K462, MIN($H462-K462, L462-K462)*INDEX('Key Metrics'!$E$16:$N$19,MATCH($E462,'Key Metrics'!$E$16:$E$19,0),MATCH(Y$1,'Key Metrics'!$E$16:$M$16,0)),0)</f>
        <v>0</v>
      </c>
      <c r="Z462" s="9">
        <f>IF($H462&gt;L462,($H462-L462)*INDEX('Key Metrics'!$E$16:$N$19,MATCH($E462,'Key Metrics'!$E$16:$E$19,0),MATCH(Z$1,'Key Metrics'!$E$16:$M$16,0)),0)</f>
        <v>0</v>
      </c>
      <c r="AA462" s="9">
        <f t="shared" si="79"/>
        <v>111768.15</v>
      </c>
      <c r="AB462" s="9">
        <f t="shared" si="71"/>
        <v>111769.14349466666</v>
      </c>
    </row>
    <row r="463" spans="1:28" x14ac:dyDescent="0.55000000000000004">
      <c r="A463" t="str">
        <f t="shared" si="72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COUNTIF(deals_closed!$D$2:$D$20001,Calculations!B309)</f>
        <v>20</v>
      </c>
      <c r="H463" s="7">
        <f>SUMIF(deals_closed!$D:$D,Calculations!B309,deals_closed!$C:$C)</f>
        <v>637004</v>
      </c>
      <c r="I463" s="5">
        <f>VLOOKUP(E463,'2018_commission_structure'!$A$1:$I$4,9,FALSE)</f>
        <v>500000</v>
      </c>
      <c r="J463" s="9">
        <f t="shared" si="73"/>
        <v>625000</v>
      </c>
      <c r="K463" s="10">
        <f t="shared" si="74"/>
        <v>750000</v>
      </c>
      <c r="L463" s="9">
        <f t="shared" si="75"/>
        <v>1000000</v>
      </c>
      <c r="M463" s="8">
        <f t="shared" si="76"/>
        <v>1.274008</v>
      </c>
      <c r="N463" t="str">
        <f t="shared" si="77"/>
        <v>125-150%</v>
      </c>
      <c r="O463" s="9">
        <f>MIN($H463,$I463)*INDEX('2018_commission_structure'!$A$1:$I$4,MATCH($E463,'2018_commission_structure'!$A$1:$A$4,0),MATCH(O$1,'2018_commission_structure'!$A$1:$I$1,0))</f>
        <v>50000</v>
      </c>
      <c r="P463" s="9">
        <f>IF(H463&gt;I463, MIN(H463-I463, J463-I463)*INDEX('2018_commission_structure'!$A$1:$I$4,MATCH($E463,'2018_commission_structure'!$A$1:$A$4,0),MATCH(P$1,'2018_commission_structure'!$A$1:$I$1,0)),0)</f>
        <v>18750</v>
      </c>
      <c r="Q463" s="9">
        <f>IF($H463&gt;J463, MIN($H463-J463, K463-J463)*INDEX('2018_commission_structure'!$A$1:$I$4,MATCH($E463,'2018_commission_structure'!$A$1:$A$4,0),MATCH(Q$1,'2018_commission_structure'!$A$1:$I$1,0)),0)</f>
        <v>2160.7199999999998</v>
      </c>
      <c r="R463" s="9">
        <f>IF($H463&gt;K463, MIN($H463-K463, L463-K463)*INDEX('2018_commission_structure'!$A$1:$I$4,MATCH($E463,'2018_commission_structure'!$A$1:$A$4,0),MATCH(R$1,'2018_commission_structure'!$A$1:$I$1,0)),0)</f>
        <v>0</v>
      </c>
      <c r="S463" s="9">
        <f>IF(H463&gt;L463,(H463-L463)*INDEX('2018_commission_structure'!$A$1:$I$4,MATCH($E463,'2018_commission_structure'!$A$1:$A$4,0),MATCH(S$1,'2018_commission_structure'!$A$1:$I$1,0)),0)</f>
        <v>0</v>
      </c>
      <c r="T463" s="9">
        <f t="shared" si="78"/>
        <v>70910.720000000001</v>
      </c>
      <c r="U463" s="9">
        <f t="shared" si="70"/>
        <v>108085.72</v>
      </c>
      <c r="V463" s="9">
        <f>MIN($I463,$H463)*INDEX('Key Metrics'!$E$16:$N$19,MATCH($E463,'Key Metrics'!$E$16:$E$19,0),MATCH(V$1,'Key Metrics'!$E$16:$M$16,0))</f>
        <v>60000</v>
      </c>
      <c r="W463" s="9">
        <f>IF($H463&gt;I463, MIN($H463-I463, J463-I463)*INDEX('Key Metrics'!$E$16:$N$19,MATCH($E463,'Key Metrics'!$E$16:$E$19,0),MATCH(W$1,'Key Metrics'!$E$16:$M$16,0)),0)</f>
        <v>21250</v>
      </c>
      <c r="X463" s="9">
        <f>IF($H463&gt;J463, MIN($H463-J463, K463-J463)*INDEX('Key Metrics'!$E$16:$N$19,MATCH($E463,'Key Metrics'!$E$16:$E$19,0),MATCH(X$1,'Key Metrics'!$E$16:$M$16,0)),0)</f>
        <v>2400.8000000000002</v>
      </c>
      <c r="Y463" s="9">
        <f>IF($H463&gt;K463, MIN($H463-K463, L463-K463)*INDEX('Key Metrics'!$E$16:$N$19,MATCH($E463,'Key Metrics'!$E$16:$E$19,0),MATCH(Y$1,'Key Metrics'!$E$16:$M$16,0)),0)</f>
        <v>0</v>
      </c>
      <c r="Z463" s="9">
        <f>IF($H463&gt;L463,($H463-L463)*INDEX('Key Metrics'!$E$16:$N$19,MATCH($E463,'Key Metrics'!$E$16:$E$19,0),MATCH(Z$1,'Key Metrics'!$E$16:$M$16,0)),0)</f>
        <v>0</v>
      </c>
      <c r="AA463" s="9">
        <f t="shared" si="79"/>
        <v>83650.8</v>
      </c>
      <c r="AB463" s="9">
        <f t="shared" si="71"/>
        <v>83652.074007999996</v>
      </c>
    </row>
    <row r="464" spans="1:28" x14ac:dyDescent="0.55000000000000004">
      <c r="A464" t="str">
        <f t="shared" si="72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COUNTIF(deals_closed!$D$2:$D$20001,Calculations!B65)</f>
        <v>20</v>
      </c>
      <c r="H464" s="7">
        <f>SUMIF(deals_closed!$D:$D,Calculations!B65,deals_closed!$C:$C)</f>
        <v>722942</v>
      </c>
      <c r="I464" s="5">
        <f>VLOOKUP(E464,'2018_commission_structure'!$A$1:$I$4,9,FALSE)</f>
        <v>600000</v>
      </c>
      <c r="J464" s="9">
        <f t="shared" si="73"/>
        <v>750000</v>
      </c>
      <c r="K464" s="10">
        <f t="shared" si="74"/>
        <v>900000</v>
      </c>
      <c r="L464" s="9">
        <f t="shared" si="75"/>
        <v>1200000</v>
      </c>
      <c r="M464" s="8">
        <f t="shared" si="76"/>
        <v>1.2049033333333334</v>
      </c>
      <c r="N464" t="str">
        <f t="shared" si="77"/>
        <v>100-125%</v>
      </c>
      <c r="O464" s="9">
        <f>MIN($H464,$I464)*INDEX('2018_commission_structure'!$A$1:$I$4,MATCH($E464,'2018_commission_structure'!$A$1:$A$4,0),MATCH(O$1,'2018_commission_structure'!$A$1:$I$1,0))</f>
        <v>78000</v>
      </c>
      <c r="P464" s="9">
        <f>IF(H464&gt;I464, MIN(H464-I464, J464-I464)*INDEX('2018_commission_structure'!$A$1:$I$4,MATCH($E464,'2018_commission_structure'!$A$1:$A$4,0),MATCH(P$1,'2018_commission_structure'!$A$1:$I$1,0)),0)</f>
        <v>20900.140000000003</v>
      </c>
      <c r="Q464" s="9">
        <f>IF($H464&gt;J464, MIN($H464-J464, K464-J464)*INDEX('2018_commission_structure'!$A$1:$I$4,MATCH($E464,'2018_commission_structure'!$A$1:$A$4,0),MATCH(Q$1,'2018_commission_structure'!$A$1:$I$1,0)),0)</f>
        <v>0</v>
      </c>
      <c r="R464" s="9">
        <f>IF($H464&gt;K464, MIN($H464-K464, L464-K464)*INDEX('2018_commission_structure'!$A$1:$I$4,MATCH($E464,'2018_commission_structure'!$A$1:$A$4,0),MATCH(R$1,'2018_commission_structure'!$A$1:$I$1,0)),0)</f>
        <v>0</v>
      </c>
      <c r="S464" s="9">
        <f>IF(H464&gt;L464,(H464-L464)*INDEX('2018_commission_structure'!$A$1:$I$4,MATCH($E464,'2018_commission_structure'!$A$1:$A$4,0),MATCH(S$1,'2018_commission_structure'!$A$1:$I$1,0)),0)</f>
        <v>0</v>
      </c>
      <c r="T464" s="9">
        <f t="shared" si="78"/>
        <v>98900.14</v>
      </c>
      <c r="U464" s="9">
        <f t="shared" si="70"/>
        <v>166808.14000000001</v>
      </c>
      <c r="V464" s="9">
        <f>MIN($I464,$H464)*INDEX('Key Metrics'!$E$16:$N$19,MATCH($E464,'Key Metrics'!$E$16:$E$19,0),MATCH(V$1,'Key Metrics'!$E$16:$M$16,0))</f>
        <v>90000</v>
      </c>
      <c r="W464" s="9">
        <f>IF($H464&gt;I464, MIN($H464-I464, J464-I464)*INDEX('Key Metrics'!$E$16:$N$19,MATCH($E464,'Key Metrics'!$E$16:$E$19,0),MATCH(W$1,'Key Metrics'!$E$16:$M$16,0)),0)</f>
        <v>22129.559999999998</v>
      </c>
      <c r="X464" s="9">
        <f>IF($H464&gt;J464, MIN($H464-J464, K464-J464)*INDEX('Key Metrics'!$E$16:$N$19,MATCH($E464,'Key Metrics'!$E$16:$E$19,0),MATCH(X$1,'Key Metrics'!$E$16:$M$16,0)),0)</f>
        <v>0</v>
      </c>
      <c r="Y464" s="9">
        <f>IF($H464&gt;K464, MIN($H464-K464, L464-K464)*INDEX('Key Metrics'!$E$16:$N$19,MATCH($E464,'Key Metrics'!$E$16:$E$19,0),MATCH(Y$1,'Key Metrics'!$E$16:$M$16,0)),0)</f>
        <v>0</v>
      </c>
      <c r="Z464" s="9">
        <f>IF($H464&gt;L464,($H464-L464)*INDEX('Key Metrics'!$E$16:$N$19,MATCH($E464,'Key Metrics'!$E$16:$E$19,0),MATCH(Z$1,'Key Metrics'!$E$16:$M$16,0)),0)</f>
        <v>0</v>
      </c>
      <c r="AA464" s="9">
        <f t="shared" si="79"/>
        <v>112129.56</v>
      </c>
      <c r="AB464" s="9">
        <f t="shared" si="71"/>
        <v>112130.76490333333</v>
      </c>
    </row>
    <row r="465" spans="1:28" x14ac:dyDescent="0.55000000000000004">
      <c r="A465" t="str">
        <f t="shared" si="72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COUNTIF(deals_closed!$D$2:$D$20001,Calculations!B539)</f>
        <v>9</v>
      </c>
      <c r="H465" s="7">
        <f>SUMIF(deals_closed!$D:$D,Calculations!B539,deals_closed!$C:$C)</f>
        <v>283269</v>
      </c>
      <c r="I465" s="5">
        <f>VLOOKUP(E465,'2018_commission_structure'!$A$1:$I$4,9,FALSE)</f>
        <v>750000</v>
      </c>
      <c r="J465" s="9">
        <f t="shared" si="73"/>
        <v>937500</v>
      </c>
      <c r="K465" s="10">
        <f t="shared" si="74"/>
        <v>1125000</v>
      </c>
      <c r="L465" s="9">
        <f t="shared" si="75"/>
        <v>1500000</v>
      </c>
      <c r="M465" s="8">
        <f t="shared" si="76"/>
        <v>0.37769200000000003</v>
      </c>
      <c r="N465" t="str">
        <f t="shared" si="77"/>
        <v>0-100%</v>
      </c>
      <c r="O465" s="9">
        <f>MIN($H465,$I465)*INDEX('2018_commission_structure'!$A$1:$I$4,MATCH($E465,'2018_commission_structure'!$A$1:$A$4,0),MATCH(O$1,'2018_commission_structure'!$A$1:$I$1,0))</f>
        <v>42490.35</v>
      </c>
      <c r="P465" s="9">
        <f>IF(H465&gt;I465, MIN(H465-I465, J465-I465)*INDEX('2018_commission_structure'!$A$1:$I$4,MATCH($E465,'2018_commission_structure'!$A$1:$A$4,0),MATCH(P$1,'2018_commission_structure'!$A$1:$I$1,0)),0)</f>
        <v>0</v>
      </c>
      <c r="Q465" s="9">
        <f>IF($H465&gt;J465, MIN($H465-J465, K465-J465)*INDEX('2018_commission_structure'!$A$1:$I$4,MATCH($E465,'2018_commission_structure'!$A$1:$A$4,0),MATCH(Q$1,'2018_commission_structure'!$A$1:$I$1,0)),0)</f>
        <v>0</v>
      </c>
      <c r="R465" s="9">
        <f>IF($H465&gt;K465, MIN($H465-K465, L465-K465)*INDEX('2018_commission_structure'!$A$1:$I$4,MATCH($E465,'2018_commission_structure'!$A$1:$A$4,0),MATCH(R$1,'2018_commission_structure'!$A$1:$I$1,0)),0)</f>
        <v>0</v>
      </c>
      <c r="S465" s="9">
        <f>IF(H465&gt;L465,(H465-L465)*INDEX('2018_commission_structure'!$A$1:$I$4,MATCH($E465,'2018_commission_structure'!$A$1:$A$4,0),MATCH(S$1,'2018_commission_structure'!$A$1:$I$1,0)),0)</f>
        <v>0</v>
      </c>
      <c r="T465" s="9">
        <f t="shared" si="78"/>
        <v>42490.35</v>
      </c>
      <c r="U465" s="9">
        <f t="shared" si="70"/>
        <v>149037.35</v>
      </c>
      <c r="V465" s="9">
        <f>MIN($I465,$H465)*INDEX('Key Metrics'!$E$16:$N$19,MATCH($E465,'Key Metrics'!$E$16:$E$19,0),MATCH(V$1,'Key Metrics'!$E$16:$M$16,0))</f>
        <v>42490.35</v>
      </c>
      <c r="W465" s="9">
        <f>IF($H465&gt;I465, MIN($H465-I465, J465-I465)*INDEX('Key Metrics'!$E$16:$N$19,MATCH($E465,'Key Metrics'!$E$16:$E$19,0),MATCH(W$1,'Key Metrics'!$E$16:$M$16,0)),0)</f>
        <v>0</v>
      </c>
      <c r="X465" s="9">
        <f>IF($H465&gt;J465, MIN($H465-J465, K465-J465)*INDEX('Key Metrics'!$E$16:$N$19,MATCH($E465,'Key Metrics'!$E$16:$E$19,0),MATCH(X$1,'Key Metrics'!$E$16:$M$16,0)),0)</f>
        <v>0</v>
      </c>
      <c r="Y465" s="9">
        <f>IF($H465&gt;K465, MIN($H465-K465, L465-K465)*INDEX('Key Metrics'!$E$16:$N$19,MATCH($E465,'Key Metrics'!$E$16:$E$19,0),MATCH(Y$1,'Key Metrics'!$E$16:$M$16,0)),0)</f>
        <v>0</v>
      </c>
      <c r="Z465" s="9">
        <f>IF($H465&gt;L465,($H465-L465)*INDEX('Key Metrics'!$E$16:$N$19,MATCH($E465,'Key Metrics'!$E$16:$E$19,0),MATCH(Z$1,'Key Metrics'!$E$16:$M$16,0)),0)</f>
        <v>0</v>
      </c>
      <c r="AA465" s="9">
        <f t="shared" si="79"/>
        <v>42490.35</v>
      </c>
      <c r="AB465" s="9">
        <f t="shared" si="71"/>
        <v>42490.727692</v>
      </c>
    </row>
    <row r="466" spans="1:28" x14ac:dyDescent="0.55000000000000004">
      <c r="A466" t="str">
        <f t="shared" si="72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COUNTIF(deals_closed!$D$2:$D$20001,Calculations!B448)</f>
        <v>23</v>
      </c>
      <c r="H466" s="7">
        <f>SUMIF(deals_closed!$D:$D,Calculations!B448,deals_closed!$C:$C)</f>
        <v>732680</v>
      </c>
      <c r="I466" s="5">
        <f>VLOOKUP(E466,'2018_commission_structure'!$A$1:$I$4,9,FALSE)</f>
        <v>750000</v>
      </c>
      <c r="J466" s="9">
        <f t="shared" si="73"/>
        <v>937500</v>
      </c>
      <c r="K466" s="10">
        <f t="shared" si="74"/>
        <v>1125000</v>
      </c>
      <c r="L466" s="9">
        <f t="shared" si="75"/>
        <v>1500000</v>
      </c>
      <c r="M466" s="8">
        <f t="shared" si="76"/>
        <v>0.9769066666666667</v>
      </c>
      <c r="N466" t="str">
        <f t="shared" si="77"/>
        <v>0-100%</v>
      </c>
      <c r="O466" s="9">
        <f>MIN($H466,$I466)*INDEX('2018_commission_structure'!$A$1:$I$4,MATCH($E466,'2018_commission_structure'!$A$1:$A$4,0),MATCH(O$1,'2018_commission_structure'!$A$1:$I$1,0))</f>
        <v>109902</v>
      </c>
      <c r="P466" s="9">
        <f>IF(H466&gt;I466, MIN(H466-I466, J466-I466)*INDEX('2018_commission_structure'!$A$1:$I$4,MATCH($E466,'2018_commission_structure'!$A$1:$A$4,0),MATCH(P$1,'2018_commission_structure'!$A$1:$I$1,0)),0)</f>
        <v>0</v>
      </c>
      <c r="Q466" s="9">
        <f>IF($H466&gt;J466, MIN($H466-J466, K466-J466)*INDEX('2018_commission_structure'!$A$1:$I$4,MATCH($E466,'2018_commission_structure'!$A$1:$A$4,0),MATCH(Q$1,'2018_commission_structure'!$A$1:$I$1,0)),0)</f>
        <v>0</v>
      </c>
      <c r="R466" s="9">
        <f>IF($H466&gt;K466, MIN($H466-K466, L466-K466)*INDEX('2018_commission_structure'!$A$1:$I$4,MATCH($E466,'2018_commission_structure'!$A$1:$A$4,0),MATCH(R$1,'2018_commission_structure'!$A$1:$I$1,0)),0)</f>
        <v>0</v>
      </c>
      <c r="S466" s="9">
        <f>IF(H466&gt;L466,(H466-L466)*INDEX('2018_commission_structure'!$A$1:$I$4,MATCH($E466,'2018_commission_structure'!$A$1:$A$4,0),MATCH(S$1,'2018_commission_structure'!$A$1:$I$1,0)),0)</f>
        <v>0</v>
      </c>
      <c r="T466" s="9">
        <f t="shared" si="78"/>
        <v>109902</v>
      </c>
      <c r="U466" s="9">
        <f t="shared" si="70"/>
        <v>217483</v>
      </c>
      <c r="V466" s="9">
        <f>MIN($I466,$H466)*INDEX('Key Metrics'!$E$16:$N$19,MATCH($E466,'Key Metrics'!$E$16:$E$19,0),MATCH(V$1,'Key Metrics'!$E$16:$M$16,0))</f>
        <v>109902</v>
      </c>
      <c r="W466" s="9">
        <f>IF($H466&gt;I466, MIN($H466-I466, J466-I466)*INDEX('Key Metrics'!$E$16:$N$19,MATCH($E466,'Key Metrics'!$E$16:$E$19,0),MATCH(W$1,'Key Metrics'!$E$16:$M$16,0)),0)</f>
        <v>0</v>
      </c>
      <c r="X466" s="9">
        <f>IF($H466&gt;J466, MIN($H466-J466, K466-J466)*INDEX('Key Metrics'!$E$16:$N$19,MATCH($E466,'Key Metrics'!$E$16:$E$19,0),MATCH(X$1,'Key Metrics'!$E$16:$M$16,0)),0)</f>
        <v>0</v>
      </c>
      <c r="Y466" s="9">
        <f>IF($H466&gt;K466, MIN($H466-K466, L466-K466)*INDEX('Key Metrics'!$E$16:$N$19,MATCH($E466,'Key Metrics'!$E$16:$E$19,0),MATCH(Y$1,'Key Metrics'!$E$16:$M$16,0)),0)</f>
        <v>0</v>
      </c>
      <c r="Z466" s="9">
        <f>IF($H466&gt;L466,($H466-L466)*INDEX('Key Metrics'!$E$16:$N$19,MATCH($E466,'Key Metrics'!$E$16:$E$19,0),MATCH(Z$1,'Key Metrics'!$E$16:$M$16,0)),0)</f>
        <v>0</v>
      </c>
      <c r="AA466" s="9">
        <f t="shared" si="79"/>
        <v>109902</v>
      </c>
      <c r="AB466" s="9">
        <f t="shared" si="71"/>
        <v>109902.97690666666</v>
      </c>
    </row>
    <row r="467" spans="1:28" x14ac:dyDescent="0.55000000000000004">
      <c r="A467" t="str">
        <f t="shared" si="72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COUNTIF(deals_closed!$D$2:$D$20001,Calculations!B683)</f>
        <v>25</v>
      </c>
      <c r="H467" s="7">
        <f>SUMIF(deals_closed!$D:$D,Calculations!B683,deals_closed!$C:$C)</f>
        <v>815097</v>
      </c>
      <c r="I467" s="5">
        <f>VLOOKUP(E467,'2018_commission_structure'!$A$1:$I$4,9,FALSE)</f>
        <v>600000</v>
      </c>
      <c r="J467" s="9">
        <f t="shared" si="73"/>
        <v>750000</v>
      </c>
      <c r="K467" s="10">
        <f t="shared" si="74"/>
        <v>900000</v>
      </c>
      <c r="L467" s="9">
        <f t="shared" si="75"/>
        <v>1200000</v>
      </c>
      <c r="M467" s="8">
        <f t="shared" si="76"/>
        <v>1.358495</v>
      </c>
      <c r="N467" t="str">
        <f t="shared" si="77"/>
        <v>125-150%</v>
      </c>
      <c r="O467" s="9">
        <f>MIN($H467,$I467)*INDEX('2018_commission_structure'!$A$1:$I$4,MATCH($E467,'2018_commission_structure'!$A$1:$A$4,0),MATCH(O$1,'2018_commission_structure'!$A$1:$I$1,0))</f>
        <v>78000</v>
      </c>
      <c r="P467" s="9">
        <f>IF(H467&gt;I467, MIN(H467-I467, J467-I467)*INDEX('2018_commission_structure'!$A$1:$I$4,MATCH($E467,'2018_commission_structure'!$A$1:$A$4,0),MATCH(P$1,'2018_commission_structure'!$A$1:$I$1,0)),0)</f>
        <v>25500.000000000004</v>
      </c>
      <c r="Q467" s="9">
        <f>IF($H467&gt;J467, MIN($H467-J467, K467-J467)*INDEX('2018_commission_structure'!$A$1:$I$4,MATCH($E467,'2018_commission_structure'!$A$1:$A$4,0),MATCH(Q$1,'2018_commission_structure'!$A$1:$I$1,0)),0)</f>
        <v>13670.369999999999</v>
      </c>
      <c r="R467" s="9">
        <f>IF($H467&gt;K467, MIN($H467-K467, L467-K467)*INDEX('2018_commission_structure'!$A$1:$I$4,MATCH($E467,'2018_commission_structure'!$A$1:$A$4,0),MATCH(R$1,'2018_commission_structure'!$A$1:$I$1,0)),0)</f>
        <v>0</v>
      </c>
      <c r="S467" s="9">
        <f>IF(H467&gt;L467,(H467-L467)*INDEX('2018_commission_structure'!$A$1:$I$4,MATCH($E467,'2018_commission_structure'!$A$1:$A$4,0),MATCH(S$1,'2018_commission_structure'!$A$1:$I$1,0)),0)</f>
        <v>0</v>
      </c>
      <c r="T467" s="9">
        <f t="shared" si="78"/>
        <v>117170.37</v>
      </c>
      <c r="U467" s="9">
        <f t="shared" si="70"/>
        <v>169807.37</v>
      </c>
      <c r="V467" s="9">
        <f>MIN($I467,$H467)*INDEX('Key Metrics'!$E$16:$N$19,MATCH($E467,'Key Metrics'!$E$16:$E$19,0),MATCH(V$1,'Key Metrics'!$E$16:$M$16,0))</f>
        <v>90000</v>
      </c>
      <c r="W467" s="9">
        <f>IF($H467&gt;I467, MIN($H467-I467, J467-I467)*INDEX('Key Metrics'!$E$16:$N$19,MATCH($E467,'Key Metrics'!$E$16:$E$19,0),MATCH(W$1,'Key Metrics'!$E$16:$M$16,0)),0)</f>
        <v>27000</v>
      </c>
      <c r="X467" s="9">
        <f>IF($H467&gt;J467, MIN($H467-J467, K467-J467)*INDEX('Key Metrics'!$E$16:$N$19,MATCH($E467,'Key Metrics'!$E$16:$E$19,0),MATCH(X$1,'Key Metrics'!$E$16:$M$16,0)),0)</f>
        <v>16274.25</v>
      </c>
      <c r="Y467" s="9">
        <f>IF($H467&gt;K467, MIN($H467-K467, L467-K467)*INDEX('Key Metrics'!$E$16:$N$19,MATCH($E467,'Key Metrics'!$E$16:$E$19,0),MATCH(Y$1,'Key Metrics'!$E$16:$M$16,0)),0)</f>
        <v>0</v>
      </c>
      <c r="Z467" s="9">
        <f>IF($H467&gt;L467,($H467-L467)*INDEX('Key Metrics'!$E$16:$N$19,MATCH($E467,'Key Metrics'!$E$16:$E$19,0),MATCH(Z$1,'Key Metrics'!$E$16:$M$16,0)),0)</f>
        <v>0</v>
      </c>
      <c r="AA467" s="9">
        <f t="shared" si="79"/>
        <v>133274.25</v>
      </c>
      <c r="AB467" s="9">
        <f t="shared" si="71"/>
        <v>133275.60849499999</v>
      </c>
    </row>
    <row r="468" spans="1:28" x14ac:dyDescent="0.55000000000000004">
      <c r="A468" t="str">
        <f t="shared" si="72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COUNTIF(deals_closed!$D$2:$D$20001,Calculations!B672)</f>
        <v>14</v>
      </c>
      <c r="H468" s="7">
        <f>SUMIF(deals_closed!$D:$D,Calculations!B672,deals_closed!$C:$C)</f>
        <v>542057</v>
      </c>
      <c r="I468" s="5">
        <f>VLOOKUP(E468,'2018_commission_structure'!$A$1:$I$4,9,FALSE)</f>
        <v>750000</v>
      </c>
      <c r="J468" s="9">
        <f t="shared" si="73"/>
        <v>937500</v>
      </c>
      <c r="K468" s="10">
        <f t="shared" si="74"/>
        <v>1125000</v>
      </c>
      <c r="L468" s="9">
        <f t="shared" si="75"/>
        <v>1500000</v>
      </c>
      <c r="M468" s="8">
        <f t="shared" si="76"/>
        <v>0.72274266666666664</v>
      </c>
      <c r="N468" t="str">
        <f t="shared" si="77"/>
        <v>0-100%</v>
      </c>
      <c r="O468" s="9">
        <f>MIN($H468,$I468)*INDEX('2018_commission_structure'!$A$1:$I$4,MATCH($E468,'2018_commission_structure'!$A$1:$A$4,0),MATCH(O$1,'2018_commission_structure'!$A$1:$I$1,0))</f>
        <v>81308.55</v>
      </c>
      <c r="P468" s="9">
        <f>IF(H468&gt;I468, MIN(H468-I468, J468-I468)*INDEX('2018_commission_structure'!$A$1:$I$4,MATCH($E468,'2018_commission_structure'!$A$1:$A$4,0),MATCH(P$1,'2018_commission_structure'!$A$1:$I$1,0)),0)</f>
        <v>0</v>
      </c>
      <c r="Q468" s="9">
        <f>IF($H468&gt;J468, MIN($H468-J468, K468-J468)*INDEX('2018_commission_structure'!$A$1:$I$4,MATCH($E468,'2018_commission_structure'!$A$1:$A$4,0),MATCH(Q$1,'2018_commission_structure'!$A$1:$I$1,0)),0)</f>
        <v>0</v>
      </c>
      <c r="R468" s="9">
        <f>IF($H468&gt;K468, MIN($H468-K468, L468-K468)*INDEX('2018_commission_structure'!$A$1:$I$4,MATCH($E468,'2018_commission_structure'!$A$1:$A$4,0),MATCH(R$1,'2018_commission_structure'!$A$1:$I$1,0)),0)</f>
        <v>0</v>
      </c>
      <c r="S468" s="9">
        <f>IF(H468&gt;L468,(H468-L468)*INDEX('2018_commission_structure'!$A$1:$I$4,MATCH($E468,'2018_commission_structure'!$A$1:$A$4,0),MATCH(S$1,'2018_commission_structure'!$A$1:$I$1,0)),0)</f>
        <v>0</v>
      </c>
      <c r="T468" s="9">
        <f t="shared" si="78"/>
        <v>81308.55</v>
      </c>
      <c r="U468" s="9">
        <f t="shared" si="70"/>
        <v>188357.55</v>
      </c>
      <c r="V468" s="9">
        <f>MIN($I468,$H468)*INDEX('Key Metrics'!$E$16:$N$19,MATCH($E468,'Key Metrics'!$E$16:$E$19,0),MATCH(V$1,'Key Metrics'!$E$16:$M$16,0))</f>
        <v>81308.55</v>
      </c>
      <c r="W468" s="9">
        <f>IF($H468&gt;I468, MIN($H468-I468, J468-I468)*INDEX('Key Metrics'!$E$16:$N$19,MATCH($E468,'Key Metrics'!$E$16:$E$19,0),MATCH(W$1,'Key Metrics'!$E$16:$M$16,0)),0)</f>
        <v>0</v>
      </c>
      <c r="X468" s="9">
        <f>IF($H468&gt;J468, MIN($H468-J468, K468-J468)*INDEX('Key Metrics'!$E$16:$N$19,MATCH($E468,'Key Metrics'!$E$16:$E$19,0),MATCH(X$1,'Key Metrics'!$E$16:$M$16,0)),0)</f>
        <v>0</v>
      </c>
      <c r="Y468" s="9">
        <f>IF($H468&gt;K468, MIN($H468-K468, L468-K468)*INDEX('Key Metrics'!$E$16:$N$19,MATCH($E468,'Key Metrics'!$E$16:$E$19,0),MATCH(Y$1,'Key Metrics'!$E$16:$M$16,0)),0)</f>
        <v>0</v>
      </c>
      <c r="Z468" s="9">
        <f>IF($H468&gt;L468,($H468-L468)*INDEX('Key Metrics'!$E$16:$N$19,MATCH($E468,'Key Metrics'!$E$16:$E$19,0),MATCH(Z$1,'Key Metrics'!$E$16:$M$16,0)),0)</f>
        <v>0</v>
      </c>
      <c r="AA468" s="9">
        <f t="shared" si="79"/>
        <v>81308.55</v>
      </c>
      <c r="AB468" s="9">
        <f t="shared" si="71"/>
        <v>81309.272742666668</v>
      </c>
    </row>
    <row r="469" spans="1:28" x14ac:dyDescent="0.55000000000000004">
      <c r="A469" t="str">
        <f t="shared" si="72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COUNTIF(deals_closed!$D$2:$D$20001,Calculations!B961)</f>
        <v>15</v>
      </c>
      <c r="H469" s="7">
        <f>SUMIF(deals_closed!$D:$D,Calculations!B961,deals_closed!$C:$C)</f>
        <v>560614</v>
      </c>
      <c r="I469" s="5">
        <f>VLOOKUP(E469,'2018_commission_structure'!$A$1:$I$4,9,FALSE)</f>
        <v>500000</v>
      </c>
      <c r="J469" s="9">
        <f t="shared" si="73"/>
        <v>625000</v>
      </c>
      <c r="K469" s="10">
        <f t="shared" si="74"/>
        <v>750000</v>
      </c>
      <c r="L469" s="9">
        <f t="shared" si="75"/>
        <v>1000000</v>
      </c>
      <c r="M469" s="8">
        <f t="shared" si="76"/>
        <v>1.1212279999999999</v>
      </c>
      <c r="N469" t="str">
        <f t="shared" si="77"/>
        <v>100-125%</v>
      </c>
      <c r="O469" s="9">
        <f>MIN($H469,$I469)*INDEX('2018_commission_structure'!$A$1:$I$4,MATCH($E469,'2018_commission_structure'!$A$1:$A$4,0),MATCH(O$1,'2018_commission_structure'!$A$1:$I$1,0))</f>
        <v>50000</v>
      </c>
      <c r="P469" s="9">
        <f>IF(H469&gt;I469, MIN(H469-I469, J469-I469)*INDEX('2018_commission_structure'!$A$1:$I$4,MATCH($E469,'2018_commission_structure'!$A$1:$A$4,0),MATCH(P$1,'2018_commission_structure'!$A$1:$I$1,0)),0)</f>
        <v>9092.1</v>
      </c>
      <c r="Q469" s="9">
        <f>IF($H469&gt;J469, MIN($H469-J469, K469-J469)*INDEX('2018_commission_structure'!$A$1:$I$4,MATCH($E469,'2018_commission_structure'!$A$1:$A$4,0),MATCH(Q$1,'2018_commission_structure'!$A$1:$I$1,0)),0)</f>
        <v>0</v>
      </c>
      <c r="R469" s="9">
        <f>IF($H469&gt;K469, MIN($H469-K469, L469-K469)*INDEX('2018_commission_structure'!$A$1:$I$4,MATCH($E469,'2018_commission_structure'!$A$1:$A$4,0),MATCH(R$1,'2018_commission_structure'!$A$1:$I$1,0)),0)</f>
        <v>0</v>
      </c>
      <c r="S469" s="9">
        <f>IF(H469&gt;L469,(H469-L469)*INDEX('2018_commission_structure'!$A$1:$I$4,MATCH($E469,'2018_commission_structure'!$A$1:$A$4,0),MATCH(S$1,'2018_commission_structure'!$A$1:$I$1,0)),0)</f>
        <v>0</v>
      </c>
      <c r="T469" s="9">
        <f t="shared" si="78"/>
        <v>59092.1</v>
      </c>
      <c r="U469" s="9">
        <f t="shared" si="70"/>
        <v>95686.1</v>
      </c>
      <c r="V469" s="9">
        <f>MIN($I469,$H469)*INDEX('Key Metrics'!$E$16:$N$19,MATCH($E469,'Key Metrics'!$E$16:$E$19,0),MATCH(V$1,'Key Metrics'!$E$16:$M$16,0))</f>
        <v>60000</v>
      </c>
      <c r="W469" s="9">
        <f>IF($H469&gt;I469, MIN($H469-I469, J469-I469)*INDEX('Key Metrics'!$E$16:$N$19,MATCH($E469,'Key Metrics'!$E$16:$E$19,0),MATCH(W$1,'Key Metrics'!$E$16:$M$16,0)),0)</f>
        <v>10304.380000000001</v>
      </c>
      <c r="X469" s="9">
        <f>IF($H469&gt;J469, MIN($H469-J469, K469-J469)*INDEX('Key Metrics'!$E$16:$N$19,MATCH($E469,'Key Metrics'!$E$16:$E$19,0),MATCH(X$1,'Key Metrics'!$E$16:$M$16,0)),0)</f>
        <v>0</v>
      </c>
      <c r="Y469" s="9">
        <f>IF($H469&gt;K469, MIN($H469-K469, L469-K469)*INDEX('Key Metrics'!$E$16:$N$19,MATCH($E469,'Key Metrics'!$E$16:$E$19,0),MATCH(Y$1,'Key Metrics'!$E$16:$M$16,0)),0)</f>
        <v>0</v>
      </c>
      <c r="Z469" s="9">
        <f>IF($H469&gt;L469,($H469-L469)*INDEX('Key Metrics'!$E$16:$N$19,MATCH($E469,'Key Metrics'!$E$16:$E$19,0),MATCH(Z$1,'Key Metrics'!$E$16:$M$16,0)),0)</f>
        <v>0</v>
      </c>
      <c r="AA469" s="9">
        <f t="shared" si="79"/>
        <v>70304.38</v>
      </c>
      <c r="AB469" s="9">
        <f t="shared" si="71"/>
        <v>70305.501228000008</v>
      </c>
    </row>
    <row r="470" spans="1:28" x14ac:dyDescent="0.55000000000000004">
      <c r="A470" t="str">
        <f t="shared" si="72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COUNTIF(deals_closed!$D$2:$D$20001,Calculations!B977)</f>
        <v>22</v>
      </c>
      <c r="H470" s="7">
        <f>SUMIF(deals_closed!$D:$D,Calculations!B977,deals_closed!$C:$C)</f>
        <v>766349</v>
      </c>
      <c r="I470" s="5">
        <f>VLOOKUP(E470,'2018_commission_structure'!$A$1:$I$4,9,FALSE)</f>
        <v>750000</v>
      </c>
      <c r="J470" s="9">
        <f t="shared" si="73"/>
        <v>937500</v>
      </c>
      <c r="K470" s="10">
        <f t="shared" si="74"/>
        <v>1125000</v>
      </c>
      <c r="L470" s="9">
        <f t="shared" si="75"/>
        <v>1500000</v>
      </c>
      <c r="M470" s="8">
        <f t="shared" si="76"/>
        <v>1.0217986666666667</v>
      </c>
      <c r="N470" t="str">
        <f t="shared" si="77"/>
        <v>100-125%</v>
      </c>
      <c r="O470" s="9">
        <f>MIN($H470,$I470)*INDEX('2018_commission_structure'!$A$1:$I$4,MATCH($E470,'2018_commission_structure'!$A$1:$A$4,0),MATCH(O$1,'2018_commission_structure'!$A$1:$I$1,0))</f>
        <v>112500</v>
      </c>
      <c r="P470" s="9">
        <f>IF(H470&gt;I470, MIN(H470-I470, J470-I470)*INDEX('2018_commission_structure'!$A$1:$I$4,MATCH($E470,'2018_commission_structure'!$A$1:$A$4,0),MATCH(P$1,'2018_commission_structure'!$A$1:$I$1,0)),0)</f>
        <v>3106.31</v>
      </c>
      <c r="Q470" s="9">
        <f>IF($H470&gt;J470, MIN($H470-J470, K470-J470)*INDEX('2018_commission_structure'!$A$1:$I$4,MATCH($E470,'2018_commission_structure'!$A$1:$A$4,0),MATCH(Q$1,'2018_commission_structure'!$A$1:$I$1,0)),0)</f>
        <v>0</v>
      </c>
      <c r="R470" s="9">
        <f>IF($H470&gt;K470, MIN($H470-K470, L470-K470)*INDEX('2018_commission_structure'!$A$1:$I$4,MATCH($E470,'2018_commission_structure'!$A$1:$A$4,0),MATCH(R$1,'2018_commission_structure'!$A$1:$I$1,0)),0)</f>
        <v>0</v>
      </c>
      <c r="S470" s="9">
        <f>IF(H470&gt;L470,(H470-L470)*INDEX('2018_commission_structure'!$A$1:$I$4,MATCH($E470,'2018_commission_structure'!$A$1:$A$4,0),MATCH(S$1,'2018_commission_structure'!$A$1:$I$1,0)),0)</f>
        <v>0</v>
      </c>
      <c r="T470" s="9">
        <f t="shared" si="78"/>
        <v>115606.31</v>
      </c>
      <c r="U470" s="9">
        <f t="shared" si="70"/>
        <v>225220.31</v>
      </c>
      <c r="V470" s="9">
        <f>MIN($I470,$H470)*INDEX('Key Metrics'!$E$16:$N$19,MATCH($E470,'Key Metrics'!$E$16:$E$19,0),MATCH(V$1,'Key Metrics'!$E$16:$M$16,0))</f>
        <v>112500</v>
      </c>
      <c r="W470" s="9">
        <f>IF($H470&gt;I470, MIN($H470-I470, J470-I470)*INDEX('Key Metrics'!$E$16:$N$19,MATCH($E470,'Key Metrics'!$E$16:$E$19,0),MATCH(W$1,'Key Metrics'!$E$16:$M$16,0)),0)</f>
        <v>3596.78</v>
      </c>
      <c r="X470" s="9">
        <f>IF($H470&gt;J470, MIN($H470-J470, K470-J470)*INDEX('Key Metrics'!$E$16:$N$19,MATCH($E470,'Key Metrics'!$E$16:$E$19,0),MATCH(X$1,'Key Metrics'!$E$16:$M$16,0)),0)</f>
        <v>0</v>
      </c>
      <c r="Y470" s="9">
        <f>IF($H470&gt;K470, MIN($H470-K470, L470-K470)*INDEX('Key Metrics'!$E$16:$N$19,MATCH($E470,'Key Metrics'!$E$16:$E$19,0),MATCH(Y$1,'Key Metrics'!$E$16:$M$16,0)),0)</f>
        <v>0</v>
      </c>
      <c r="Z470" s="9">
        <f>IF($H470&gt;L470,($H470-L470)*INDEX('Key Metrics'!$E$16:$N$19,MATCH($E470,'Key Metrics'!$E$16:$E$19,0),MATCH(Z$1,'Key Metrics'!$E$16:$M$16,0)),0)</f>
        <v>0</v>
      </c>
      <c r="AA470" s="9">
        <f t="shared" si="79"/>
        <v>116096.78</v>
      </c>
      <c r="AB470" s="9">
        <f t="shared" si="71"/>
        <v>116097.80179866667</v>
      </c>
    </row>
    <row r="471" spans="1:28" x14ac:dyDescent="0.55000000000000004">
      <c r="A471" t="str">
        <f t="shared" si="72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COUNTIF(deals_closed!$D$2:$D$20001,Calculations!B177)</f>
        <v>17</v>
      </c>
      <c r="H471" s="7">
        <f>SUMIF(deals_closed!$D:$D,Calculations!B177,deals_closed!$C:$C)</f>
        <v>693757</v>
      </c>
      <c r="I471" s="5">
        <f>VLOOKUP(E471,'2018_commission_structure'!$A$1:$I$4,9,FALSE)</f>
        <v>500000</v>
      </c>
      <c r="J471" s="9">
        <f t="shared" si="73"/>
        <v>625000</v>
      </c>
      <c r="K471" s="10">
        <f t="shared" si="74"/>
        <v>750000</v>
      </c>
      <c r="L471" s="9">
        <f t="shared" si="75"/>
        <v>1000000</v>
      </c>
      <c r="M471" s="8">
        <f t="shared" si="76"/>
        <v>1.3875139999999999</v>
      </c>
      <c r="N471" t="str">
        <f t="shared" si="77"/>
        <v>125-150%</v>
      </c>
      <c r="O471" s="9">
        <f>MIN($H471,$I471)*INDEX('2018_commission_structure'!$A$1:$I$4,MATCH($E471,'2018_commission_structure'!$A$1:$A$4,0),MATCH(O$1,'2018_commission_structure'!$A$1:$I$1,0))</f>
        <v>50000</v>
      </c>
      <c r="P471" s="9">
        <f>IF(H471&gt;I471, MIN(H471-I471, J471-I471)*INDEX('2018_commission_structure'!$A$1:$I$4,MATCH($E471,'2018_commission_structure'!$A$1:$A$4,0),MATCH(P$1,'2018_commission_structure'!$A$1:$I$1,0)),0)</f>
        <v>18750</v>
      </c>
      <c r="Q471" s="9">
        <f>IF($H471&gt;J471, MIN($H471-J471, K471-J471)*INDEX('2018_commission_structure'!$A$1:$I$4,MATCH($E471,'2018_commission_structure'!$A$1:$A$4,0),MATCH(Q$1,'2018_commission_structure'!$A$1:$I$1,0)),0)</f>
        <v>12376.26</v>
      </c>
      <c r="R471" s="9">
        <f>IF($H471&gt;K471, MIN($H471-K471, L471-K471)*INDEX('2018_commission_structure'!$A$1:$I$4,MATCH($E471,'2018_commission_structure'!$A$1:$A$4,0),MATCH(R$1,'2018_commission_structure'!$A$1:$I$1,0)),0)</f>
        <v>0</v>
      </c>
      <c r="S471" s="9">
        <f>IF(H471&gt;L471,(H471-L471)*INDEX('2018_commission_structure'!$A$1:$I$4,MATCH($E471,'2018_commission_structure'!$A$1:$A$4,0),MATCH(S$1,'2018_commission_structure'!$A$1:$I$1,0)),0)</f>
        <v>0</v>
      </c>
      <c r="T471" s="9">
        <f t="shared" si="78"/>
        <v>81126.259999999995</v>
      </c>
      <c r="U471" s="9">
        <f t="shared" si="70"/>
        <v>119457.26</v>
      </c>
      <c r="V471" s="9">
        <f>MIN($I471,$H471)*INDEX('Key Metrics'!$E$16:$N$19,MATCH($E471,'Key Metrics'!$E$16:$E$19,0),MATCH(V$1,'Key Metrics'!$E$16:$M$16,0))</f>
        <v>60000</v>
      </c>
      <c r="W471" s="9">
        <f>IF($H471&gt;I471, MIN($H471-I471, J471-I471)*INDEX('Key Metrics'!$E$16:$N$19,MATCH($E471,'Key Metrics'!$E$16:$E$19,0),MATCH(W$1,'Key Metrics'!$E$16:$M$16,0)),0)</f>
        <v>21250</v>
      </c>
      <c r="X471" s="9">
        <f>IF($H471&gt;J471, MIN($H471-J471, K471-J471)*INDEX('Key Metrics'!$E$16:$N$19,MATCH($E471,'Key Metrics'!$E$16:$E$19,0),MATCH(X$1,'Key Metrics'!$E$16:$M$16,0)),0)</f>
        <v>13751.400000000001</v>
      </c>
      <c r="Y471" s="9">
        <f>IF($H471&gt;K471, MIN($H471-K471, L471-K471)*INDEX('Key Metrics'!$E$16:$N$19,MATCH($E471,'Key Metrics'!$E$16:$E$19,0),MATCH(Y$1,'Key Metrics'!$E$16:$M$16,0)),0)</f>
        <v>0</v>
      </c>
      <c r="Z471" s="9">
        <f>IF($H471&gt;L471,($H471-L471)*INDEX('Key Metrics'!$E$16:$N$19,MATCH($E471,'Key Metrics'!$E$16:$E$19,0),MATCH(Z$1,'Key Metrics'!$E$16:$M$16,0)),0)</f>
        <v>0</v>
      </c>
      <c r="AA471" s="9">
        <f t="shared" si="79"/>
        <v>95001.4</v>
      </c>
      <c r="AB471" s="9">
        <f t="shared" si="71"/>
        <v>95002.787513999996</v>
      </c>
    </row>
    <row r="472" spans="1:28" x14ac:dyDescent="0.55000000000000004">
      <c r="A472" t="str">
        <f t="shared" si="72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COUNTIF(deals_closed!$D$2:$D$20001,Calculations!B338)</f>
        <v>32</v>
      </c>
      <c r="H472" s="7">
        <f>SUMIF(deals_closed!$D:$D,Calculations!B338,deals_closed!$C:$C)</f>
        <v>1010499</v>
      </c>
      <c r="I472" s="5">
        <f>VLOOKUP(E472,'2018_commission_structure'!$A$1:$I$4,9,FALSE)</f>
        <v>600000</v>
      </c>
      <c r="J472" s="9">
        <f t="shared" si="73"/>
        <v>750000</v>
      </c>
      <c r="K472" s="10">
        <f t="shared" si="74"/>
        <v>900000</v>
      </c>
      <c r="L472" s="9">
        <f t="shared" si="75"/>
        <v>1200000</v>
      </c>
      <c r="M472" s="8">
        <f t="shared" si="76"/>
        <v>1.6841649999999999</v>
      </c>
      <c r="N472" t="str">
        <f t="shared" si="77"/>
        <v>150-200%</v>
      </c>
      <c r="O472" s="9">
        <f>MIN($H472,$I472)*INDEX('2018_commission_structure'!$A$1:$I$4,MATCH($E472,'2018_commission_structure'!$A$1:$A$4,0),MATCH(O$1,'2018_commission_structure'!$A$1:$I$1,0))</f>
        <v>78000</v>
      </c>
      <c r="P472" s="9">
        <f>IF(H472&gt;I472, MIN(H472-I472, J472-I472)*INDEX('2018_commission_structure'!$A$1:$I$4,MATCH($E472,'2018_commission_structure'!$A$1:$A$4,0),MATCH(P$1,'2018_commission_structure'!$A$1:$I$1,0)),0)</f>
        <v>25500.000000000004</v>
      </c>
      <c r="Q472" s="9">
        <f>IF($H472&gt;J472, MIN($H472-J472, K472-J472)*INDEX('2018_commission_structure'!$A$1:$I$4,MATCH($E472,'2018_commission_structure'!$A$1:$A$4,0),MATCH(Q$1,'2018_commission_structure'!$A$1:$I$1,0)),0)</f>
        <v>31500</v>
      </c>
      <c r="R472" s="9">
        <f>IF($H472&gt;K472, MIN($H472-K472, L472-K472)*INDEX('2018_commission_structure'!$A$1:$I$4,MATCH($E472,'2018_commission_structure'!$A$1:$A$4,0),MATCH(R$1,'2018_commission_structure'!$A$1:$I$1,0)),0)</f>
        <v>28729.74</v>
      </c>
      <c r="S472" s="9">
        <f>IF(H472&gt;L472,(H472-L472)*INDEX('2018_commission_structure'!$A$1:$I$4,MATCH($E472,'2018_commission_structure'!$A$1:$A$4,0),MATCH(S$1,'2018_commission_structure'!$A$1:$I$1,0)),0)</f>
        <v>0</v>
      </c>
      <c r="T472" s="9">
        <f t="shared" si="78"/>
        <v>163729.74</v>
      </c>
      <c r="U472" s="9">
        <f t="shared" si="70"/>
        <v>236922.74</v>
      </c>
      <c r="V472" s="9">
        <f>MIN($I472,$H472)*INDEX('Key Metrics'!$E$16:$N$19,MATCH($E472,'Key Metrics'!$E$16:$E$19,0),MATCH(V$1,'Key Metrics'!$E$16:$M$16,0))</f>
        <v>90000</v>
      </c>
      <c r="W472" s="9">
        <f>IF($H472&gt;I472, MIN($H472-I472, J472-I472)*INDEX('Key Metrics'!$E$16:$N$19,MATCH($E472,'Key Metrics'!$E$16:$E$19,0),MATCH(W$1,'Key Metrics'!$E$16:$M$16,0)),0)</f>
        <v>27000</v>
      </c>
      <c r="X472" s="9">
        <f>IF($H472&gt;J472, MIN($H472-J472, K472-J472)*INDEX('Key Metrics'!$E$16:$N$19,MATCH($E472,'Key Metrics'!$E$16:$E$19,0),MATCH(X$1,'Key Metrics'!$E$16:$M$16,0)),0)</f>
        <v>37500</v>
      </c>
      <c r="Y472" s="9">
        <f>IF($H472&gt;K472, MIN($H472-K472, L472-K472)*INDEX('Key Metrics'!$E$16:$N$19,MATCH($E472,'Key Metrics'!$E$16:$E$19,0),MATCH(Y$1,'Key Metrics'!$E$16:$M$16,0)),0)</f>
        <v>33149.699999999997</v>
      </c>
      <c r="Z472" s="9">
        <f>IF($H472&gt;L472,($H472-L472)*INDEX('Key Metrics'!$E$16:$N$19,MATCH($E472,'Key Metrics'!$E$16:$E$19,0),MATCH(Z$1,'Key Metrics'!$E$16:$M$16,0)),0)</f>
        <v>0</v>
      </c>
      <c r="AA472" s="9">
        <f t="shared" si="79"/>
        <v>187649.7</v>
      </c>
      <c r="AB472" s="9">
        <f t="shared" si="71"/>
        <v>187651.38416500002</v>
      </c>
    </row>
    <row r="473" spans="1:28" x14ac:dyDescent="0.55000000000000004">
      <c r="A473" t="str">
        <f t="shared" si="72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COUNTIF(deals_closed!$D$2:$D$20001,Calculations!B964)</f>
        <v>26</v>
      </c>
      <c r="H473" s="7">
        <f>SUMIF(deals_closed!$D:$D,Calculations!B964,deals_closed!$C:$C)</f>
        <v>1029294</v>
      </c>
      <c r="I473" s="5">
        <f>VLOOKUP(E473,'2018_commission_structure'!$A$1:$I$4,9,FALSE)</f>
        <v>500000</v>
      </c>
      <c r="J473" s="9">
        <f t="shared" si="73"/>
        <v>625000</v>
      </c>
      <c r="K473" s="10">
        <f t="shared" si="74"/>
        <v>750000</v>
      </c>
      <c r="L473" s="9">
        <f t="shared" si="75"/>
        <v>1000000</v>
      </c>
      <c r="M473" s="8">
        <f t="shared" si="76"/>
        <v>2.0585879999999999</v>
      </c>
      <c r="N473" t="str">
        <f t="shared" si="77"/>
        <v>&gt;200%</v>
      </c>
      <c r="O473" s="9">
        <f>MIN($H473,$I473)*INDEX('2018_commission_structure'!$A$1:$I$4,MATCH($E473,'2018_commission_structure'!$A$1:$A$4,0),MATCH(O$1,'2018_commission_structure'!$A$1:$I$1,0))</f>
        <v>50000</v>
      </c>
      <c r="P473" s="9">
        <f>IF(H473&gt;I473, MIN(H473-I473, J473-I473)*INDEX('2018_commission_structure'!$A$1:$I$4,MATCH($E473,'2018_commission_structure'!$A$1:$A$4,0),MATCH(P$1,'2018_commission_structure'!$A$1:$I$1,0)),0)</f>
        <v>18750</v>
      </c>
      <c r="Q473" s="9">
        <f>IF($H473&gt;J473, MIN($H473-J473, K473-J473)*INDEX('2018_commission_structure'!$A$1:$I$4,MATCH($E473,'2018_commission_structure'!$A$1:$A$4,0),MATCH(Q$1,'2018_commission_structure'!$A$1:$I$1,0)),0)</f>
        <v>22500</v>
      </c>
      <c r="R473" s="9">
        <f>IF($H473&gt;K473, MIN($H473-K473, L473-K473)*INDEX('2018_commission_structure'!$A$1:$I$4,MATCH($E473,'2018_commission_structure'!$A$1:$A$4,0),MATCH(R$1,'2018_commission_structure'!$A$1:$I$1,0)),0)</f>
        <v>55000</v>
      </c>
      <c r="S473" s="9">
        <f>IF(H473&gt;L473,(H473-L473)*INDEX('2018_commission_structure'!$A$1:$I$4,MATCH($E473,'2018_commission_structure'!$A$1:$A$4,0),MATCH(S$1,'2018_commission_structure'!$A$1:$I$1,0)),0)</f>
        <v>2929.4</v>
      </c>
      <c r="T473" s="9">
        <f t="shared" si="78"/>
        <v>149179.4</v>
      </c>
      <c r="U473" s="9">
        <f t="shared" si="70"/>
        <v>184196.4</v>
      </c>
      <c r="V473" s="9">
        <f>MIN($I473,$H473)*INDEX('Key Metrics'!$E$16:$N$19,MATCH($E473,'Key Metrics'!$E$16:$E$19,0),MATCH(V$1,'Key Metrics'!$E$16:$M$16,0))</f>
        <v>60000</v>
      </c>
      <c r="W473" s="9">
        <f>IF($H473&gt;I473, MIN($H473-I473, J473-I473)*INDEX('Key Metrics'!$E$16:$N$19,MATCH($E473,'Key Metrics'!$E$16:$E$19,0),MATCH(W$1,'Key Metrics'!$E$16:$M$16,0)),0)</f>
        <v>21250</v>
      </c>
      <c r="X473" s="9">
        <f>IF($H473&gt;J473, MIN($H473-J473, K473-J473)*INDEX('Key Metrics'!$E$16:$N$19,MATCH($E473,'Key Metrics'!$E$16:$E$19,0),MATCH(X$1,'Key Metrics'!$E$16:$M$16,0)),0)</f>
        <v>25000</v>
      </c>
      <c r="Y473" s="9">
        <f>IF($H473&gt;K473, MIN($H473-K473, L473-K473)*INDEX('Key Metrics'!$E$16:$N$19,MATCH($E473,'Key Metrics'!$E$16:$E$19,0),MATCH(Y$1,'Key Metrics'!$E$16:$M$16,0)),0)</f>
        <v>55000</v>
      </c>
      <c r="Z473" s="9">
        <f>IF($H473&gt;L473,($H473-L473)*INDEX('Key Metrics'!$E$16:$N$19,MATCH($E473,'Key Metrics'!$E$16:$E$19,0),MATCH(Z$1,'Key Metrics'!$E$16:$M$16,0)),0)</f>
        <v>2929.4</v>
      </c>
      <c r="AA473" s="9">
        <f t="shared" si="79"/>
        <v>164179.4</v>
      </c>
      <c r="AB473" s="9">
        <f t="shared" si="71"/>
        <v>164181.45858800001</v>
      </c>
    </row>
    <row r="474" spans="1:28" x14ac:dyDescent="0.55000000000000004">
      <c r="A474" t="str">
        <f t="shared" si="72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COUNTIF(deals_closed!$D$2:$D$20001,Calculations!B304)</f>
        <v>19</v>
      </c>
      <c r="H474" s="7">
        <f>SUMIF(deals_closed!$D:$D,Calculations!B304,deals_closed!$C:$C)</f>
        <v>605319</v>
      </c>
      <c r="I474" s="5">
        <f>VLOOKUP(E474,'2018_commission_structure'!$A$1:$I$4,9,FALSE)</f>
        <v>600000</v>
      </c>
      <c r="J474" s="9">
        <f t="shared" si="73"/>
        <v>750000</v>
      </c>
      <c r="K474" s="10">
        <f t="shared" si="74"/>
        <v>900000</v>
      </c>
      <c r="L474" s="9">
        <f t="shared" si="75"/>
        <v>1200000</v>
      </c>
      <c r="M474" s="8">
        <f t="shared" si="76"/>
        <v>1.0088649999999999</v>
      </c>
      <c r="N474" t="str">
        <f t="shared" si="77"/>
        <v>100-125%</v>
      </c>
      <c r="O474" s="9">
        <f>MIN($H474,$I474)*INDEX('2018_commission_structure'!$A$1:$I$4,MATCH($E474,'2018_commission_structure'!$A$1:$A$4,0),MATCH(O$1,'2018_commission_structure'!$A$1:$I$1,0))</f>
        <v>78000</v>
      </c>
      <c r="P474" s="9">
        <f>IF(H474&gt;I474, MIN(H474-I474, J474-I474)*INDEX('2018_commission_structure'!$A$1:$I$4,MATCH($E474,'2018_commission_structure'!$A$1:$A$4,0),MATCH(P$1,'2018_commission_structure'!$A$1:$I$1,0)),0)</f>
        <v>904.23</v>
      </c>
      <c r="Q474" s="9">
        <f>IF($H474&gt;J474, MIN($H474-J474, K474-J474)*INDEX('2018_commission_structure'!$A$1:$I$4,MATCH($E474,'2018_commission_structure'!$A$1:$A$4,0),MATCH(Q$1,'2018_commission_structure'!$A$1:$I$1,0)),0)</f>
        <v>0</v>
      </c>
      <c r="R474" s="9">
        <f>IF($H474&gt;K474, MIN($H474-K474, L474-K474)*INDEX('2018_commission_structure'!$A$1:$I$4,MATCH($E474,'2018_commission_structure'!$A$1:$A$4,0),MATCH(R$1,'2018_commission_structure'!$A$1:$I$1,0)),0)</f>
        <v>0</v>
      </c>
      <c r="S474" s="9">
        <f>IF(H474&gt;L474,(H474-L474)*INDEX('2018_commission_structure'!$A$1:$I$4,MATCH($E474,'2018_commission_structure'!$A$1:$A$4,0),MATCH(S$1,'2018_commission_structure'!$A$1:$I$1,0)),0)</f>
        <v>0</v>
      </c>
      <c r="T474" s="9">
        <f t="shared" si="78"/>
        <v>78904.23</v>
      </c>
      <c r="U474" s="9">
        <f t="shared" si="70"/>
        <v>150190.22999999998</v>
      </c>
      <c r="V474" s="9">
        <f>MIN($I474,$H474)*INDEX('Key Metrics'!$E$16:$N$19,MATCH($E474,'Key Metrics'!$E$16:$E$19,0),MATCH(V$1,'Key Metrics'!$E$16:$M$16,0))</f>
        <v>90000</v>
      </c>
      <c r="W474" s="9">
        <f>IF($H474&gt;I474, MIN($H474-I474, J474-I474)*INDEX('Key Metrics'!$E$16:$N$19,MATCH($E474,'Key Metrics'!$E$16:$E$19,0),MATCH(W$1,'Key Metrics'!$E$16:$M$16,0)),0)</f>
        <v>957.42</v>
      </c>
      <c r="X474" s="9">
        <f>IF($H474&gt;J474, MIN($H474-J474, K474-J474)*INDEX('Key Metrics'!$E$16:$N$19,MATCH($E474,'Key Metrics'!$E$16:$E$19,0),MATCH(X$1,'Key Metrics'!$E$16:$M$16,0)),0)</f>
        <v>0</v>
      </c>
      <c r="Y474" s="9">
        <f>IF($H474&gt;K474, MIN($H474-K474, L474-K474)*INDEX('Key Metrics'!$E$16:$N$19,MATCH($E474,'Key Metrics'!$E$16:$E$19,0),MATCH(Y$1,'Key Metrics'!$E$16:$M$16,0)),0)</f>
        <v>0</v>
      </c>
      <c r="Z474" s="9">
        <f>IF($H474&gt;L474,($H474-L474)*INDEX('Key Metrics'!$E$16:$N$19,MATCH($E474,'Key Metrics'!$E$16:$E$19,0),MATCH(Z$1,'Key Metrics'!$E$16:$M$16,0)),0)</f>
        <v>0</v>
      </c>
      <c r="AA474" s="9">
        <f t="shared" si="79"/>
        <v>90957.42</v>
      </c>
      <c r="AB474" s="9">
        <f t="shared" si="71"/>
        <v>90958.428864999994</v>
      </c>
    </row>
    <row r="475" spans="1:28" x14ac:dyDescent="0.55000000000000004">
      <c r="A475" t="str">
        <f t="shared" si="72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COUNTIF(deals_closed!$D$2:$D$20001,Calculations!B358)</f>
        <v>18</v>
      </c>
      <c r="H475" s="7">
        <f>SUMIF(deals_closed!$D:$D,Calculations!B358,deals_closed!$C:$C)</f>
        <v>648709</v>
      </c>
      <c r="I475" s="5">
        <f>VLOOKUP(E475,'2018_commission_structure'!$A$1:$I$4,9,FALSE)</f>
        <v>600000</v>
      </c>
      <c r="J475" s="9">
        <f t="shared" si="73"/>
        <v>750000</v>
      </c>
      <c r="K475" s="10">
        <f t="shared" si="74"/>
        <v>900000</v>
      </c>
      <c r="L475" s="9">
        <f t="shared" si="75"/>
        <v>1200000</v>
      </c>
      <c r="M475" s="8">
        <f t="shared" si="76"/>
        <v>1.0811816666666667</v>
      </c>
      <c r="N475" t="str">
        <f t="shared" si="77"/>
        <v>100-125%</v>
      </c>
      <c r="O475" s="9">
        <f>MIN($H475,$I475)*INDEX('2018_commission_structure'!$A$1:$I$4,MATCH($E475,'2018_commission_structure'!$A$1:$A$4,0),MATCH(O$1,'2018_commission_structure'!$A$1:$I$1,0))</f>
        <v>78000</v>
      </c>
      <c r="P475" s="9">
        <f>IF(H475&gt;I475, MIN(H475-I475, J475-I475)*INDEX('2018_commission_structure'!$A$1:$I$4,MATCH($E475,'2018_commission_structure'!$A$1:$A$4,0),MATCH(P$1,'2018_commission_structure'!$A$1:$I$1,0)),0)</f>
        <v>8280.5300000000007</v>
      </c>
      <c r="Q475" s="9">
        <f>IF($H475&gt;J475, MIN($H475-J475, K475-J475)*INDEX('2018_commission_structure'!$A$1:$I$4,MATCH($E475,'2018_commission_structure'!$A$1:$A$4,0),MATCH(Q$1,'2018_commission_structure'!$A$1:$I$1,0)),0)</f>
        <v>0</v>
      </c>
      <c r="R475" s="9">
        <f>IF($H475&gt;K475, MIN($H475-K475, L475-K475)*INDEX('2018_commission_structure'!$A$1:$I$4,MATCH($E475,'2018_commission_structure'!$A$1:$A$4,0),MATCH(R$1,'2018_commission_structure'!$A$1:$I$1,0)),0)</f>
        <v>0</v>
      </c>
      <c r="S475" s="9">
        <f>IF(H475&gt;L475,(H475-L475)*INDEX('2018_commission_structure'!$A$1:$I$4,MATCH($E475,'2018_commission_structure'!$A$1:$A$4,0),MATCH(S$1,'2018_commission_structure'!$A$1:$I$1,0)),0)</f>
        <v>0</v>
      </c>
      <c r="T475" s="9">
        <f t="shared" si="78"/>
        <v>86280.53</v>
      </c>
      <c r="U475" s="9">
        <f t="shared" si="70"/>
        <v>161312.53</v>
      </c>
      <c r="V475" s="9">
        <f>MIN($I475,$H475)*INDEX('Key Metrics'!$E$16:$N$19,MATCH($E475,'Key Metrics'!$E$16:$E$19,0),MATCH(V$1,'Key Metrics'!$E$16:$M$16,0))</f>
        <v>90000</v>
      </c>
      <c r="W475" s="9">
        <f>IF($H475&gt;I475, MIN($H475-I475, J475-I475)*INDEX('Key Metrics'!$E$16:$N$19,MATCH($E475,'Key Metrics'!$E$16:$E$19,0),MATCH(W$1,'Key Metrics'!$E$16:$M$16,0)),0)</f>
        <v>8767.619999999999</v>
      </c>
      <c r="X475" s="9">
        <f>IF($H475&gt;J475, MIN($H475-J475, K475-J475)*INDEX('Key Metrics'!$E$16:$N$19,MATCH($E475,'Key Metrics'!$E$16:$E$19,0),MATCH(X$1,'Key Metrics'!$E$16:$M$16,0)),0)</f>
        <v>0</v>
      </c>
      <c r="Y475" s="9">
        <f>IF($H475&gt;K475, MIN($H475-K475, L475-K475)*INDEX('Key Metrics'!$E$16:$N$19,MATCH($E475,'Key Metrics'!$E$16:$E$19,0),MATCH(Y$1,'Key Metrics'!$E$16:$M$16,0)),0)</f>
        <v>0</v>
      </c>
      <c r="Z475" s="9">
        <f>IF($H475&gt;L475,($H475-L475)*INDEX('Key Metrics'!$E$16:$N$19,MATCH($E475,'Key Metrics'!$E$16:$E$19,0),MATCH(Z$1,'Key Metrics'!$E$16:$M$16,0)),0)</f>
        <v>0</v>
      </c>
      <c r="AA475" s="9">
        <f t="shared" si="79"/>
        <v>98767.62</v>
      </c>
      <c r="AB475" s="9">
        <f t="shared" si="71"/>
        <v>98768.701181666664</v>
      </c>
    </row>
    <row r="476" spans="1:28" x14ac:dyDescent="0.55000000000000004">
      <c r="A476" t="str">
        <f t="shared" si="72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COUNTIF(deals_closed!$D$2:$D$20001,Calculations!B29)</f>
        <v>13</v>
      </c>
      <c r="H476" s="7">
        <f>SUMIF(deals_closed!$D:$D,Calculations!B29,deals_closed!$C:$C)</f>
        <v>416927</v>
      </c>
      <c r="I476" s="5">
        <f>VLOOKUP(E476,'2018_commission_structure'!$A$1:$I$4,9,FALSE)</f>
        <v>600000</v>
      </c>
      <c r="J476" s="9">
        <f t="shared" si="73"/>
        <v>750000</v>
      </c>
      <c r="K476" s="10">
        <f t="shared" si="74"/>
        <v>900000</v>
      </c>
      <c r="L476" s="9">
        <f t="shared" si="75"/>
        <v>1200000</v>
      </c>
      <c r="M476" s="8">
        <f t="shared" si="76"/>
        <v>0.69487833333333338</v>
      </c>
      <c r="N476" t="str">
        <f t="shared" si="77"/>
        <v>0-100%</v>
      </c>
      <c r="O476" s="9">
        <f>MIN($H476,$I476)*INDEX('2018_commission_structure'!$A$1:$I$4,MATCH($E476,'2018_commission_structure'!$A$1:$A$4,0),MATCH(O$1,'2018_commission_structure'!$A$1:$I$1,0))</f>
        <v>54200.51</v>
      </c>
      <c r="P476" s="9">
        <f>IF(H476&gt;I476, MIN(H476-I476, J476-I476)*INDEX('2018_commission_structure'!$A$1:$I$4,MATCH($E476,'2018_commission_structure'!$A$1:$A$4,0),MATCH(P$1,'2018_commission_structure'!$A$1:$I$1,0)),0)</f>
        <v>0</v>
      </c>
      <c r="Q476" s="9">
        <f>IF($H476&gt;J476, MIN($H476-J476, K476-J476)*INDEX('2018_commission_structure'!$A$1:$I$4,MATCH($E476,'2018_commission_structure'!$A$1:$A$4,0),MATCH(Q$1,'2018_commission_structure'!$A$1:$I$1,0)),0)</f>
        <v>0</v>
      </c>
      <c r="R476" s="9">
        <f>IF($H476&gt;K476, MIN($H476-K476, L476-K476)*INDEX('2018_commission_structure'!$A$1:$I$4,MATCH($E476,'2018_commission_structure'!$A$1:$A$4,0),MATCH(R$1,'2018_commission_structure'!$A$1:$I$1,0)),0)</f>
        <v>0</v>
      </c>
      <c r="S476" s="9">
        <f>IF(H476&gt;L476,(H476-L476)*INDEX('2018_commission_structure'!$A$1:$I$4,MATCH($E476,'2018_commission_structure'!$A$1:$A$4,0),MATCH(S$1,'2018_commission_structure'!$A$1:$I$1,0)),0)</f>
        <v>0</v>
      </c>
      <c r="T476" s="9">
        <f t="shared" si="78"/>
        <v>54200.51</v>
      </c>
      <c r="U476" s="9">
        <f t="shared" si="70"/>
        <v>121939.51000000001</v>
      </c>
      <c r="V476" s="9">
        <f>MIN($I476,$H476)*INDEX('Key Metrics'!$E$16:$N$19,MATCH($E476,'Key Metrics'!$E$16:$E$19,0),MATCH(V$1,'Key Metrics'!$E$16:$M$16,0))</f>
        <v>62539.049999999996</v>
      </c>
      <c r="W476" s="9">
        <f>IF($H476&gt;I476, MIN($H476-I476, J476-I476)*INDEX('Key Metrics'!$E$16:$N$19,MATCH($E476,'Key Metrics'!$E$16:$E$19,0),MATCH(W$1,'Key Metrics'!$E$16:$M$16,0)),0)</f>
        <v>0</v>
      </c>
      <c r="X476" s="9">
        <f>IF($H476&gt;J476, MIN($H476-J476, K476-J476)*INDEX('Key Metrics'!$E$16:$N$19,MATCH($E476,'Key Metrics'!$E$16:$E$19,0),MATCH(X$1,'Key Metrics'!$E$16:$M$16,0)),0)</f>
        <v>0</v>
      </c>
      <c r="Y476" s="9">
        <f>IF($H476&gt;K476, MIN($H476-K476, L476-K476)*INDEX('Key Metrics'!$E$16:$N$19,MATCH($E476,'Key Metrics'!$E$16:$E$19,0),MATCH(Y$1,'Key Metrics'!$E$16:$M$16,0)),0)</f>
        <v>0</v>
      </c>
      <c r="Z476" s="9">
        <f>IF($H476&gt;L476,($H476-L476)*INDEX('Key Metrics'!$E$16:$N$19,MATCH($E476,'Key Metrics'!$E$16:$E$19,0),MATCH(Z$1,'Key Metrics'!$E$16:$M$16,0)),0)</f>
        <v>0</v>
      </c>
      <c r="AA476" s="9">
        <f t="shared" si="79"/>
        <v>62539.049999999996</v>
      </c>
      <c r="AB476" s="9">
        <f t="shared" si="71"/>
        <v>62539.744878333331</v>
      </c>
    </row>
    <row r="477" spans="1:28" x14ac:dyDescent="0.55000000000000004">
      <c r="A477" t="str">
        <f t="shared" si="72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COUNTIF(deals_closed!$D$2:$D$20001,Calculations!B308)</f>
        <v>24</v>
      </c>
      <c r="H477" s="7">
        <f>SUMIF(deals_closed!$D:$D,Calculations!B308,deals_closed!$C:$C)</f>
        <v>833134</v>
      </c>
      <c r="I477" s="5">
        <f>VLOOKUP(E477,'2018_commission_structure'!$A$1:$I$4,9,FALSE)</f>
        <v>500000</v>
      </c>
      <c r="J477" s="9">
        <f t="shared" si="73"/>
        <v>625000</v>
      </c>
      <c r="K477" s="10">
        <f t="shared" si="74"/>
        <v>750000</v>
      </c>
      <c r="L477" s="9">
        <f t="shared" si="75"/>
        <v>1000000</v>
      </c>
      <c r="M477" s="8">
        <f t="shared" si="76"/>
        <v>1.6662680000000001</v>
      </c>
      <c r="N477" t="str">
        <f t="shared" si="77"/>
        <v>150-200%</v>
      </c>
      <c r="O477" s="9">
        <f>MIN($H477,$I477)*INDEX('2018_commission_structure'!$A$1:$I$4,MATCH($E477,'2018_commission_structure'!$A$1:$A$4,0),MATCH(O$1,'2018_commission_structure'!$A$1:$I$1,0))</f>
        <v>50000</v>
      </c>
      <c r="P477" s="9">
        <f>IF(H477&gt;I477, MIN(H477-I477, J477-I477)*INDEX('2018_commission_structure'!$A$1:$I$4,MATCH($E477,'2018_commission_structure'!$A$1:$A$4,0),MATCH(P$1,'2018_commission_structure'!$A$1:$I$1,0)),0)</f>
        <v>18750</v>
      </c>
      <c r="Q477" s="9">
        <f>IF($H477&gt;J477, MIN($H477-J477, K477-J477)*INDEX('2018_commission_structure'!$A$1:$I$4,MATCH($E477,'2018_commission_structure'!$A$1:$A$4,0),MATCH(Q$1,'2018_commission_structure'!$A$1:$I$1,0)),0)</f>
        <v>22500</v>
      </c>
      <c r="R477" s="9">
        <f>IF($H477&gt;K477, MIN($H477-K477, L477-K477)*INDEX('2018_commission_structure'!$A$1:$I$4,MATCH($E477,'2018_commission_structure'!$A$1:$A$4,0),MATCH(R$1,'2018_commission_structure'!$A$1:$I$1,0)),0)</f>
        <v>18289.48</v>
      </c>
      <c r="S477" s="9">
        <f>IF(H477&gt;L477,(H477-L477)*INDEX('2018_commission_structure'!$A$1:$I$4,MATCH($E477,'2018_commission_structure'!$A$1:$A$4,0),MATCH(S$1,'2018_commission_structure'!$A$1:$I$1,0)),0)</f>
        <v>0</v>
      </c>
      <c r="T477" s="9">
        <f t="shared" si="78"/>
        <v>109539.48</v>
      </c>
      <c r="U477" s="9">
        <f t="shared" si="70"/>
        <v>161098.47999999998</v>
      </c>
      <c r="V477" s="9">
        <f>MIN($I477,$H477)*INDEX('Key Metrics'!$E$16:$N$19,MATCH($E477,'Key Metrics'!$E$16:$E$19,0),MATCH(V$1,'Key Metrics'!$E$16:$M$16,0))</f>
        <v>60000</v>
      </c>
      <c r="W477" s="9">
        <f>IF($H477&gt;I477, MIN($H477-I477, J477-I477)*INDEX('Key Metrics'!$E$16:$N$19,MATCH($E477,'Key Metrics'!$E$16:$E$19,0),MATCH(W$1,'Key Metrics'!$E$16:$M$16,0)),0)</f>
        <v>21250</v>
      </c>
      <c r="X477" s="9">
        <f>IF($H477&gt;J477, MIN($H477-J477, K477-J477)*INDEX('Key Metrics'!$E$16:$N$19,MATCH($E477,'Key Metrics'!$E$16:$E$19,0),MATCH(X$1,'Key Metrics'!$E$16:$M$16,0)),0)</f>
        <v>25000</v>
      </c>
      <c r="Y477" s="9">
        <f>IF($H477&gt;K477, MIN($H477-K477, L477-K477)*INDEX('Key Metrics'!$E$16:$N$19,MATCH($E477,'Key Metrics'!$E$16:$E$19,0),MATCH(Y$1,'Key Metrics'!$E$16:$M$16,0)),0)</f>
        <v>18289.48</v>
      </c>
      <c r="Z477" s="9">
        <f>IF($H477&gt;L477,($H477-L477)*INDEX('Key Metrics'!$E$16:$N$19,MATCH($E477,'Key Metrics'!$E$16:$E$19,0),MATCH(Z$1,'Key Metrics'!$E$16:$M$16,0)),0)</f>
        <v>0</v>
      </c>
      <c r="AA477" s="9">
        <f t="shared" si="79"/>
        <v>124539.48</v>
      </c>
      <c r="AB477" s="9">
        <f t="shared" si="71"/>
        <v>124541.146268</v>
      </c>
    </row>
    <row r="478" spans="1:28" x14ac:dyDescent="0.55000000000000004">
      <c r="A478" t="str">
        <f t="shared" si="72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COUNTIF(deals_closed!$D$2:$D$20001,Calculations!B857)</f>
        <v>17</v>
      </c>
      <c r="H478" s="7">
        <f>SUMIF(deals_closed!$D:$D,Calculations!B857,deals_closed!$C:$C)</f>
        <v>608913</v>
      </c>
      <c r="I478" s="5">
        <f>VLOOKUP(E478,'2018_commission_structure'!$A$1:$I$4,9,FALSE)</f>
        <v>750000</v>
      </c>
      <c r="J478" s="9">
        <f t="shared" si="73"/>
        <v>937500</v>
      </c>
      <c r="K478" s="10">
        <f t="shared" si="74"/>
        <v>1125000</v>
      </c>
      <c r="L478" s="9">
        <f t="shared" si="75"/>
        <v>1500000</v>
      </c>
      <c r="M478" s="8">
        <f t="shared" si="76"/>
        <v>0.81188400000000005</v>
      </c>
      <c r="N478" t="str">
        <f t="shared" si="77"/>
        <v>0-100%</v>
      </c>
      <c r="O478" s="9">
        <f>MIN($H478,$I478)*INDEX('2018_commission_structure'!$A$1:$I$4,MATCH($E478,'2018_commission_structure'!$A$1:$A$4,0),MATCH(O$1,'2018_commission_structure'!$A$1:$I$1,0))</f>
        <v>91336.95</v>
      </c>
      <c r="P478" s="9">
        <f>IF(H478&gt;I478, MIN(H478-I478, J478-I478)*INDEX('2018_commission_structure'!$A$1:$I$4,MATCH($E478,'2018_commission_structure'!$A$1:$A$4,0),MATCH(P$1,'2018_commission_structure'!$A$1:$I$1,0)),0)</f>
        <v>0</v>
      </c>
      <c r="Q478" s="9">
        <f>IF($H478&gt;J478, MIN($H478-J478, K478-J478)*INDEX('2018_commission_structure'!$A$1:$I$4,MATCH($E478,'2018_commission_structure'!$A$1:$A$4,0),MATCH(Q$1,'2018_commission_structure'!$A$1:$I$1,0)),0)</f>
        <v>0</v>
      </c>
      <c r="R478" s="9">
        <f>IF($H478&gt;K478, MIN($H478-K478, L478-K478)*INDEX('2018_commission_structure'!$A$1:$I$4,MATCH($E478,'2018_commission_structure'!$A$1:$A$4,0),MATCH(R$1,'2018_commission_structure'!$A$1:$I$1,0)),0)</f>
        <v>0</v>
      </c>
      <c r="S478" s="9">
        <f>IF(H478&gt;L478,(H478-L478)*INDEX('2018_commission_structure'!$A$1:$I$4,MATCH($E478,'2018_commission_structure'!$A$1:$A$4,0),MATCH(S$1,'2018_commission_structure'!$A$1:$I$1,0)),0)</f>
        <v>0</v>
      </c>
      <c r="T478" s="9">
        <f t="shared" si="78"/>
        <v>91336.95</v>
      </c>
      <c r="U478" s="9">
        <f t="shared" si="70"/>
        <v>177350.95</v>
      </c>
      <c r="V478" s="9">
        <f>MIN($I478,$H478)*INDEX('Key Metrics'!$E$16:$N$19,MATCH($E478,'Key Metrics'!$E$16:$E$19,0),MATCH(V$1,'Key Metrics'!$E$16:$M$16,0))</f>
        <v>91336.95</v>
      </c>
      <c r="W478" s="9">
        <f>IF($H478&gt;I478, MIN($H478-I478, J478-I478)*INDEX('Key Metrics'!$E$16:$N$19,MATCH($E478,'Key Metrics'!$E$16:$E$19,0),MATCH(W$1,'Key Metrics'!$E$16:$M$16,0)),0)</f>
        <v>0</v>
      </c>
      <c r="X478" s="9">
        <f>IF($H478&gt;J478, MIN($H478-J478, K478-J478)*INDEX('Key Metrics'!$E$16:$N$19,MATCH($E478,'Key Metrics'!$E$16:$E$19,0),MATCH(X$1,'Key Metrics'!$E$16:$M$16,0)),0)</f>
        <v>0</v>
      </c>
      <c r="Y478" s="9">
        <f>IF($H478&gt;K478, MIN($H478-K478, L478-K478)*INDEX('Key Metrics'!$E$16:$N$19,MATCH($E478,'Key Metrics'!$E$16:$E$19,0),MATCH(Y$1,'Key Metrics'!$E$16:$M$16,0)),0)</f>
        <v>0</v>
      </c>
      <c r="Z478" s="9">
        <f>IF($H478&gt;L478,($H478-L478)*INDEX('Key Metrics'!$E$16:$N$19,MATCH($E478,'Key Metrics'!$E$16:$E$19,0),MATCH(Z$1,'Key Metrics'!$E$16:$M$16,0)),0)</f>
        <v>0</v>
      </c>
      <c r="AA478" s="9">
        <f t="shared" si="79"/>
        <v>91336.95</v>
      </c>
      <c r="AB478" s="9">
        <f t="shared" si="71"/>
        <v>91337.761883999992</v>
      </c>
    </row>
    <row r="479" spans="1:28" x14ac:dyDescent="0.55000000000000004">
      <c r="A479" t="str">
        <f t="shared" si="72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COUNTIF(deals_closed!$D$2:$D$20001,Calculations!B608)</f>
        <v>32</v>
      </c>
      <c r="H479" s="7">
        <f>SUMIF(deals_closed!$D:$D,Calculations!B608,deals_closed!$C:$C)</f>
        <v>1172724</v>
      </c>
      <c r="I479" s="5">
        <f>VLOOKUP(E479,'2018_commission_structure'!$A$1:$I$4,9,FALSE)</f>
        <v>750000</v>
      </c>
      <c r="J479" s="9">
        <f t="shared" si="73"/>
        <v>937500</v>
      </c>
      <c r="K479" s="10">
        <f t="shared" si="74"/>
        <v>1125000</v>
      </c>
      <c r="L479" s="9">
        <f t="shared" si="75"/>
        <v>1500000</v>
      </c>
      <c r="M479" s="8">
        <f t="shared" si="76"/>
        <v>1.5636319999999999</v>
      </c>
      <c r="N479" t="str">
        <f t="shared" si="77"/>
        <v>150-200%</v>
      </c>
      <c r="O479" s="9">
        <f>MIN($H479,$I479)*INDEX('2018_commission_structure'!$A$1:$I$4,MATCH($E479,'2018_commission_structure'!$A$1:$A$4,0),MATCH(O$1,'2018_commission_structure'!$A$1:$I$1,0))</f>
        <v>112500</v>
      </c>
      <c r="P479" s="9">
        <f>IF(H479&gt;I479, MIN(H479-I479, J479-I479)*INDEX('2018_commission_structure'!$A$1:$I$4,MATCH($E479,'2018_commission_structure'!$A$1:$A$4,0),MATCH(P$1,'2018_commission_structure'!$A$1:$I$1,0)),0)</f>
        <v>35625</v>
      </c>
      <c r="Q479" s="9">
        <f>IF($H479&gt;J479, MIN($H479-J479, K479-J479)*INDEX('2018_commission_structure'!$A$1:$I$4,MATCH($E479,'2018_commission_structure'!$A$1:$A$4,0),MATCH(Q$1,'2018_commission_structure'!$A$1:$I$1,0)),0)</f>
        <v>43125</v>
      </c>
      <c r="R479" s="9">
        <f>IF($H479&gt;K479, MIN($H479-K479, L479-K479)*INDEX('2018_commission_structure'!$A$1:$I$4,MATCH($E479,'2018_commission_structure'!$A$1:$A$4,0),MATCH(R$1,'2018_commission_structure'!$A$1:$I$1,0)),0)</f>
        <v>14317.199999999999</v>
      </c>
      <c r="S479" s="9">
        <f>IF(H479&gt;L479,(H479-L479)*INDEX('2018_commission_structure'!$A$1:$I$4,MATCH($E479,'2018_commission_structure'!$A$1:$A$4,0),MATCH(S$1,'2018_commission_structure'!$A$1:$I$1,0)),0)</f>
        <v>0</v>
      </c>
      <c r="T479" s="9">
        <f t="shared" si="78"/>
        <v>205567.2</v>
      </c>
      <c r="U479" s="9">
        <f t="shared" si="70"/>
        <v>322376.2</v>
      </c>
      <c r="V479" s="9">
        <f>MIN($I479,$H479)*INDEX('Key Metrics'!$E$16:$N$19,MATCH($E479,'Key Metrics'!$E$16:$E$19,0),MATCH(V$1,'Key Metrics'!$E$16:$M$16,0))</f>
        <v>112500</v>
      </c>
      <c r="W479" s="9">
        <f>IF($H479&gt;I479, MIN($H479-I479, J479-I479)*INDEX('Key Metrics'!$E$16:$N$19,MATCH($E479,'Key Metrics'!$E$16:$E$19,0),MATCH(W$1,'Key Metrics'!$E$16:$M$16,0)),0)</f>
        <v>41250</v>
      </c>
      <c r="X479" s="9">
        <f>IF($H479&gt;J479, MIN($H479-J479, K479-J479)*INDEX('Key Metrics'!$E$16:$N$19,MATCH($E479,'Key Metrics'!$E$16:$E$19,0),MATCH(X$1,'Key Metrics'!$E$16:$M$16,0)),0)</f>
        <v>46875</v>
      </c>
      <c r="Y479" s="9">
        <f>IF($H479&gt;K479, MIN($H479-K479, L479-K479)*INDEX('Key Metrics'!$E$16:$N$19,MATCH($E479,'Key Metrics'!$E$16:$E$19,0),MATCH(Y$1,'Key Metrics'!$E$16:$M$16,0)),0)</f>
        <v>15748.92</v>
      </c>
      <c r="Z479" s="9">
        <f>IF($H479&gt;L479,($H479-L479)*INDEX('Key Metrics'!$E$16:$N$19,MATCH($E479,'Key Metrics'!$E$16:$E$19,0),MATCH(Z$1,'Key Metrics'!$E$16:$M$16,0)),0)</f>
        <v>0</v>
      </c>
      <c r="AA479" s="9">
        <f t="shared" si="79"/>
        <v>216373.92</v>
      </c>
      <c r="AB479" s="9">
        <f t="shared" si="71"/>
        <v>216375.48363200002</v>
      </c>
    </row>
    <row r="480" spans="1:28" x14ac:dyDescent="0.55000000000000004">
      <c r="A480" t="str">
        <f t="shared" si="72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COUNTIF(deals_closed!$D$2:$D$20001,Calculations!B46)</f>
        <v>16</v>
      </c>
      <c r="H480" s="7">
        <f>SUMIF(deals_closed!$D:$D,Calculations!B46,deals_closed!$C:$C)</f>
        <v>621858</v>
      </c>
      <c r="I480" s="5">
        <f>VLOOKUP(E480,'2018_commission_structure'!$A$1:$I$4,9,FALSE)</f>
        <v>500000</v>
      </c>
      <c r="J480" s="9">
        <f t="shared" si="73"/>
        <v>625000</v>
      </c>
      <c r="K480" s="10">
        <f t="shared" si="74"/>
        <v>750000</v>
      </c>
      <c r="L480" s="9">
        <f t="shared" si="75"/>
        <v>1000000</v>
      </c>
      <c r="M480" s="8">
        <f t="shared" si="76"/>
        <v>1.243716</v>
      </c>
      <c r="N480" t="str">
        <f t="shared" si="77"/>
        <v>100-125%</v>
      </c>
      <c r="O480" s="9">
        <f>MIN($H480,$I480)*INDEX('2018_commission_structure'!$A$1:$I$4,MATCH($E480,'2018_commission_structure'!$A$1:$A$4,0),MATCH(O$1,'2018_commission_structure'!$A$1:$I$1,0))</f>
        <v>50000</v>
      </c>
      <c r="P480" s="9">
        <f>IF(H480&gt;I480, MIN(H480-I480, J480-I480)*INDEX('2018_commission_structure'!$A$1:$I$4,MATCH($E480,'2018_commission_structure'!$A$1:$A$4,0),MATCH(P$1,'2018_commission_structure'!$A$1:$I$1,0)),0)</f>
        <v>18278.7</v>
      </c>
      <c r="Q480" s="9">
        <f>IF($H480&gt;J480, MIN($H480-J480, K480-J480)*INDEX('2018_commission_structure'!$A$1:$I$4,MATCH($E480,'2018_commission_structure'!$A$1:$A$4,0),MATCH(Q$1,'2018_commission_structure'!$A$1:$I$1,0)),0)</f>
        <v>0</v>
      </c>
      <c r="R480" s="9">
        <f>IF($H480&gt;K480, MIN($H480-K480, L480-K480)*INDEX('2018_commission_structure'!$A$1:$I$4,MATCH($E480,'2018_commission_structure'!$A$1:$A$4,0),MATCH(R$1,'2018_commission_structure'!$A$1:$I$1,0)),0)</f>
        <v>0</v>
      </c>
      <c r="S480" s="9">
        <f>IF(H480&gt;L480,(H480-L480)*INDEX('2018_commission_structure'!$A$1:$I$4,MATCH($E480,'2018_commission_structure'!$A$1:$A$4,0),MATCH(S$1,'2018_commission_structure'!$A$1:$I$1,0)),0)</f>
        <v>0</v>
      </c>
      <c r="T480" s="9">
        <f t="shared" si="78"/>
        <v>68278.7</v>
      </c>
      <c r="U480" s="9">
        <f t="shared" si="70"/>
        <v>115381.7</v>
      </c>
      <c r="V480" s="9">
        <f>MIN($I480,$H480)*INDEX('Key Metrics'!$E$16:$N$19,MATCH($E480,'Key Metrics'!$E$16:$E$19,0),MATCH(V$1,'Key Metrics'!$E$16:$M$16,0))</f>
        <v>60000</v>
      </c>
      <c r="W480" s="9">
        <f>IF($H480&gt;I480, MIN($H480-I480, J480-I480)*INDEX('Key Metrics'!$E$16:$N$19,MATCH($E480,'Key Metrics'!$E$16:$E$19,0),MATCH(W$1,'Key Metrics'!$E$16:$M$16,0)),0)</f>
        <v>20715.86</v>
      </c>
      <c r="X480" s="9">
        <f>IF($H480&gt;J480, MIN($H480-J480, K480-J480)*INDEX('Key Metrics'!$E$16:$N$19,MATCH($E480,'Key Metrics'!$E$16:$E$19,0),MATCH(X$1,'Key Metrics'!$E$16:$M$16,0)),0)</f>
        <v>0</v>
      </c>
      <c r="Y480" s="9">
        <f>IF($H480&gt;K480, MIN($H480-K480, L480-K480)*INDEX('Key Metrics'!$E$16:$N$19,MATCH($E480,'Key Metrics'!$E$16:$E$19,0),MATCH(Y$1,'Key Metrics'!$E$16:$M$16,0)),0)</f>
        <v>0</v>
      </c>
      <c r="Z480" s="9">
        <f>IF($H480&gt;L480,($H480-L480)*INDEX('Key Metrics'!$E$16:$N$19,MATCH($E480,'Key Metrics'!$E$16:$E$19,0),MATCH(Z$1,'Key Metrics'!$E$16:$M$16,0)),0)</f>
        <v>0</v>
      </c>
      <c r="AA480" s="9">
        <f t="shared" si="79"/>
        <v>80715.86</v>
      </c>
      <c r="AB480" s="9">
        <f t="shared" si="71"/>
        <v>80717.103715999998</v>
      </c>
    </row>
    <row r="481" spans="1:28" x14ac:dyDescent="0.55000000000000004">
      <c r="A481" t="str">
        <f t="shared" si="72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COUNTIF(deals_closed!$D$2:$D$20001,Calculations!B686)</f>
        <v>18</v>
      </c>
      <c r="H481" s="7">
        <f>SUMIF(deals_closed!$D:$D,Calculations!B686,deals_closed!$C:$C)</f>
        <v>561559</v>
      </c>
      <c r="I481" s="5">
        <f>VLOOKUP(E481,'2018_commission_structure'!$A$1:$I$4,9,FALSE)</f>
        <v>500000</v>
      </c>
      <c r="J481" s="9">
        <f t="shared" si="73"/>
        <v>625000</v>
      </c>
      <c r="K481" s="10">
        <f t="shared" si="74"/>
        <v>750000</v>
      </c>
      <c r="L481" s="9">
        <f t="shared" si="75"/>
        <v>1000000</v>
      </c>
      <c r="M481" s="8">
        <f t="shared" si="76"/>
        <v>1.1231180000000001</v>
      </c>
      <c r="N481" t="str">
        <f t="shared" si="77"/>
        <v>100-125%</v>
      </c>
      <c r="O481" s="9">
        <f>MIN($H481,$I481)*INDEX('2018_commission_structure'!$A$1:$I$4,MATCH($E481,'2018_commission_structure'!$A$1:$A$4,0),MATCH(O$1,'2018_commission_structure'!$A$1:$I$1,0))</f>
        <v>50000</v>
      </c>
      <c r="P481" s="9">
        <f>IF(H481&gt;I481, MIN(H481-I481, J481-I481)*INDEX('2018_commission_structure'!$A$1:$I$4,MATCH($E481,'2018_commission_structure'!$A$1:$A$4,0),MATCH(P$1,'2018_commission_structure'!$A$1:$I$1,0)),0)</f>
        <v>9233.85</v>
      </c>
      <c r="Q481" s="9">
        <f>IF($H481&gt;J481, MIN($H481-J481, K481-J481)*INDEX('2018_commission_structure'!$A$1:$I$4,MATCH($E481,'2018_commission_structure'!$A$1:$A$4,0),MATCH(Q$1,'2018_commission_structure'!$A$1:$I$1,0)),0)</f>
        <v>0</v>
      </c>
      <c r="R481" s="9">
        <f>IF($H481&gt;K481, MIN($H481-K481, L481-K481)*INDEX('2018_commission_structure'!$A$1:$I$4,MATCH($E481,'2018_commission_structure'!$A$1:$A$4,0),MATCH(R$1,'2018_commission_structure'!$A$1:$I$1,0)),0)</f>
        <v>0</v>
      </c>
      <c r="S481" s="9">
        <f>IF(H481&gt;L481,(H481-L481)*INDEX('2018_commission_structure'!$A$1:$I$4,MATCH($E481,'2018_commission_structure'!$A$1:$A$4,0),MATCH(S$1,'2018_commission_structure'!$A$1:$I$1,0)),0)</f>
        <v>0</v>
      </c>
      <c r="T481" s="9">
        <f t="shared" si="78"/>
        <v>59233.85</v>
      </c>
      <c r="U481" s="9">
        <f t="shared" si="70"/>
        <v>117212.85</v>
      </c>
      <c r="V481" s="9">
        <f>MIN($I481,$H481)*INDEX('Key Metrics'!$E$16:$N$19,MATCH($E481,'Key Metrics'!$E$16:$E$19,0),MATCH(V$1,'Key Metrics'!$E$16:$M$16,0))</f>
        <v>60000</v>
      </c>
      <c r="W481" s="9">
        <f>IF($H481&gt;I481, MIN($H481-I481, J481-I481)*INDEX('Key Metrics'!$E$16:$N$19,MATCH($E481,'Key Metrics'!$E$16:$E$19,0),MATCH(W$1,'Key Metrics'!$E$16:$M$16,0)),0)</f>
        <v>10465.030000000001</v>
      </c>
      <c r="X481" s="9">
        <f>IF($H481&gt;J481, MIN($H481-J481, K481-J481)*INDEX('Key Metrics'!$E$16:$N$19,MATCH($E481,'Key Metrics'!$E$16:$E$19,0),MATCH(X$1,'Key Metrics'!$E$16:$M$16,0)),0)</f>
        <v>0</v>
      </c>
      <c r="Y481" s="9">
        <f>IF($H481&gt;K481, MIN($H481-K481, L481-K481)*INDEX('Key Metrics'!$E$16:$N$19,MATCH($E481,'Key Metrics'!$E$16:$E$19,0),MATCH(Y$1,'Key Metrics'!$E$16:$M$16,0)),0)</f>
        <v>0</v>
      </c>
      <c r="Z481" s="9">
        <f>IF($H481&gt;L481,($H481-L481)*INDEX('Key Metrics'!$E$16:$N$19,MATCH($E481,'Key Metrics'!$E$16:$E$19,0),MATCH(Z$1,'Key Metrics'!$E$16:$M$16,0)),0)</f>
        <v>0</v>
      </c>
      <c r="AA481" s="9">
        <f t="shared" si="79"/>
        <v>70465.03</v>
      </c>
      <c r="AB481" s="9">
        <f t="shared" si="71"/>
        <v>70466.153118000002</v>
      </c>
    </row>
    <row r="482" spans="1:28" x14ac:dyDescent="0.55000000000000004">
      <c r="A482" t="str">
        <f t="shared" si="72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COUNTIF(deals_closed!$D$2:$D$20001,Calculations!B502)</f>
        <v>17</v>
      </c>
      <c r="H482" s="7">
        <f>SUMIF(deals_closed!$D:$D,Calculations!B502,deals_closed!$C:$C)</f>
        <v>594947</v>
      </c>
      <c r="I482" s="5">
        <f>VLOOKUP(E482,'2018_commission_structure'!$A$1:$I$4,9,FALSE)</f>
        <v>500000</v>
      </c>
      <c r="J482" s="9">
        <f t="shared" si="73"/>
        <v>625000</v>
      </c>
      <c r="K482" s="10">
        <f t="shared" si="74"/>
        <v>750000</v>
      </c>
      <c r="L482" s="9">
        <f t="shared" si="75"/>
        <v>1000000</v>
      </c>
      <c r="M482" s="8">
        <f t="shared" si="76"/>
        <v>1.189894</v>
      </c>
      <c r="N482" t="str">
        <f t="shared" si="77"/>
        <v>100-125%</v>
      </c>
      <c r="O482" s="9">
        <f>MIN($H482,$I482)*INDEX('2018_commission_structure'!$A$1:$I$4,MATCH($E482,'2018_commission_structure'!$A$1:$A$4,0),MATCH(O$1,'2018_commission_structure'!$A$1:$I$1,0))</f>
        <v>50000</v>
      </c>
      <c r="P482" s="9">
        <f>IF(H482&gt;I482, MIN(H482-I482, J482-I482)*INDEX('2018_commission_structure'!$A$1:$I$4,MATCH($E482,'2018_commission_structure'!$A$1:$A$4,0),MATCH(P$1,'2018_commission_structure'!$A$1:$I$1,0)),0)</f>
        <v>14242.05</v>
      </c>
      <c r="Q482" s="9">
        <f>IF($H482&gt;J482, MIN($H482-J482, K482-J482)*INDEX('2018_commission_structure'!$A$1:$I$4,MATCH($E482,'2018_commission_structure'!$A$1:$A$4,0),MATCH(Q$1,'2018_commission_structure'!$A$1:$I$1,0)),0)</f>
        <v>0</v>
      </c>
      <c r="R482" s="9">
        <f>IF($H482&gt;K482, MIN($H482-K482, L482-K482)*INDEX('2018_commission_structure'!$A$1:$I$4,MATCH($E482,'2018_commission_structure'!$A$1:$A$4,0),MATCH(R$1,'2018_commission_structure'!$A$1:$I$1,0)),0)</f>
        <v>0</v>
      </c>
      <c r="S482" s="9">
        <f>IF(H482&gt;L482,(H482-L482)*INDEX('2018_commission_structure'!$A$1:$I$4,MATCH($E482,'2018_commission_structure'!$A$1:$A$4,0),MATCH(S$1,'2018_commission_structure'!$A$1:$I$1,0)),0)</f>
        <v>0</v>
      </c>
      <c r="T482" s="9">
        <f t="shared" si="78"/>
        <v>64242.05</v>
      </c>
      <c r="U482" s="9">
        <f t="shared" ref="U482:U545" si="80">F482+T482</f>
        <v>103753.05</v>
      </c>
      <c r="V482" s="9">
        <f>MIN($I482,$H482)*INDEX('Key Metrics'!$E$16:$N$19,MATCH($E482,'Key Metrics'!$E$16:$E$19,0),MATCH(V$1,'Key Metrics'!$E$16:$M$16,0))</f>
        <v>60000</v>
      </c>
      <c r="W482" s="9">
        <f>IF($H482&gt;I482, MIN($H482-I482, J482-I482)*INDEX('Key Metrics'!$E$16:$N$19,MATCH($E482,'Key Metrics'!$E$16:$E$19,0),MATCH(W$1,'Key Metrics'!$E$16:$M$16,0)),0)</f>
        <v>16140.990000000002</v>
      </c>
      <c r="X482" s="9">
        <f>IF($H482&gt;J482, MIN($H482-J482, K482-J482)*INDEX('Key Metrics'!$E$16:$N$19,MATCH($E482,'Key Metrics'!$E$16:$E$19,0),MATCH(X$1,'Key Metrics'!$E$16:$M$16,0)),0)</f>
        <v>0</v>
      </c>
      <c r="Y482" s="9">
        <f>IF($H482&gt;K482, MIN($H482-K482, L482-K482)*INDEX('Key Metrics'!$E$16:$N$19,MATCH($E482,'Key Metrics'!$E$16:$E$19,0),MATCH(Y$1,'Key Metrics'!$E$16:$M$16,0)),0)</f>
        <v>0</v>
      </c>
      <c r="Z482" s="9">
        <f>IF($H482&gt;L482,($H482-L482)*INDEX('Key Metrics'!$E$16:$N$19,MATCH($E482,'Key Metrics'!$E$16:$E$19,0),MATCH(Z$1,'Key Metrics'!$E$16:$M$16,0)),0)</f>
        <v>0</v>
      </c>
      <c r="AA482" s="9">
        <f t="shared" si="79"/>
        <v>76140.990000000005</v>
      </c>
      <c r="AB482" s="9">
        <f t="shared" ref="AB482:AB545" si="81">M482+AA482</f>
        <v>76142.179894000001</v>
      </c>
    </row>
    <row r="483" spans="1:28" x14ac:dyDescent="0.55000000000000004">
      <c r="A483" t="str">
        <f t="shared" si="72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COUNTIF(deals_closed!$D$2:$D$20001,Calculations!B389)</f>
        <v>11</v>
      </c>
      <c r="H483" s="7">
        <f>SUMIF(deals_closed!$D:$D,Calculations!B389,deals_closed!$C:$C)</f>
        <v>290823</v>
      </c>
      <c r="I483" s="5">
        <f>VLOOKUP(E483,'2018_commission_structure'!$A$1:$I$4,9,FALSE)</f>
        <v>750000</v>
      </c>
      <c r="J483" s="9">
        <f t="shared" si="73"/>
        <v>937500</v>
      </c>
      <c r="K483" s="10">
        <f t="shared" si="74"/>
        <v>1125000</v>
      </c>
      <c r="L483" s="9">
        <f t="shared" si="75"/>
        <v>1500000</v>
      </c>
      <c r="M483" s="8">
        <f t="shared" si="76"/>
        <v>0.387764</v>
      </c>
      <c r="N483" t="str">
        <f t="shared" si="77"/>
        <v>0-100%</v>
      </c>
      <c r="O483" s="9">
        <f>MIN($H483,$I483)*INDEX('2018_commission_structure'!$A$1:$I$4,MATCH($E483,'2018_commission_structure'!$A$1:$A$4,0),MATCH(O$1,'2018_commission_structure'!$A$1:$I$1,0))</f>
        <v>43623.45</v>
      </c>
      <c r="P483" s="9">
        <f>IF(H483&gt;I483, MIN(H483-I483, J483-I483)*INDEX('2018_commission_structure'!$A$1:$I$4,MATCH($E483,'2018_commission_structure'!$A$1:$A$4,0),MATCH(P$1,'2018_commission_structure'!$A$1:$I$1,0)),0)</f>
        <v>0</v>
      </c>
      <c r="Q483" s="9">
        <f>IF($H483&gt;J483, MIN($H483-J483, K483-J483)*INDEX('2018_commission_structure'!$A$1:$I$4,MATCH($E483,'2018_commission_structure'!$A$1:$A$4,0),MATCH(Q$1,'2018_commission_structure'!$A$1:$I$1,0)),0)</f>
        <v>0</v>
      </c>
      <c r="R483" s="9">
        <f>IF($H483&gt;K483, MIN($H483-K483, L483-K483)*INDEX('2018_commission_structure'!$A$1:$I$4,MATCH($E483,'2018_commission_structure'!$A$1:$A$4,0),MATCH(R$1,'2018_commission_structure'!$A$1:$I$1,0)),0)</f>
        <v>0</v>
      </c>
      <c r="S483" s="9">
        <f>IF(H483&gt;L483,(H483-L483)*INDEX('2018_commission_structure'!$A$1:$I$4,MATCH($E483,'2018_commission_structure'!$A$1:$A$4,0),MATCH(S$1,'2018_commission_structure'!$A$1:$I$1,0)),0)</f>
        <v>0</v>
      </c>
      <c r="T483" s="9">
        <f t="shared" si="78"/>
        <v>43623.45</v>
      </c>
      <c r="U483" s="9">
        <f t="shared" si="80"/>
        <v>130061.45</v>
      </c>
      <c r="V483" s="9">
        <f>MIN($I483,$H483)*INDEX('Key Metrics'!$E$16:$N$19,MATCH($E483,'Key Metrics'!$E$16:$E$19,0),MATCH(V$1,'Key Metrics'!$E$16:$M$16,0))</f>
        <v>43623.45</v>
      </c>
      <c r="W483" s="9">
        <f>IF($H483&gt;I483, MIN($H483-I483, J483-I483)*INDEX('Key Metrics'!$E$16:$N$19,MATCH($E483,'Key Metrics'!$E$16:$E$19,0),MATCH(W$1,'Key Metrics'!$E$16:$M$16,0)),0)</f>
        <v>0</v>
      </c>
      <c r="X483" s="9">
        <f>IF($H483&gt;J483, MIN($H483-J483, K483-J483)*INDEX('Key Metrics'!$E$16:$N$19,MATCH($E483,'Key Metrics'!$E$16:$E$19,0),MATCH(X$1,'Key Metrics'!$E$16:$M$16,0)),0)</f>
        <v>0</v>
      </c>
      <c r="Y483" s="9">
        <f>IF($H483&gt;K483, MIN($H483-K483, L483-K483)*INDEX('Key Metrics'!$E$16:$N$19,MATCH($E483,'Key Metrics'!$E$16:$E$19,0),MATCH(Y$1,'Key Metrics'!$E$16:$M$16,0)),0)</f>
        <v>0</v>
      </c>
      <c r="Z483" s="9">
        <f>IF($H483&gt;L483,($H483-L483)*INDEX('Key Metrics'!$E$16:$N$19,MATCH($E483,'Key Metrics'!$E$16:$E$19,0),MATCH(Z$1,'Key Metrics'!$E$16:$M$16,0)),0)</f>
        <v>0</v>
      </c>
      <c r="AA483" s="9">
        <f t="shared" si="79"/>
        <v>43623.45</v>
      </c>
      <c r="AB483" s="9">
        <f t="shared" si="81"/>
        <v>43623.837763999996</v>
      </c>
    </row>
    <row r="484" spans="1:28" x14ac:dyDescent="0.55000000000000004">
      <c r="A484" t="str">
        <f t="shared" si="72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COUNTIF(deals_closed!$D$2:$D$20001,Calculations!B444)</f>
        <v>18</v>
      </c>
      <c r="H484" s="7">
        <f>SUMIF(deals_closed!$D:$D,Calculations!B444,deals_closed!$C:$C)</f>
        <v>620204</v>
      </c>
      <c r="I484" s="5">
        <f>VLOOKUP(E484,'2018_commission_structure'!$A$1:$I$4,9,FALSE)</f>
        <v>750000</v>
      </c>
      <c r="J484" s="9">
        <f t="shared" si="73"/>
        <v>937500</v>
      </c>
      <c r="K484" s="10">
        <f t="shared" si="74"/>
        <v>1125000</v>
      </c>
      <c r="L484" s="9">
        <f t="shared" si="75"/>
        <v>1500000</v>
      </c>
      <c r="M484" s="8">
        <f t="shared" si="76"/>
        <v>0.82693866666666671</v>
      </c>
      <c r="N484" t="str">
        <f t="shared" si="77"/>
        <v>0-100%</v>
      </c>
      <c r="O484" s="9">
        <f>MIN($H484,$I484)*INDEX('2018_commission_structure'!$A$1:$I$4,MATCH($E484,'2018_commission_structure'!$A$1:$A$4,0),MATCH(O$1,'2018_commission_structure'!$A$1:$I$1,0))</f>
        <v>93030.599999999991</v>
      </c>
      <c r="P484" s="9">
        <f>IF(H484&gt;I484, MIN(H484-I484, J484-I484)*INDEX('2018_commission_structure'!$A$1:$I$4,MATCH($E484,'2018_commission_structure'!$A$1:$A$4,0),MATCH(P$1,'2018_commission_structure'!$A$1:$I$1,0)),0)</f>
        <v>0</v>
      </c>
      <c r="Q484" s="9">
        <f>IF($H484&gt;J484, MIN($H484-J484, K484-J484)*INDEX('2018_commission_structure'!$A$1:$I$4,MATCH($E484,'2018_commission_structure'!$A$1:$A$4,0),MATCH(Q$1,'2018_commission_structure'!$A$1:$I$1,0)),0)</f>
        <v>0</v>
      </c>
      <c r="R484" s="9">
        <f>IF($H484&gt;K484, MIN($H484-K484, L484-K484)*INDEX('2018_commission_structure'!$A$1:$I$4,MATCH($E484,'2018_commission_structure'!$A$1:$A$4,0),MATCH(R$1,'2018_commission_structure'!$A$1:$I$1,0)),0)</f>
        <v>0</v>
      </c>
      <c r="S484" s="9">
        <f>IF(H484&gt;L484,(H484-L484)*INDEX('2018_commission_structure'!$A$1:$I$4,MATCH($E484,'2018_commission_structure'!$A$1:$A$4,0),MATCH(S$1,'2018_commission_structure'!$A$1:$I$1,0)),0)</f>
        <v>0</v>
      </c>
      <c r="T484" s="9">
        <f t="shared" si="78"/>
        <v>93030.599999999991</v>
      </c>
      <c r="U484" s="9">
        <f t="shared" si="80"/>
        <v>169564.59999999998</v>
      </c>
      <c r="V484" s="9">
        <f>MIN($I484,$H484)*INDEX('Key Metrics'!$E$16:$N$19,MATCH($E484,'Key Metrics'!$E$16:$E$19,0),MATCH(V$1,'Key Metrics'!$E$16:$M$16,0))</f>
        <v>93030.599999999991</v>
      </c>
      <c r="W484" s="9">
        <f>IF($H484&gt;I484, MIN($H484-I484, J484-I484)*INDEX('Key Metrics'!$E$16:$N$19,MATCH($E484,'Key Metrics'!$E$16:$E$19,0),MATCH(W$1,'Key Metrics'!$E$16:$M$16,0)),0)</f>
        <v>0</v>
      </c>
      <c r="X484" s="9">
        <f>IF($H484&gt;J484, MIN($H484-J484, K484-J484)*INDEX('Key Metrics'!$E$16:$N$19,MATCH($E484,'Key Metrics'!$E$16:$E$19,0),MATCH(X$1,'Key Metrics'!$E$16:$M$16,0)),0)</f>
        <v>0</v>
      </c>
      <c r="Y484" s="9">
        <f>IF($H484&gt;K484, MIN($H484-K484, L484-K484)*INDEX('Key Metrics'!$E$16:$N$19,MATCH($E484,'Key Metrics'!$E$16:$E$19,0),MATCH(Y$1,'Key Metrics'!$E$16:$M$16,0)),0)</f>
        <v>0</v>
      </c>
      <c r="Z484" s="9">
        <f>IF($H484&gt;L484,($H484-L484)*INDEX('Key Metrics'!$E$16:$N$19,MATCH($E484,'Key Metrics'!$E$16:$E$19,0),MATCH(Z$1,'Key Metrics'!$E$16:$M$16,0)),0)</f>
        <v>0</v>
      </c>
      <c r="AA484" s="9">
        <f t="shared" si="79"/>
        <v>93030.599999999991</v>
      </c>
      <c r="AB484" s="9">
        <f t="shared" si="81"/>
        <v>93031.426938666656</v>
      </c>
    </row>
    <row r="485" spans="1:28" x14ac:dyDescent="0.55000000000000004">
      <c r="A485" t="str">
        <f t="shared" si="72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COUNTIF(deals_closed!$D$2:$D$20001,Calculations!B87)</f>
        <v>16</v>
      </c>
      <c r="H485" s="7">
        <f>SUMIF(deals_closed!$D:$D,Calculations!B87,deals_closed!$C:$C)</f>
        <v>501329</v>
      </c>
      <c r="I485" s="5">
        <f>VLOOKUP(E485,'2018_commission_structure'!$A$1:$I$4,9,FALSE)</f>
        <v>600000</v>
      </c>
      <c r="J485" s="9">
        <f t="shared" si="73"/>
        <v>750000</v>
      </c>
      <c r="K485" s="10">
        <f t="shared" si="74"/>
        <v>900000</v>
      </c>
      <c r="L485" s="9">
        <f t="shared" si="75"/>
        <v>1200000</v>
      </c>
      <c r="M485" s="8">
        <f t="shared" si="76"/>
        <v>0.83554833333333334</v>
      </c>
      <c r="N485" t="str">
        <f t="shared" si="77"/>
        <v>0-100%</v>
      </c>
      <c r="O485" s="9">
        <f>MIN($H485,$I485)*INDEX('2018_commission_structure'!$A$1:$I$4,MATCH($E485,'2018_commission_structure'!$A$1:$A$4,0),MATCH(O$1,'2018_commission_structure'!$A$1:$I$1,0))</f>
        <v>65172.770000000004</v>
      </c>
      <c r="P485" s="9">
        <f>IF(H485&gt;I485, MIN(H485-I485, J485-I485)*INDEX('2018_commission_structure'!$A$1:$I$4,MATCH($E485,'2018_commission_structure'!$A$1:$A$4,0),MATCH(P$1,'2018_commission_structure'!$A$1:$I$1,0)),0)</f>
        <v>0</v>
      </c>
      <c r="Q485" s="9">
        <f>IF($H485&gt;J485, MIN($H485-J485, K485-J485)*INDEX('2018_commission_structure'!$A$1:$I$4,MATCH($E485,'2018_commission_structure'!$A$1:$A$4,0),MATCH(Q$1,'2018_commission_structure'!$A$1:$I$1,0)),0)</f>
        <v>0</v>
      </c>
      <c r="R485" s="9">
        <f>IF($H485&gt;K485, MIN($H485-K485, L485-K485)*INDEX('2018_commission_structure'!$A$1:$I$4,MATCH($E485,'2018_commission_structure'!$A$1:$A$4,0),MATCH(R$1,'2018_commission_structure'!$A$1:$I$1,0)),0)</f>
        <v>0</v>
      </c>
      <c r="S485" s="9">
        <f>IF(H485&gt;L485,(H485-L485)*INDEX('2018_commission_structure'!$A$1:$I$4,MATCH($E485,'2018_commission_structure'!$A$1:$A$4,0),MATCH(S$1,'2018_commission_structure'!$A$1:$I$1,0)),0)</f>
        <v>0</v>
      </c>
      <c r="T485" s="9">
        <f t="shared" si="78"/>
        <v>65172.770000000004</v>
      </c>
      <c r="U485" s="9">
        <f t="shared" si="80"/>
        <v>120773.77</v>
      </c>
      <c r="V485" s="9">
        <f>MIN($I485,$H485)*INDEX('Key Metrics'!$E$16:$N$19,MATCH($E485,'Key Metrics'!$E$16:$E$19,0),MATCH(V$1,'Key Metrics'!$E$16:$M$16,0))</f>
        <v>75199.349999999991</v>
      </c>
      <c r="W485" s="9">
        <f>IF($H485&gt;I485, MIN($H485-I485, J485-I485)*INDEX('Key Metrics'!$E$16:$N$19,MATCH($E485,'Key Metrics'!$E$16:$E$19,0),MATCH(W$1,'Key Metrics'!$E$16:$M$16,0)),0)</f>
        <v>0</v>
      </c>
      <c r="X485" s="9">
        <f>IF($H485&gt;J485, MIN($H485-J485, K485-J485)*INDEX('Key Metrics'!$E$16:$N$19,MATCH($E485,'Key Metrics'!$E$16:$E$19,0),MATCH(X$1,'Key Metrics'!$E$16:$M$16,0)),0)</f>
        <v>0</v>
      </c>
      <c r="Y485" s="9">
        <f>IF($H485&gt;K485, MIN($H485-K485, L485-K485)*INDEX('Key Metrics'!$E$16:$N$19,MATCH($E485,'Key Metrics'!$E$16:$E$19,0),MATCH(Y$1,'Key Metrics'!$E$16:$M$16,0)),0)</f>
        <v>0</v>
      </c>
      <c r="Z485" s="9">
        <f>IF($H485&gt;L485,($H485-L485)*INDEX('Key Metrics'!$E$16:$N$19,MATCH($E485,'Key Metrics'!$E$16:$E$19,0),MATCH(Z$1,'Key Metrics'!$E$16:$M$16,0)),0)</f>
        <v>0</v>
      </c>
      <c r="AA485" s="9">
        <f t="shared" si="79"/>
        <v>75199.349999999991</v>
      </c>
      <c r="AB485" s="9">
        <f t="shared" si="81"/>
        <v>75200.18554833332</v>
      </c>
    </row>
    <row r="486" spans="1:28" x14ac:dyDescent="0.55000000000000004">
      <c r="A486" t="str">
        <f t="shared" si="72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COUNTIF(deals_closed!$D$2:$D$20001,Calculations!B264)</f>
        <v>15</v>
      </c>
      <c r="H486" s="7">
        <f>SUMIF(deals_closed!$D:$D,Calculations!B264,deals_closed!$C:$C)</f>
        <v>593430</v>
      </c>
      <c r="I486" s="5">
        <f>VLOOKUP(E486,'2018_commission_structure'!$A$1:$I$4,9,FALSE)</f>
        <v>750000</v>
      </c>
      <c r="J486" s="9">
        <f t="shared" si="73"/>
        <v>937500</v>
      </c>
      <c r="K486" s="10">
        <f t="shared" si="74"/>
        <v>1125000</v>
      </c>
      <c r="L486" s="9">
        <f t="shared" si="75"/>
        <v>1500000</v>
      </c>
      <c r="M486" s="8">
        <f t="shared" si="76"/>
        <v>0.79124000000000005</v>
      </c>
      <c r="N486" t="str">
        <f t="shared" si="77"/>
        <v>0-100%</v>
      </c>
      <c r="O486" s="9">
        <f>MIN($H486,$I486)*INDEX('2018_commission_structure'!$A$1:$I$4,MATCH($E486,'2018_commission_structure'!$A$1:$A$4,0),MATCH(O$1,'2018_commission_structure'!$A$1:$I$1,0))</f>
        <v>89014.5</v>
      </c>
      <c r="P486" s="9">
        <f>IF(H486&gt;I486, MIN(H486-I486, J486-I486)*INDEX('2018_commission_structure'!$A$1:$I$4,MATCH($E486,'2018_commission_structure'!$A$1:$A$4,0),MATCH(P$1,'2018_commission_structure'!$A$1:$I$1,0)),0)</f>
        <v>0</v>
      </c>
      <c r="Q486" s="9">
        <f>IF($H486&gt;J486, MIN($H486-J486, K486-J486)*INDEX('2018_commission_structure'!$A$1:$I$4,MATCH($E486,'2018_commission_structure'!$A$1:$A$4,0),MATCH(Q$1,'2018_commission_structure'!$A$1:$I$1,0)),0)</f>
        <v>0</v>
      </c>
      <c r="R486" s="9">
        <f>IF($H486&gt;K486, MIN($H486-K486, L486-K486)*INDEX('2018_commission_structure'!$A$1:$I$4,MATCH($E486,'2018_commission_structure'!$A$1:$A$4,0),MATCH(R$1,'2018_commission_structure'!$A$1:$I$1,0)),0)</f>
        <v>0</v>
      </c>
      <c r="S486" s="9">
        <f>IF(H486&gt;L486,(H486-L486)*INDEX('2018_commission_structure'!$A$1:$I$4,MATCH($E486,'2018_commission_structure'!$A$1:$A$4,0),MATCH(S$1,'2018_commission_structure'!$A$1:$I$1,0)),0)</f>
        <v>0</v>
      </c>
      <c r="T486" s="9">
        <f t="shared" si="78"/>
        <v>89014.5</v>
      </c>
      <c r="U486" s="9">
        <f t="shared" si="80"/>
        <v>213037.5</v>
      </c>
      <c r="V486" s="9">
        <f>MIN($I486,$H486)*INDEX('Key Metrics'!$E$16:$N$19,MATCH($E486,'Key Metrics'!$E$16:$E$19,0),MATCH(V$1,'Key Metrics'!$E$16:$M$16,0))</f>
        <v>89014.5</v>
      </c>
      <c r="W486" s="9">
        <f>IF($H486&gt;I486, MIN($H486-I486, J486-I486)*INDEX('Key Metrics'!$E$16:$N$19,MATCH($E486,'Key Metrics'!$E$16:$E$19,0),MATCH(W$1,'Key Metrics'!$E$16:$M$16,0)),0)</f>
        <v>0</v>
      </c>
      <c r="X486" s="9">
        <f>IF($H486&gt;J486, MIN($H486-J486, K486-J486)*INDEX('Key Metrics'!$E$16:$N$19,MATCH($E486,'Key Metrics'!$E$16:$E$19,0),MATCH(X$1,'Key Metrics'!$E$16:$M$16,0)),0)</f>
        <v>0</v>
      </c>
      <c r="Y486" s="9">
        <f>IF($H486&gt;K486, MIN($H486-K486, L486-K486)*INDEX('Key Metrics'!$E$16:$N$19,MATCH($E486,'Key Metrics'!$E$16:$E$19,0),MATCH(Y$1,'Key Metrics'!$E$16:$M$16,0)),0)</f>
        <v>0</v>
      </c>
      <c r="Z486" s="9">
        <f>IF($H486&gt;L486,($H486-L486)*INDEX('Key Metrics'!$E$16:$N$19,MATCH($E486,'Key Metrics'!$E$16:$E$19,0),MATCH(Z$1,'Key Metrics'!$E$16:$M$16,0)),0)</f>
        <v>0</v>
      </c>
      <c r="AA486" s="9">
        <f t="shared" si="79"/>
        <v>89014.5</v>
      </c>
      <c r="AB486" s="9">
        <f t="shared" si="81"/>
        <v>89015.291240000006</v>
      </c>
    </row>
    <row r="487" spans="1:28" x14ac:dyDescent="0.55000000000000004">
      <c r="A487" t="str">
        <f t="shared" si="72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COUNTIF(deals_closed!$D$2:$D$20001,Calculations!B917)</f>
        <v>18</v>
      </c>
      <c r="H487" s="7">
        <f>SUMIF(deals_closed!$D:$D,Calculations!B917,deals_closed!$C:$C)</f>
        <v>605464</v>
      </c>
      <c r="I487" s="5">
        <f>VLOOKUP(E487,'2018_commission_structure'!$A$1:$I$4,9,FALSE)</f>
        <v>750000</v>
      </c>
      <c r="J487" s="9">
        <f t="shared" si="73"/>
        <v>937500</v>
      </c>
      <c r="K487" s="10">
        <f t="shared" si="74"/>
        <v>1125000</v>
      </c>
      <c r="L487" s="9">
        <f t="shared" si="75"/>
        <v>1500000</v>
      </c>
      <c r="M487" s="8">
        <f t="shared" si="76"/>
        <v>0.8072853333333333</v>
      </c>
      <c r="N487" t="str">
        <f t="shared" si="77"/>
        <v>0-100%</v>
      </c>
      <c r="O487" s="9">
        <f>MIN($H487,$I487)*INDEX('2018_commission_structure'!$A$1:$I$4,MATCH($E487,'2018_commission_structure'!$A$1:$A$4,0),MATCH(O$1,'2018_commission_structure'!$A$1:$I$1,0))</f>
        <v>90819.599999999991</v>
      </c>
      <c r="P487" s="9">
        <f>IF(H487&gt;I487, MIN(H487-I487, J487-I487)*INDEX('2018_commission_structure'!$A$1:$I$4,MATCH($E487,'2018_commission_structure'!$A$1:$A$4,0),MATCH(P$1,'2018_commission_structure'!$A$1:$I$1,0)),0)</f>
        <v>0</v>
      </c>
      <c r="Q487" s="9">
        <f>IF($H487&gt;J487, MIN($H487-J487, K487-J487)*INDEX('2018_commission_structure'!$A$1:$I$4,MATCH($E487,'2018_commission_structure'!$A$1:$A$4,0),MATCH(Q$1,'2018_commission_structure'!$A$1:$I$1,0)),0)</f>
        <v>0</v>
      </c>
      <c r="R487" s="9">
        <f>IF($H487&gt;K487, MIN($H487-K487, L487-K487)*INDEX('2018_commission_structure'!$A$1:$I$4,MATCH($E487,'2018_commission_structure'!$A$1:$A$4,0),MATCH(R$1,'2018_commission_structure'!$A$1:$I$1,0)),0)</f>
        <v>0</v>
      </c>
      <c r="S487" s="9">
        <f>IF(H487&gt;L487,(H487-L487)*INDEX('2018_commission_structure'!$A$1:$I$4,MATCH($E487,'2018_commission_structure'!$A$1:$A$4,0),MATCH(S$1,'2018_commission_structure'!$A$1:$I$1,0)),0)</f>
        <v>0</v>
      </c>
      <c r="T487" s="9">
        <f t="shared" si="78"/>
        <v>90819.599999999991</v>
      </c>
      <c r="U487" s="9">
        <f t="shared" si="80"/>
        <v>179501.59999999998</v>
      </c>
      <c r="V487" s="9">
        <f>MIN($I487,$H487)*INDEX('Key Metrics'!$E$16:$N$19,MATCH($E487,'Key Metrics'!$E$16:$E$19,0),MATCH(V$1,'Key Metrics'!$E$16:$M$16,0))</f>
        <v>90819.599999999991</v>
      </c>
      <c r="W487" s="9">
        <f>IF($H487&gt;I487, MIN($H487-I487, J487-I487)*INDEX('Key Metrics'!$E$16:$N$19,MATCH($E487,'Key Metrics'!$E$16:$E$19,0),MATCH(W$1,'Key Metrics'!$E$16:$M$16,0)),0)</f>
        <v>0</v>
      </c>
      <c r="X487" s="9">
        <f>IF($H487&gt;J487, MIN($H487-J487, K487-J487)*INDEX('Key Metrics'!$E$16:$N$19,MATCH($E487,'Key Metrics'!$E$16:$E$19,0),MATCH(X$1,'Key Metrics'!$E$16:$M$16,0)),0)</f>
        <v>0</v>
      </c>
      <c r="Y487" s="9">
        <f>IF($H487&gt;K487, MIN($H487-K487, L487-K487)*INDEX('Key Metrics'!$E$16:$N$19,MATCH($E487,'Key Metrics'!$E$16:$E$19,0),MATCH(Y$1,'Key Metrics'!$E$16:$M$16,0)),0)</f>
        <v>0</v>
      </c>
      <c r="Z487" s="9">
        <f>IF($H487&gt;L487,($H487-L487)*INDEX('Key Metrics'!$E$16:$N$19,MATCH($E487,'Key Metrics'!$E$16:$E$19,0),MATCH(Z$1,'Key Metrics'!$E$16:$M$16,0)),0)</f>
        <v>0</v>
      </c>
      <c r="AA487" s="9">
        <f t="shared" si="79"/>
        <v>90819.599999999991</v>
      </c>
      <c r="AB487" s="9">
        <f t="shared" si="81"/>
        <v>90820.40728533332</v>
      </c>
    </row>
    <row r="488" spans="1:28" x14ac:dyDescent="0.55000000000000004">
      <c r="A488" t="str">
        <f t="shared" si="72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COUNTIF(deals_closed!$D$2:$D$20001,Calculations!B538)</f>
        <v>20</v>
      </c>
      <c r="H488" s="7">
        <f>SUMIF(deals_closed!$D:$D,Calculations!B538,deals_closed!$C:$C)</f>
        <v>603952</v>
      </c>
      <c r="I488" s="5">
        <f>VLOOKUP(E488,'2018_commission_structure'!$A$1:$I$4,9,FALSE)</f>
        <v>750000</v>
      </c>
      <c r="J488" s="9">
        <f t="shared" si="73"/>
        <v>937500</v>
      </c>
      <c r="K488" s="10">
        <f t="shared" si="74"/>
        <v>1125000</v>
      </c>
      <c r="L488" s="9">
        <f t="shared" si="75"/>
        <v>1500000</v>
      </c>
      <c r="M488" s="8">
        <f t="shared" si="76"/>
        <v>0.80526933333333328</v>
      </c>
      <c r="N488" t="str">
        <f t="shared" si="77"/>
        <v>0-100%</v>
      </c>
      <c r="O488" s="9">
        <f>MIN($H488,$I488)*INDEX('2018_commission_structure'!$A$1:$I$4,MATCH($E488,'2018_commission_structure'!$A$1:$A$4,0),MATCH(O$1,'2018_commission_structure'!$A$1:$I$1,0))</f>
        <v>90592.8</v>
      </c>
      <c r="P488" s="9">
        <f>IF(H488&gt;I488, MIN(H488-I488, J488-I488)*INDEX('2018_commission_structure'!$A$1:$I$4,MATCH($E488,'2018_commission_structure'!$A$1:$A$4,0),MATCH(P$1,'2018_commission_structure'!$A$1:$I$1,0)),0)</f>
        <v>0</v>
      </c>
      <c r="Q488" s="9">
        <f>IF($H488&gt;J488, MIN($H488-J488, K488-J488)*INDEX('2018_commission_structure'!$A$1:$I$4,MATCH($E488,'2018_commission_structure'!$A$1:$A$4,0),MATCH(Q$1,'2018_commission_structure'!$A$1:$I$1,0)),0)</f>
        <v>0</v>
      </c>
      <c r="R488" s="9">
        <f>IF($H488&gt;K488, MIN($H488-K488, L488-K488)*INDEX('2018_commission_structure'!$A$1:$I$4,MATCH($E488,'2018_commission_structure'!$A$1:$A$4,0),MATCH(R$1,'2018_commission_structure'!$A$1:$I$1,0)),0)</f>
        <v>0</v>
      </c>
      <c r="S488" s="9">
        <f>IF(H488&gt;L488,(H488-L488)*INDEX('2018_commission_structure'!$A$1:$I$4,MATCH($E488,'2018_commission_structure'!$A$1:$A$4,0),MATCH(S$1,'2018_commission_structure'!$A$1:$I$1,0)),0)</f>
        <v>0</v>
      </c>
      <c r="T488" s="9">
        <f t="shared" si="78"/>
        <v>90592.8</v>
      </c>
      <c r="U488" s="9">
        <f t="shared" si="80"/>
        <v>172130.8</v>
      </c>
      <c r="V488" s="9">
        <f>MIN($I488,$H488)*INDEX('Key Metrics'!$E$16:$N$19,MATCH($E488,'Key Metrics'!$E$16:$E$19,0),MATCH(V$1,'Key Metrics'!$E$16:$M$16,0))</f>
        <v>90592.8</v>
      </c>
      <c r="W488" s="9">
        <f>IF($H488&gt;I488, MIN($H488-I488, J488-I488)*INDEX('Key Metrics'!$E$16:$N$19,MATCH($E488,'Key Metrics'!$E$16:$E$19,0),MATCH(W$1,'Key Metrics'!$E$16:$M$16,0)),0)</f>
        <v>0</v>
      </c>
      <c r="X488" s="9">
        <f>IF($H488&gt;J488, MIN($H488-J488, K488-J488)*INDEX('Key Metrics'!$E$16:$N$19,MATCH($E488,'Key Metrics'!$E$16:$E$19,0),MATCH(X$1,'Key Metrics'!$E$16:$M$16,0)),0)</f>
        <v>0</v>
      </c>
      <c r="Y488" s="9">
        <f>IF($H488&gt;K488, MIN($H488-K488, L488-K488)*INDEX('Key Metrics'!$E$16:$N$19,MATCH($E488,'Key Metrics'!$E$16:$E$19,0),MATCH(Y$1,'Key Metrics'!$E$16:$M$16,0)),0)</f>
        <v>0</v>
      </c>
      <c r="Z488" s="9">
        <f>IF($H488&gt;L488,($H488-L488)*INDEX('Key Metrics'!$E$16:$N$19,MATCH($E488,'Key Metrics'!$E$16:$E$19,0),MATCH(Z$1,'Key Metrics'!$E$16:$M$16,0)),0)</f>
        <v>0</v>
      </c>
      <c r="AA488" s="9">
        <f t="shared" si="79"/>
        <v>90592.8</v>
      </c>
      <c r="AB488" s="9">
        <f t="shared" si="81"/>
        <v>90593.605269333333</v>
      </c>
    </row>
    <row r="489" spans="1:28" x14ac:dyDescent="0.55000000000000004">
      <c r="A489" t="str">
        <f t="shared" si="72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COUNTIF(deals_closed!$D$2:$D$20001,Calculations!B887)</f>
        <v>20</v>
      </c>
      <c r="H489" s="7">
        <f>SUMIF(deals_closed!$D:$D,Calculations!B887,deals_closed!$C:$C)</f>
        <v>705078</v>
      </c>
      <c r="I489" s="5">
        <f>VLOOKUP(E489,'2018_commission_structure'!$A$1:$I$4,9,FALSE)</f>
        <v>500000</v>
      </c>
      <c r="J489" s="9">
        <f t="shared" si="73"/>
        <v>625000</v>
      </c>
      <c r="K489" s="10">
        <f t="shared" si="74"/>
        <v>750000</v>
      </c>
      <c r="L489" s="9">
        <f t="shared" si="75"/>
        <v>1000000</v>
      </c>
      <c r="M489" s="8">
        <f t="shared" si="76"/>
        <v>1.410156</v>
      </c>
      <c r="N489" t="str">
        <f t="shared" si="77"/>
        <v>125-150%</v>
      </c>
      <c r="O489" s="9">
        <f>MIN($H489,$I489)*INDEX('2018_commission_structure'!$A$1:$I$4,MATCH($E489,'2018_commission_structure'!$A$1:$A$4,0),MATCH(O$1,'2018_commission_structure'!$A$1:$I$1,0))</f>
        <v>50000</v>
      </c>
      <c r="P489" s="9">
        <f>IF(H489&gt;I489, MIN(H489-I489, J489-I489)*INDEX('2018_commission_structure'!$A$1:$I$4,MATCH($E489,'2018_commission_structure'!$A$1:$A$4,0),MATCH(P$1,'2018_commission_structure'!$A$1:$I$1,0)),0)</f>
        <v>18750</v>
      </c>
      <c r="Q489" s="9">
        <f>IF($H489&gt;J489, MIN($H489-J489, K489-J489)*INDEX('2018_commission_structure'!$A$1:$I$4,MATCH($E489,'2018_commission_structure'!$A$1:$A$4,0),MATCH(Q$1,'2018_commission_structure'!$A$1:$I$1,0)),0)</f>
        <v>14414.039999999999</v>
      </c>
      <c r="R489" s="9">
        <f>IF($H489&gt;K489, MIN($H489-K489, L489-K489)*INDEX('2018_commission_structure'!$A$1:$I$4,MATCH($E489,'2018_commission_structure'!$A$1:$A$4,0),MATCH(R$1,'2018_commission_structure'!$A$1:$I$1,0)),0)</f>
        <v>0</v>
      </c>
      <c r="S489" s="9">
        <f>IF(H489&gt;L489,(H489-L489)*INDEX('2018_commission_structure'!$A$1:$I$4,MATCH($E489,'2018_commission_structure'!$A$1:$A$4,0),MATCH(S$1,'2018_commission_structure'!$A$1:$I$1,0)),0)</f>
        <v>0</v>
      </c>
      <c r="T489" s="9">
        <f t="shared" si="78"/>
        <v>83164.039999999994</v>
      </c>
      <c r="U489" s="9">
        <f t="shared" si="80"/>
        <v>125420.04</v>
      </c>
      <c r="V489" s="9">
        <f>MIN($I489,$H489)*INDEX('Key Metrics'!$E$16:$N$19,MATCH($E489,'Key Metrics'!$E$16:$E$19,0),MATCH(V$1,'Key Metrics'!$E$16:$M$16,0))</f>
        <v>60000</v>
      </c>
      <c r="W489" s="9">
        <f>IF($H489&gt;I489, MIN($H489-I489, J489-I489)*INDEX('Key Metrics'!$E$16:$N$19,MATCH($E489,'Key Metrics'!$E$16:$E$19,0),MATCH(W$1,'Key Metrics'!$E$16:$M$16,0)),0)</f>
        <v>21250</v>
      </c>
      <c r="X489" s="9">
        <f>IF($H489&gt;J489, MIN($H489-J489, K489-J489)*INDEX('Key Metrics'!$E$16:$N$19,MATCH($E489,'Key Metrics'!$E$16:$E$19,0),MATCH(X$1,'Key Metrics'!$E$16:$M$16,0)),0)</f>
        <v>16015.6</v>
      </c>
      <c r="Y489" s="9">
        <f>IF($H489&gt;K489, MIN($H489-K489, L489-K489)*INDEX('Key Metrics'!$E$16:$N$19,MATCH($E489,'Key Metrics'!$E$16:$E$19,0),MATCH(Y$1,'Key Metrics'!$E$16:$M$16,0)),0)</f>
        <v>0</v>
      </c>
      <c r="Z489" s="9">
        <f>IF($H489&gt;L489,($H489-L489)*INDEX('Key Metrics'!$E$16:$N$19,MATCH($E489,'Key Metrics'!$E$16:$E$19,0),MATCH(Z$1,'Key Metrics'!$E$16:$M$16,0)),0)</f>
        <v>0</v>
      </c>
      <c r="AA489" s="9">
        <f t="shared" si="79"/>
        <v>97265.600000000006</v>
      </c>
      <c r="AB489" s="9">
        <f t="shared" si="81"/>
        <v>97267.010156000004</v>
      </c>
    </row>
    <row r="490" spans="1:28" x14ac:dyDescent="0.55000000000000004">
      <c r="A490" t="str">
        <f t="shared" si="72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COUNTIF(deals_closed!$D$2:$D$20001,Calculations!B553)</f>
        <v>9</v>
      </c>
      <c r="H490" s="7">
        <f>SUMIF(deals_closed!$D:$D,Calculations!B553,deals_closed!$C:$C)</f>
        <v>347519</v>
      </c>
      <c r="I490" s="5">
        <f>VLOOKUP(E490,'2018_commission_structure'!$A$1:$I$4,9,FALSE)</f>
        <v>750000</v>
      </c>
      <c r="J490" s="9">
        <f t="shared" si="73"/>
        <v>937500</v>
      </c>
      <c r="K490" s="10">
        <f t="shared" si="74"/>
        <v>1125000</v>
      </c>
      <c r="L490" s="9">
        <f t="shared" si="75"/>
        <v>1500000</v>
      </c>
      <c r="M490" s="8">
        <f t="shared" si="76"/>
        <v>0.46335866666666664</v>
      </c>
      <c r="N490" t="str">
        <f t="shared" si="77"/>
        <v>0-100%</v>
      </c>
      <c r="O490" s="9">
        <f>MIN($H490,$I490)*INDEX('2018_commission_structure'!$A$1:$I$4,MATCH($E490,'2018_commission_structure'!$A$1:$A$4,0),MATCH(O$1,'2018_commission_structure'!$A$1:$I$1,0))</f>
        <v>52127.85</v>
      </c>
      <c r="P490" s="9">
        <f>IF(H490&gt;I490, MIN(H490-I490, J490-I490)*INDEX('2018_commission_structure'!$A$1:$I$4,MATCH($E490,'2018_commission_structure'!$A$1:$A$4,0),MATCH(P$1,'2018_commission_structure'!$A$1:$I$1,0)),0)</f>
        <v>0</v>
      </c>
      <c r="Q490" s="9">
        <f>IF($H490&gt;J490, MIN($H490-J490, K490-J490)*INDEX('2018_commission_structure'!$A$1:$I$4,MATCH($E490,'2018_commission_structure'!$A$1:$A$4,0),MATCH(Q$1,'2018_commission_structure'!$A$1:$I$1,0)),0)</f>
        <v>0</v>
      </c>
      <c r="R490" s="9">
        <f>IF($H490&gt;K490, MIN($H490-K490, L490-K490)*INDEX('2018_commission_structure'!$A$1:$I$4,MATCH($E490,'2018_commission_structure'!$A$1:$A$4,0),MATCH(R$1,'2018_commission_structure'!$A$1:$I$1,0)),0)</f>
        <v>0</v>
      </c>
      <c r="S490" s="9">
        <f>IF(H490&gt;L490,(H490-L490)*INDEX('2018_commission_structure'!$A$1:$I$4,MATCH($E490,'2018_commission_structure'!$A$1:$A$4,0),MATCH(S$1,'2018_commission_structure'!$A$1:$I$1,0)),0)</f>
        <v>0</v>
      </c>
      <c r="T490" s="9">
        <f t="shared" si="78"/>
        <v>52127.85</v>
      </c>
      <c r="U490" s="9">
        <f t="shared" si="80"/>
        <v>143783.85</v>
      </c>
      <c r="V490" s="9">
        <f>MIN($I490,$H490)*INDEX('Key Metrics'!$E$16:$N$19,MATCH($E490,'Key Metrics'!$E$16:$E$19,0),MATCH(V$1,'Key Metrics'!$E$16:$M$16,0))</f>
        <v>52127.85</v>
      </c>
      <c r="W490" s="9">
        <f>IF($H490&gt;I490, MIN($H490-I490, J490-I490)*INDEX('Key Metrics'!$E$16:$N$19,MATCH($E490,'Key Metrics'!$E$16:$E$19,0),MATCH(W$1,'Key Metrics'!$E$16:$M$16,0)),0)</f>
        <v>0</v>
      </c>
      <c r="X490" s="9">
        <f>IF($H490&gt;J490, MIN($H490-J490, K490-J490)*INDEX('Key Metrics'!$E$16:$N$19,MATCH($E490,'Key Metrics'!$E$16:$E$19,0),MATCH(X$1,'Key Metrics'!$E$16:$M$16,0)),0)</f>
        <v>0</v>
      </c>
      <c r="Y490" s="9">
        <f>IF($H490&gt;K490, MIN($H490-K490, L490-K490)*INDEX('Key Metrics'!$E$16:$N$19,MATCH($E490,'Key Metrics'!$E$16:$E$19,0),MATCH(Y$1,'Key Metrics'!$E$16:$M$16,0)),0)</f>
        <v>0</v>
      </c>
      <c r="Z490" s="9">
        <f>IF($H490&gt;L490,($H490-L490)*INDEX('Key Metrics'!$E$16:$N$19,MATCH($E490,'Key Metrics'!$E$16:$E$19,0),MATCH(Z$1,'Key Metrics'!$E$16:$M$16,0)),0)</f>
        <v>0</v>
      </c>
      <c r="AA490" s="9">
        <f t="shared" si="79"/>
        <v>52127.85</v>
      </c>
      <c r="AB490" s="9">
        <f t="shared" si="81"/>
        <v>52128.313358666666</v>
      </c>
    </row>
    <row r="491" spans="1:28" x14ac:dyDescent="0.55000000000000004">
      <c r="A491" t="str">
        <f t="shared" si="72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COUNTIF(deals_closed!$D$2:$D$20001,Calculations!B319)</f>
        <v>13</v>
      </c>
      <c r="H491" s="7">
        <f>SUMIF(deals_closed!$D:$D,Calculations!B319,deals_closed!$C:$C)</f>
        <v>436976</v>
      </c>
      <c r="I491" s="5">
        <f>VLOOKUP(E491,'2018_commission_structure'!$A$1:$I$4,9,FALSE)</f>
        <v>750000</v>
      </c>
      <c r="J491" s="9">
        <f t="shared" si="73"/>
        <v>937500</v>
      </c>
      <c r="K491" s="10">
        <f t="shared" si="74"/>
        <v>1125000</v>
      </c>
      <c r="L491" s="9">
        <f t="shared" si="75"/>
        <v>1500000</v>
      </c>
      <c r="M491" s="8">
        <f t="shared" si="76"/>
        <v>0.58263466666666663</v>
      </c>
      <c r="N491" t="str">
        <f t="shared" si="77"/>
        <v>0-100%</v>
      </c>
      <c r="O491" s="9">
        <f>MIN($H491,$I491)*INDEX('2018_commission_structure'!$A$1:$I$4,MATCH($E491,'2018_commission_structure'!$A$1:$A$4,0),MATCH(O$1,'2018_commission_structure'!$A$1:$I$1,0))</f>
        <v>65546.399999999994</v>
      </c>
      <c r="P491" s="9">
        <f>IF(H491&gt;I491, MIN(H491-I491, J491-I491)*INDEX('2018_commission_structure'!$A$1:$I$4,MATCH($E491,'2018_commission_structure'!$A$1:$A$4,0),MATCH(P$1,'2018_commission_structure'!$A$1:$I$1,0)),0)</f>
        <v>0</v>
      </c>
      <c r="Q491" s="9">
        <f>IF($H491&gt;J491, MIN($H491-J491, K491-J491)*INDEX('2018_commission_structure'!$A$1:$I$4,MATCH($E491,'2018_commission_structure'!$A$1:$A$4,0),MATCH(Q$1,'2018_commission_structure'!$A$1:$I$1,0)),0)</f>
        <v>0</v>
      </c>
      <c r="R491" s="9">
        <f>IF($H491&gt;K491, MIN($H491-K491, L491-K491)*INDEX('2018_commission_structure'!$A$1:$I$4,MATCH($E491,'2018_commission_structure'!$A$1:$A$4,0),MATCH(R$1,'2018_commission_structure'!$A$1:$I$1,0)),0)</f>
        <v>0</v>
      </c>
      <c r="S491" s="9">
        <f>IF(H491&gt;L491,(H491-L491)*INDEX('2018_commission_structure'!$A$1:$I$4,MATCH($E491,'2018_commission_structure'!$A$1:$A$4,0),MATCH(S$1,'2018_commission_structure'!$A$1:$I$1,0)),0)</f>
        <v>0</v>
      </c>
      <c r="T491" s="9">
        <f t="shared" si="78"/>
        <v>65546.399999999994</v>
      </c>
      <c r="U491" s="9">
        <f t="shared" si="80"/>
        <v>145844.4</v>
      </c>
      <c r="V491" s="9">
        <f>MIN($I491,$H491)*INDEX('Key Metrics'!$E$16:$N$19,MATCH($E491,'Key Metrics'!$E$16:$E$19,0),MATCH(V$1,'Key Metrics'!$E$16:$M$16,0))</f>
        <v>65546.399999999994</v>
      </c>
      <c r="W491" s="9">
        <f>IF($H491&gt;I491, MIN($H491-I491, J491-I491)*INDEX('Key Metrics'!$E$16:$N$19,MATCH($E491,'Key Metrics'!$E$16:$E$19,0),MATCH(W$1,'Key Metrics'!$E$16:$M$16,0)),0)</f>
        <v>0</v>
      </c>
      <c r="X491" s="9">
        <f>IF($H491&gt;J491, MIN($H491-J491, K491-J491)*INDEX('Key Metrics'!$E$16:$N$19,MATCH($E491,'Key Metrics'!$E$16:$E$19,0),MATCH(X$1,'Key Metrics'!$E$16:$M$16,0)),0)</f>
        <v>0</v>
      </c>
      <c r="Y491" s="9">
        <f>IF($H491&gt;K491, MIN($H491-K491, L491-K491)*INDEX('Key Metrics'!$E$16:$N$19,MATCH($E491,'Key Metrics'!$E$16:$E$19,0),MATCH(Y$1,'Key Metrics'!$E$16:$M$16,0)),0)</f>
        <v>0</v>
      </c>
      <c r="Z491" s="9">
        <f>IF($H491&gt;L491,($H491-L491)*INDEX('Key Metrics'!$E$16:$N$19,MATCH($E491,'Key Metrics'!$E$16:$E$19,0),MATCH(Z$1,'Key Metrics'!$E$16:$M$16,0)),0)</f>
        <v>0</v>
      </c>
      <c r="AA491" s="9">
        <f t="shared" si="79"/>
        <v>65546.399999999994</v>
      </c>
      <c r="AB491" s="9">
        <f t="shared" si="81"/>
        <v>65546.982634666667</v>
      </c>
    </row>
    <row r="492" spans="1:28" x14ac:dyDescent="0.55000000000000004">
      <c r="A492" t="str">
        <f t="shared" si="72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COUNTIF(deals_closed!$D$2:$D$20001,Calculations!B899)</f>
        <v>14</v>
      </c>
      <c r="H492" s="7">
        <f>SUMIF(deals_closed!$D:$D,Calculations!B899,deals_closed!$C:$C)</f>
        <v>380502</v>
      </c>
      <c r="I492" s="5">
        <f>VLOOKUP(E492,'2018_commission_structure'!$A$1:$I$4,9,FALSE)</f>
        <v>750000</v>
      </c>
      <c r="J492" s="9">
        <f t="shared" si="73"/>
        <v>937500</v>
      </c>
      <c r="K492" s="10">
        <f t="shared" si="74"/>
        <v>1125000</v>
      </c>
      <c r="L492" s="9">
        <f t="shared" si="75"/>
        <v>1500000</v>
      </c>
      <c r="M492" s="8">
        <f t="shared" si="76"/>
        <v>0.50733600000000001</v>
      </c>
      <c r="N492" t="str">
        <f t="shared" si="77"/>
        <v>0-100%</v>
      </c>
      <c r="O492" s="9">
        <f>MIN($H492,$I492)*INDEX('2018_commission_structure'!$A$1:$I$4,MATCH($E492,'2018_commission_structure'!$A$1:$A$4,0),MATCH(O$1,'2018_commission_structure'!$A$1:$I$1,0))</f>
        <v>57075.299999999996</v>
      </c>
      <c r="P492" s="9">
        <f>IF(H492&gt;I492, MIN(H492-I492, J492-I492)*INDEX('2018_commission_structure'!$A$1:$I$4,MATCH($E492,'2018_commission_structure'!$A$1:$A$4,0),MATCH(P$1,'2018_commission_structure'!$A$1:$I$1,0)),0)</f>
        <v>0</v>
      </c>
      <c r="Q492" s="9">
        <f>IF($H492&gt;J492, MIN($H492-J492, K492-J492)*INDEX('2018_commission_structure'!$A$1:$I$4,MATCH($E492,'2018_commission_structure'!$A$1:$A$4,0),MATCH(Q$1,'2018_commission_structure'!$A$1:$I$1,0)),0)</f>
        <v>0</v>
      </c>
      <c r="R492" s="9">
        <f>IF($H492&gt;K492, MIN($H492-K492, L492-K492)*INDEX('2018_commission_structure'!$A$1:$I$4,MATCH($E492,'2018_commission_structure'!$A$1:$A$4,0),MATCH(R$1,'2018_commission_structure'!$A$1:$I$1,0)),0)</f>
        <v>0</v>
      </c>
      <c r="S492" s="9">
        <f>IF(H492&gt;L492,(H492-L492)*INDEX('2018_commission_structure'!$A$1:$I$4,MATCH($E492,'2018_commission_structure'!$A$1:$A$4,0),MATCH(S$1,'2018_commission_structure'!$A$1:$I$1,0)),0)</f>
        <v>0</v>
      </c>
      <c r="T492" s="9">
        <f t="shared" si="78"/>
        <v>57075.299999999996</v>
      </c>
      <c r="U492" s="9">
        <f t="shared" si="80"/>
        <v>175282.3</v>
      </c>
      <c r="V492" s="9">
        <f>MIN($I492,$H492)*INDEX('Key Metrics'!$E$16:$N$19,MATCH($E492,'Key Metrics'!$E$16:$E$19,0),MATCH(V$1,'Key Metrics'!$E$16:$M$16,0))</f>
        <v>57075.299999999996</v>
      </c>
      <c r="W492" s="9">
        <f>IF($H492&gt;I492, MIN($H492-I492, J492-I492)*INDEX('Key Metrics'!$E$16:$N$19,MATCH($E492,'Key Metrics'!$E$16:$E$19,0),MATCH(W$1,'Key Metrics'!$E$16:$M$16,0)),0)</f>
        <v>0</v>
      </c>
      <c r="X492" s="9">
        <f>IF($H492&gt;J492, MIN($H492-J492, K492-J492)*INDEX('Key Metrics'!$E$16:$N$19,MATCH($E492,'Key Metrics'!$E$16:$E$19,0),MATCH(X$1,'Key Metrics'!$E$16:$M$16,0)),0)</f>
        <v>0</v>
      </c>
      <c r="Y492" s="9">
        <f>IF($H492&gt;K492, MIN($H492-K492, L492-K492)*INDEX('Key Metrics'!$E$16:$N$19,MATCH($E492,'Key Metrics'!$E$16:$E$19,0),MATCH(Y$1,'Key Metrics'!$E$16:$M$16,0)),0)</f>
        <v>0</v>
      </c>
      <c r="Z492" s="9">
        <f>IF($H492&gt;L492,($H492-L492)*INDEX('Key Metrics'!$E$16:$N$19,MATCH($E492,'Key Metrics'!$E$16:$E$19,0),MATCH(Z$1,'Key Metrics'!$E$16:$M$16,0)),0)</f>
        <v>0</v>
      </c>
      <c r="AA492" s="9">
        <f t="shared" si="79"/>
        <v>57075.299999999996</v>
      </c>
      <c r="AB492" s="9">
        <f t="shared" si="81"/>
        <v>57075.807335999998</v>
      </c>
    </row>
    <row r="493" spans="1:28" x14ac:dyDescent="0.55000000000000004">
      <c r="A493" t="str">
        <f t="shared" si="72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COUNTIF(deals_closed!$D$2:$D$20001,Calculations!B623)</f>
        <v>18</v>
      </c>
      <c r="H493" s="7">
        <f>SUMIF(deals_closed!$D:$D,Calculations!B623,deals_closed!$C:$C)</f>
        <v>622265</v>
      </c>
      <c r="I493" s="5">
        <f>VLOOKUP(E493,'2018_commission_structure'!$A$1:$I$4,9,FALSE)</f>
        <v>750000</v>
      </c>
      <c r="J493" s="9">
        <f t="shared" si="73"/>
        <v>937500</v>
      </c>
      <c r="K493" s="10">
        <f t="shared" si="74"/>
        <v>1125000</v>
      </c>
      <c r="L493" s="9">
        <f t="shared" si="75"/>
        <v>1500000</v>
      </c>
      <c r="M493" s="8">
        <f t="shared" si="76"/>
        <v>0.82968666666666668</v>
      </c>
      <c r="N493" t="str">
        <f t="shared" si="77"/>
        <v>0-100%</v>
      </c>
      <c r="O493" s="9">
        <f>MIN($H493,$I493)*INDEX('2018_commission_structure'!$A$1:$I$4,MATCH($E493,'2018_commission_structure'!$A$1:$A$4,0),MATCH(O$1,'2018_commission_structure'!$A$1:$I$1,0))</f>
        <v>93339.75</v>
      </c>
      <c r="P493" s="9">
        <f>IF(H493&gt;I493, MIN(H493-I493, J493-I493)*INDEX('2018_commission_structure'!$A$1:$I$4,MATCH($E493,'2018_commission_structure'!$A$1:$A$4,0),MATCH(P$1,'2018_commission_structure'!$A$1:$I$1,0)),0)</f>
        <v>0</v>
      </c>
      <c r="Q493" s="9">
        <f>IF($H493&gt;J493, MIN($H493-J493, K493-J493)*INDEX('2018_commission_structure'!$A$1:$I$4,MATCH($E493,'2018_commission_structure'!$A$1:$A$4,0),MATCH(Q$1,'2018_commission_structure'!$A$1:$I$1,0)),0)</f>
        <v>0</v>
      </c>
      <c r="R493" s="9">
        <f>IF($H493&gt;K493, MIN($H493-K493, L493-K493)*INDEX('2018_commission_structure'!$A$1:$I$4,MATCH($E493,'2018_commission_structure'!$A$1:$A$4,0),MATCH(R$1,'2018_commission_structure'!$A$1:$I$1,0)),0)</f>
        <v>0</v>
      </c>
      <c r="S493" s="9">
        <f>IF(H493&gt;L493,(H493-L493)*INDEX('2018_commission_structure'!$A$1:$I$4,MATCH($E493,'2018_commission_structure'!$A$1:$A$4,0),MATCH(S$1,'2018_commission_structure'!$A$1:$I$1,0)),0)</f>
        <v>0</v>
      </c>
      <c r="T493" s="9">
        <f t="shared" si="78"/>
        <v>93339.75</v>
      </c>
      <c r="U493" s="9">
        <f t="shared" si="80"/>
        <v>182515.75</v>
      </c>
      <c r="V493" s="9">
        <f>MIN($I493,$H493)*INDEX('Key Metrics'!$E$16:$N$19,MATCH($E493,'Key Metrics'!$E$16:$E$19,0),MATCH(V$1,'Key Metrics'!$E$16:$M$16,0))</f>
        <v>93339.75</v>
      </c>
      <c r="W493" s="9">
        <f>IF($H493&gt;I493, MIN($H493-I493, J493-I493)*INDEX('Key Metrics'!$E$16:$N$19,MATCH($E493,'Key Metrics'!$E$16:$E$19,0),MATCH(W$1,'Key Metrics'!$E$16:$M$16,0)),0)</f>
        <v>0</v>
      </c>
      <c r="X493" s="9">
        <f>IF($H493&gt;J493, MIN($H493-J493, K493-J493)*INDEX('Key Metrics'!$E$16:$N$19,MATCH($E493,'Key Metrics'!$E$16:$E$19,0),MATCH(X$1,'Key Metrics'!$E$16:$M$16,0)),0)</f>
        <v>0</v>
      </c>
      <c r="Y493" s="9">
        <f>IF($H493&gt;K493, MIN($H493-K493, L493-K493)*INDEX('Key Metrics'!$E$16:$N$19,MATCH($E493,'Key Metrics'!$E$16:$E$19,0),MATCH(Y$1,'Key Metrics'!$E$16:$M$16,0)),0)</f>
        <v>0</v>
      </c>
      <c r="Z493" s="9">
        <f>IF($H493&gt;L493,($H493-L493)*INDEX('Key Metrics'!$E$16:$N$19,MATCH($E493,'Key Metrics'!$E$16:$E$19,0),MATCH(Z$1,'Key Metrics'!$E$16:$M$16,0)),0)</f>
        <v>0</v>
      </c>
      <c r="AA493" s="9">
        <f t="shared" si="79"/>
        <v>93339.75</v>
      </c>
      <c r="AB493" s="9">
        <f t="shared" si="81"/>
        <v>93340.579686666664</v>
      </c>
    </row>
    <row r="494" spans="1:28" x14ac:dyDescent="0.55000000000000004">
      <c r="A494" t="str">
        <f t="shared" si="72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COUNTIF(deals_closed!$D$2:$D$20001,Calculations!B783)</f>
        <v>25</v>
      </c>
      <c r="H494" s="7">
        <f>SUMIF(deals_closed!$D:$D,Calculations!B783,deals_closed!$C:$C)</f>
        <v>848660</v>
      </c>
      <c r="I494" s="5">
        <f>VLOOKUP(E494,'2018_commission_structure'!$A$1:$I$4,9,FALSE)</f>
        <v>500000</v>
      </c>
      <c r="J494" s="9">
        <f t="shared" si="73"/>
        <v>625000</v>
      </c>
      <c r="K494" s="10">
        <f t="shared" si="74"/>
        <v>750000</v>
      </c>
      <c r="L494" s="9">
        <f t="shared" si="75"/>
        <v>1000000</v>
      </c>
      <c r="M494" s="8">
        <f t="shared" si="76"/>
        <v>1.6973199999999999</v>
      </c>
      <c r="N494" t="str">
        <f t="shared" si="77"/>
        <v>150-200%</v>
      </c>
      <c r="O494" s="9">
        <f>MIN($H494,$I494)*INDEX('2018_commission_structure'!$A$1:$I$4,MATCH($E494,'2018_commission_structure'!$A$1:$A$4,0),MATCH(O$1,'2018_commission_structure'!$A$1:$I$1,0))</f>
        <v>50000</v>
      </c>
      <c r="P494" s="9">
        <f>IF(H494&gt;I494, MIN(H494-I494, J494-I494)*INDEX('2018_commission_structure'!$A$1:$I$4,MATCH($E494,'2018_commission_structure'!$A$1:$A$4,0),MATCH(P$1,'2018_commission_structure'!$A$1:$I$1,0)),0)</f>
        <v>18750</v>
      </c>
      <c r="Q494" s="9">
        <f>IF($H494&gt;J494, MIN($H494-J494, K494-J494)*INDEX('2018_commission_structure'!$A$1:$I$4,MATCH($E494,'2018_commission_structure'!$A$1:$A$4,0),MATCH(Q$1,'2018_commission_structure'!$A$1:$I$1,0)),0)</f>
        <v>22500</v>
      </c>
      <c r="R494" s="9">
        <f>IF($H494&gt;K494, MIN($H494-K494, L494-K494)*INDEX('2018_commission_structure'!$A$1:$I$4,MATCH($E494,'2018_commission_structure'!$A$1:$A$4,0),MATCH(R$1,'2018_commission_structure'!$A$1:$I$1,0)),0)</f>
        <v>21705.200000000001</v>
      </c>
      <c r="S494" s="9">
        <f>IF(H494&gt;L494,(H494-L494)*INDEX('2018_commission_structure'!$A$1:$I$4,MATCH($E494,'2018_commission_structure'!$A$1:$A$4,0),MATCH(S$1,'2018_commission_structure'!$A$1:$I$1,0)),0)</f>
        <v>0</v>
      </c>
      <c r="T494" s="9">
        <f t="shared" si="78"/>
        <v>112955.2</v>
      </c>
      <c r="U494" s="9">
        <f t="shared" si="80"/>
        <v>145742.20000000001</v>
      </c>
      <c r="V494" s="9">
        <f>MIN($I494,$H494)*INDEX('Key Metrics'!$E$16:$N$19,MATCH($E494,'Key Metrics'!$E$16:$E$19,0),MATCH(V$1,'Key Metrics'!$E$16:$M$16,0))</f>
        <v>60000</v>
      </c>
      <c r="W494" s="9">
        <f>IF($H494&gt;I494, MIN($H494-I494, J494-I494)*INDEX('Key Metrics'!$E$16:$N$19,MATCH($E494,'Key Metrics'!$E$16:$E$19,0),MATCH(W$1,'Key Metrics'!$E$16:$M$16,0)),0)</f>
        <v>21250</v>
      </c>
      <c r="X494" s="9">
        <f>IF($H494&gt;J494, MIN($H494-J494, K494-J494)*INDEX('Key Metrics'!$E$16:$N$19,MATCH($E494,'Key Metrics'!$E$16:$E$19,0),MATCH(X$1,'Key Metrics'!$E$16:$M$16,0)),0)</f>
        <v>25000</v>
      </c>
      <c r="Y494" s="9">
        <f>IF($H494&gt;K494, MIN($H494-K494, L494-K494)*INDEX('Key Metrics'!$E$16:$N$19,MATCH($E494,'Key Metrics'!$E$16:$E$19,0),MATCH(Y$1,'Key Metrics'!$E$16:$M$16,0)),0)</f>
        <v>21705.200000000001</v>
      </c>
      <c r="Z494" s="9">
        <f>IF($H494&gt;L494,($H494-L494)*INDEX('Key Metrics'!$E$16:$N$19,MATCH($E494,'Key Metrics'!$E$16:$E$19,0),MATCH(Z$1,'Key Metrics'!$E$16:$M$16,0)),0)</f>
        <v>0</v>
      </c>
      <c r="AA494" s="9">
        <f t="shared" si="79"/>
        <v>127955.2</v>
      </c>
      <c r="AB494" s="9">
        <f t="shared" si="81"/>
        <v>127956.89732</v>
      </c>
    </row>
    <row r="495" spans="1:28" x14ac:dyDescent="0.55000000000000004">
      <c r="A495" t="str">
        <f t="shared" si="72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COUNTIF(deals_closed!$D$2:$D$20001,Calculations!B955)</f>
        <v>13</v>
      </c>
      <c r="H495" s="7">
        <f>SUMIF(deals_closed!$D:$D,Calculations!B955,deals_closed!$C:$C)</f>
        <v>438197</v>
      </c>
      <c r="I495" s="5">
        <f>VLOOKUP(E495,'2018_commission_structure'!$A$1:$I$4,9,FALSE)</f>
        <v>600000</v>
      </c>
      <c r="J495" s="9">
        <f t="shared" si="73"/>
        <v>750000</v>
      </c>
      <c r="K495" s="10">
        <f t="shared" si="74"/>
        <v>900000</v>
      </c>
      <c r="L495" s="9">
        <f t="shared" si="75"/>
        <v>1200000</v>
      </c>
      <c r="M495" s="8">
        <f t="shared" si="76"/>
        <v>0.73032833333333336</v>
      </c>
      <c r="N495" t="str">
        <f t="shared" si="77"/>
        <v>0-100%</v>
      </c>
      <c r="O495" s="9">
        <f>MIN($H495,$I495)*INDEX('2018_commission_structure'!$A$1:$I$4,MATCH($E495,'2018_commission_structure'!$A$1:$A$4,0),MATCH(O$1,'2018_commission_structure'!$A$1:$I$1,0))</f>
        <v>56965.61</v>
      </c>
      <c r="P495" s="9">
        <f>IF(H495&gt;I495, MIN(H495-I495, J495-I495)*INDEX('2018_commission_structure'!$A$1:$I$4,MATCH($E495,'2018_commission_structure'!$A$1:$A$4,0),MATCH(P$1,'2018_commission_structure'!$A$1:$I$1,0)),0)</f>
        <v>0</v>
      </c>
      <c r="Q495" s="9">
        <f>IF($H495&gt;J495, MIN($H495-J495, K495-J495)*INDEX('2018_commission_structure'!$A$1:$I$4,MATCH($E495,'2018_commission_structure'!$A$1:$A$4,0),MATCH(Q$1,'2018_commission_structure'!$A$1:$I$1,0)),0)</f>
        <v>0</v>
      </c>
      <c r="R495" s="9">
        <f>IF($H495&gt;K495, MIN($H495-K495, L495-K495)*INDEX('2018_commission_structure'!$A$1:$I$4,MATCH($E495,'2018_commission_structure'!$A$1:$A$4,0),MATCH(R$1,'2018_commission_structure'!$A$1:$I$1,0)),0)</f>
        <v>0</v>
      </c>
      <c r="S495" s="9">
        <f>IF(H495&gt;L495,(H495-L495)*INDEX('2018_commission_structure'!$A$1:$I$4,MATCH($E495,'2018_commission_structure'!$A$1:$A$4,0),MATCH(S$1,'2018_commission_structure'!$A$1:$I$1,0)),0)</f>
        <v>0</v>
      </c>
      <c r="T495" s="9">
        <f t="shared" si="78"/>
        <v>56965.61</v>
      </c>
      <c r="U495" s="9">
        <f t="shared" si="80"/>
        <v>107801.61</v>
      </c>
      <c r="V495" s="9">
        <f>MIN($I495,$H495)*INDEX('Key Metrics'!$E$16:$N$19,MATCH($E495,'Key Metrics'!$E$16:$E$19,0),MATCH(V$1,'Key Metrics'!$E$16:$M$16,0))</f>
        <v>65729.55</v>
      </c>
      <c r="W495" s="9">
        <f>IF($H495&gt;I495, MIN($H495-I495, J495-I495)*INDEX('Key Metrics'!$E$16:$N$19,MATCH($E495,'Key Metrics'!$E$16:$E$19,0),MATCH(W$1,'Key Metrics'!$E$16:$M$16,0)),0)</f>
        <v>0</v>
      </c>
      <c r="X495" s="9">
        <f>IF($H495&gt;J495, MIN($H495-J495, K495-J495)*INDEX('Key Metrics'!$E$16:$N$19,MATCH($E495,'Key Metrics'!$E$16:$E$19,0),MATCH(X$1,'Key Metrics'!$E$16:$M$16,0)),0)</f>
        <v>0</v>
      </c>
      <c r="Y495" s="9">
        <f>IF($H495&gt;K495, MIN($H495-K495, L495-K495)*INDEX('Key Metrics'!$E$16:$N$19,MATCH($E495,'Key Metrics'!$E$16:$E$19,0),MATCH(Y$1,'Key Metrics'!$E$16:$M$16,0)),0)</f>
        <v>0</v>
      </c>
      <c r="Z495" s="9">
        <f>IF($H495&gt;L495,($H495-L495)*INDEX('Key Metrics'!$E$16:$N$19,MATCH($E495,'Key Metrics'!$E$16:$E$19,0),MATCH(Z$1,'Key Metrics'!$E$16:$M$16,0)),0)</f>
        <v>0</v>
      </c>
      <c r="AA495" s="9">
        <f t="shared" si="79"/>
        <v>65729.55</v>
      </c>
      <c r="AB495" s="9">
        <f t="shared" si="81"/>
        <v>65730.280328333334</v>
      </c>
    </row>
    <row r="496" spans="1:28" x14ac:dyDescent="0.55000000000000004">
      <c r="A496" t="str">
        <f t="shared" si="72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COUNTIF(deals_closed!$D$2:$D$20001,Calculations!B751)</f>
        <v>16</v>
      </c>
      <c r="H496" s="7">
        <f>SUMIF(deals_closed!$D:$D,Calculations!B751,deals_closed!$C:$C)</f>
        <v>616018</v>
      </c>
      <c r="I496" s="5">
        <f>VLOOKUP(E496,'2018_commission_structure'!$A$1:$I$4,9,FALSE)</f>
        <v>500000</v>
      </c>
      <c r="J496" s="9">
        <f t="shared" si="73"/>
        <v>625000</v>
      </c>
      <c r="K496" s="10">
        <f t="shared" si="74"/>
        <v>750000</v>
      </c>
      <c r="L496" s="9">
        <f t="shared" si="75"/>
        <v>1000000</v>
      </c>
      <c r="M496" s="8">
        <f t="shared" si="76"/>
        <v>1.2320359999999999</v>
      </c>
      <c r="N496" t="str">
        <f t="shared" si="77"/>
        <v>100-125%</v>
      </c>
      <c r="O496" s="9">
        <f>MIN($H496,$I496)*INDEX('2018_commission_structure'!$A$1:$I$4,MATCH($E496,'2018_commission_structure'!$A$1:$A$4,0),MATCH(O$1,'2018_commission_structure'!$A$1:$I$1,0))</f>
        <v>50000</v>
      </c>
      <c r="P496" s="9">
        <f>IF(H496&gt;I496, MIN(H496-I496, J496-I496)*INDEX('2018_commission_structure'!$A$1:$I$4,MATCH($E496,'2018_commission_structure'!$A$1:$A$4,0),MATCH(P$1,'2018_commission_structure'!$A$1:$I$1,0)),0)</f>
        <v>17402.7</v>
      </c>
      <c r="Q496" s="9">
        <f>IF($H496&gt;J496, MIN($H496-J496, K496-J496)*INDEX('2018_commission_structure'!$A$1:$I$4,MATCH($E496,'2018_commission_structure'!$A$1:$A$4,0),MATCH(Q$1,'2018_commission_structure'!$A$1:$I$1,0)),0)</f>
        <v>0</v>
      </c>
      <c r="R496" s="9">
        <f>IF($H496&gt;K496, MIN($H496-K496, L496-K496)*INDEX('2018_commission_structure'!$A$1:$I$4,MATCH($E496,'2018_commission_structure'!$A$1:$A$4,0),MATCH(R$1,'2018_commission_structure'!$A$1:$I$1,0)),0)</f>
        <v>0</v>
      </c>
      <c r="S496" s="9">
        <f>IF(H496&gt;L496,(H496-L496)*INDEX('2018_commission_structure'!$A$1:$I$4,MATCH($E496,'2018_commission_structure'!$A$1:$A$4,0),MATCH(S$1,'2018_commission_structure'!$A$1:$I$1,0)),0)</f>
        <v>0</v>
      </c>
      <c r="T496" s="9">
        <f t="shared" si="78"/>
        <v>67402.7</v>
      </c>
      <c r="U496" s="9">
        <f t="shared" si="80"/>
        <v>131713.70000000001</v>
      </c>
      <c r="V496" s="9">
        <f>MIN($I496,$H496)*INDEX('Key Metrics'!$E$16:$N$19,MATCH($E496,'Key Metrics'!$E$16:$E$19,0),MATCH(V$1,'Key Metrics'!$E$16:$M$16,0))</f>
        <v>60000</v>
      </c>
      <c r="W496" s="9">
        <f>IF($H496&gt;I496, MIN($H496-I496, J496-I496)*INDEX('Key Metrics'!$E$16:$N$19,MATCH($E496,'Key Metrics'!$E$16:$E$19,0),MATCH(W$1,'Key Metrics'!$E$16:$M$16,0)),0)</f>
        <v>19723.060000000001</v>
      </c>
      <c r="X496" s="9">
        <f>IF($H496&gt;J496, MIN($H496-J496, K496-J496)*INDEX('Key Metrics'!$E$16:$N$19,MATCH($E496,'Key Metrics'!$E$16:$E$19,0),MATCH(X$1,'Key Metrics'!$E$16:$M$16,0)),0)</f>
        <v>0</v>
      </c>
      <c r="Y496" s="9">
        <f>IF($H496&gt;K496, MIN($H496-K496, L496-K496)*INDEX('Key Metrics'!$E$16:$N$19,MATCH($E496,'Key Metrics'!$E$16:$E$19,0),MATCH(Y$1,'Key Metrics'!$E$16:$M$16,0)),0)</f>
        <v>0</v>
      </c>
      <c r="Z496" s="9">
        <f>IF($H496&gt;L496,($H496-L496)*INDEX('Key Metrics'!$E$16:$N$19,MATCH($E496,'Key Metrics'!$E$16:$E$19,0),MATCH(Z$1,'Key Metrics'!$E$16:$M$16,0)),0)</f>
        <v>0</v>
      </c>
      <c r="AA496" s="9">
        <f t="shared" si="79"/>
        <v>79723.06</v>
      </c>
      <c r="AB496" s="9">
        <f t="shared" si="81"/>
        <v>79724.292035999999</v>
      </c>
    </row>
    <row r="497" spans="1:28" x14ac:dyDescent="0.55000000000000004">
      <c r="A497" t="str">
        <f t="shared" si="72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COUNTIF(deals_closed!$D$2:$D$20001,Calculations!B463)</f>
        <v>30</v>
      </c>
      <c r="H497" s="7">
        <f>SUMIF(deals_closed!$D:$D,Calculations!B463,deals_closed!$C:$C)</f>
        <v>1056123</v>
      </c>
      <c r="I497" s="5">
        <f>VLOOKUP(E497,'2018_commission_structure'!$A$1:$I$4,9,FALSE)</f>
        <v>500000</v>
      </c>
      <c r="J497" s="9">
        <f t="shared" si="73"/>
        <v>625000</v>
      </c>
      <c r="K497" s="10">
        <f t="shared" si="74"/>
        <v>750000</v>
      </c>
      <c r="L497" s="9">
        <f t="shared" si="75"/>
        <v>1000000</v>
      </c>
      <c r="M497" s="8">
        <f t="shared" si="76"/>
        <v>2.1122459999999998</v>
      </c>
      <c r="N497" t="str">
        <f t="shared" si="77"/>
        <v>&gt;200%</v>
      </c>
      <c r="O497" s="9">
        <f>MIN($H497,$I497)*INDEX('2018_commission_structure'!$A$1:$I$4,MATCH($E497,'2018_commission_structure'!$A$1:$A$4,0),MATCH(O$1,'2018_commission_structure'!$A$1:$I$1,0))</f>
        <v>50000</v>
      </c>
      <c r="P497" s="9">
        <f>IF(H497&gt;I497, MIN(H497-I497, J497-I497)*INDEX('2018_commission_structure'!$A$1:$I$4,MATCH($E497,'2018_commission_structure'!$A$1:$A$4,0),MATCH(P$1,'2018_commission_structure'!$A$1:$I$1,0)),0)</f>
        <v>18750</v>
      </c>
      <c r="Q497" s="9">
        <f>IF($H497&gt;J497, MIN($H497-J497, K497-J497)*INDEX('2018_commission_structure'!$A$1:$I$4,MATCH($E497,'2018_commission_structure'!$A$1:$A$4,0),MATCH(Q$1,'2018_commission_structure'!$A$1:$I$1,0)),0)</f>
        <v>22500</v>
      </c>
      <c r="R497" s="9">
        <f>IF($H497&gt;K497, MIN($H497-K497, L497-K497)*INDEX('2018_commission_structure'!$A$1:$I$4,MATCH($E497,'2018_commission_structure'!$A$1:$A$4,0),MATCH(R$1,'2018_commission_structure'!$A$1:$I$1,0)),0)</f>
        <v>55000</v>
      </c>
      <c r="S497" s="9">
        <f>IF(H497&gt;L497,(H497-L497)*INDEX('2018_commission_structure'!$A$1:$I$4,MATCH($E497,'2018_commission_structure'!$A$1:$A$4,0),MATCH(S$1,'2018_commission_structure'!$A$1:$I$1,0)),0)</f>
        <v>5612.3</v>
      </c>
      <c r="T497" s="9">
        <f t="shared" si="78"/>
        <v>151862.29999999999</v>
      </c>
      <c r="U497" s="9">
        <f t="shared" si="80"/>
        <v>203063.3</v>
      </c>
      <c r="V497" s="9">
        <f>MIN($I497,$H497)*INDEX('Key Metrics'!$E$16:$N$19,MATCH($E497,'Key Metrics'!$E$16:$E$19,0),MATCH(V$1,'Key Metrics'!$E$16:$M$16,0))</f>
        <v>60000</v>
      </c>
      <c r="W497" s="9">
        <f>IF($H497&gt;I497, MIN($H497-I497, J497-I497)*INDEX('Key Metrics'!$E$16:$N$19,MATCH($E497,'Key Metrics'!$E$16:$E$19,0),MATCH(W$1,'Key Metrics'!$E$16:$M$16,0)),0)</f>
        <v>21250</v>
      </c>
      <c r="X497" s="9">
        <f>IF($H497&gt;J497, MIN($H497-J497, K497-J497)*INDEX('Key Metrics'!$E$16:$N$19,MATCH($E497,'Key Metrics'!$E$16:$E$19,0),MATCH(X$1,'Key Metrics'!$E$16:$M$16,0)),0)</f>
        <v>25000</v>
      </c>
      <c r="Y497" s="9">
        <f>IF($H497&gt;K497, MIN($H497-K497, L497-K497)*INDEX('Key Metrics'!$E$16:$N$19,MATCH($E497,'Key Metrics'!$E$16:$E$19,0),MATCH(Y$1,'Key Metrics'!$E$16:$M$16,0)),0)</f>
        <v>55000</v>
      </c>
      <c r="Z497" s="9">
        <f>IF($H497&gt;L497,($H497-L497)*INDEX('Key Metrics'!$E$16:$N$19,MATCH($E497,'Key Metrics'!$E$16:$E$19,0),MATCH(Z$1,'Key Metrics'!$E$16:$M$16,0)),0)</f>
        <v>5612.3</v>
      </c>
      <c r="AA497" s="9">
        <f t="shared" si="79"/>
        <v>166862.29999999999</v>
      </c>
      <c r="AB497" s="9">
        <f t="shared" si="81"/>
        <v>166864.41224599999</v>
      </c>
    </row>
    <row r="498" spans="1:28" x14ac:dyDescent="0.55000000000000004">
      <c r="A498" t="str">
        <f t="shared" si="72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COUNTIF(deals_closed!$D$2:$D$20001,Calculations!B178)</f>
        <v>25</v>
      </c>
      <c r="H498" s="7">
        <f>SUMIF(deals_closed!$D:$D,Calculations!B178,deals_closed!$C:$C)</f>
        <v>876577</v>
      </c>
      <c r="I498" s="5">
        <f>VLOOKUP(E498,'2018_commission_structure'!$A$1:$I$4,9,FALSE)</f>
        <v>750000</v>
      </c>
      <c r="J498" s="9">
        <f t="shared" si="73"/>
        <v>937500</v>
      </c>
      <c r="K498" s="10">
        <f t="shared" si="74"/>
        <v>1125000</v>
      </c>
      <c r="L498" s="9">
        <f t="shared" si="75"/>
        <v>1500000</v>
      </c>
      <c r="M498" s="8">
        <f t="shared" si="76"/>
        <v>1.1687693333333333</v>
      </c>
      <c r="N498" t="str">
        <f t="shared" si="77"/>
        <v>100-125%</v>
      </c>
      <c r="O498" s="9">
        <f>MIN($H498,$I498)*INDEX('2018_commission_structure'!$A$1:$I$4,MATCH($E498,'2018_commission_structure'!$A$1:$A$4,0),MATCH(O$1,'2018_commission_structure'!$A$1:$I$1,0))</f>
        <v>112500</v>
      </c>
      <c r="P498" s="9">
        <f>IF(H498&gt;I498, MIN(H498-I498, J498-I498)*INDEX('2018_commission_structure'!$A$1:$I$4,MATCH($E498,'2018_commission_structure'!$A$1:$A$4,0),MATCH(P$1,'2018_commission_structure'!$A$1:$I$1,0)),0)</f>
        <v>24049.63</v>
      </c>
      <c r="Q498" s="9">
        <f>IF($H498&gt;J498, MIN($H498-J498, K498-J498)*INDEX('2018_commission_structure'!$A$1:$I$4,MATCH($E498,'2018_commission_structure'!$A$1:$A$4,0),MATCH(Q$1,'2018_commission_structure'!$A$1:$I$1,0)),0)</f>
        <v>0</v>
      </c>
      <c r="R498" s="9">
        <f>IF($H498&gt;K498, MIN($H498-K498, L498-K498)*INDEX('2018_commission_structure'!$A$1:$I$4,MATCH($E498,'2018_commission_structure'!$A$1:$A$4,0),MATCH(R$1,'2018_commission_structure'!$A$1:$I$1,0)),0)</f>
        <v>0</v>
      </c>
      <c r="S498" s="9">
        <f>IF(H498&gt;L498,(H498-L498)*INDEX('2018_commission_structure'!$A$1:$I$4,MATCH($E498,'2018_commission_structure'!$A$1:$A$4,0),MATCH(S$1,'2018_commission_structure'!$A$1:$I$1,0)),0)</f>
        <v>0</v>
      </c>
      <c r="T498" s="9">
        <f t="shared" si="78"/>
        <v>136549.63</v>
      </c>
      <c r="U498" s="9">
        <f t="shared" si="80"/>
        <v>250897.63</v>
      </c>
      <c r="V498" s="9">
        <f>MIN($I498,$H498)*INDEX('Key Metrics'!$E$16:$N$19,MATCH($E498,'Key Metrics'!$E$16:$E$19,0),MATCH(V$1,'Key Metrics'!$E$16:$M$16,0))</f>
        <v>112500</v>
      </c>
      <c r="W498" s="9">
        <f>IF($H498&gt;I498, MIN($H498-I498, J498-I498)*INDEX('Key Metrics'!$E$16:$N$19,MATCH($E498,'Key Metrics'!$E$16:$E$19,0),MATCH(W$1,'Key Metrics'!$E$16:$M$16,0)),0)</f>
        <v>27846.94</v>
      </c>
      <c r="X498" s="9">
        <f>IF($H498&gt;J498, MIN($H498-J498, K498-J498)*INDEX('Key Metrics'!$E$16:$N$19,MATCH($E498,'Key Metrics'!$E$16:$E$19,0),MATCH(X$1,'Key Metrics'!$E$16:$M$16,0)),0)</f>
        <v>0</v>
      </c>
      <c r="Y498" s="9">
        <f>IF($H498&gt;K498, MIN($H498-K498, L498-K498)*INDEX('Key Metrics'!$E$16:$N$19,MATCH($E498,'Key Metrics'!$E$16:$E$19,0),MATCH(Y$1,'Key Metrics'!$E$16:$M$16,0)),0)</f>
        <v>0</v>
      </c>
      <c r="Z498" s="9">
        <f>IF($H498&gt;L498,($H498-L498)*INDEX('Key Metrics'!$E$16:$N$19,MATCH($E498,'Key Metrics'!$E$16:$E$19,0),MATCH(Z$1,'Key Metrics'!$E$16:$M$16,0)),0)</f>
        <v>0</v>
      </c>
      <c r="AA498" s="9">
        <f t="shared" si="79"/>
        <v>140346.94</v>
      </c>
      <c r="AB498" s="9">
        <f t="shared" si="81"/>
        <v>140348.10876933334</v>
      </c>
    </row>
    <row r="499" spans="1:28" x14ac:dyDescent="0.55000000000000004">
      <c r="A499" t="str">
        <f t="shared" si="72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COUNTIF(deals_closed!$D$2:$D$20001,Calculations!B478)</f>
        <v>24</v>
      </c>
      <c r="H499" s="7">
        <f>SUMIF(deals_closed!$D:$D,Calculations!B478,deals_closed!$C:$C)</f>
        <v>916522</v>
      </c>
      <c r="I499" s="5">
        <f>VLOOKUP(E499,'2018_commission_structure'!$A$1:$I$4,9,FALSE)</f>
        <v>500000</v>
      </c>
      <c r="J499" s="9">
        <f t="shared" si="73"/>
        <v>625000</v>
      </c>
      <c r="K499" s="10">
        <f t="shared" si="74"/>
        <v>750000</v>
      </c>
      <c r="L499" s="9">
        <f t="shared" si="75"/>
        <v>1000000</v>
      </c>
      <c r="M499" s="8">
        <f t="shared" si="76"/>
        <v>1.8330439999999999</v>
      </c>
      <c r="N499" t="str">
        <f t="shared" si="77"/>
        <v>150-200%</v>
      </c>
      <c r="O499" s="9">
        <f>MIN($H499,$I499)*INDEX('2018_commission_structure'!$A$1:$I$4,MATCH($E499,'2018_commission_structure'!$A$1:$A$4,0),MATCH(O$1,'2018_commission_structure'!$A$1:$I$1,0))</f>
        <v>50000</v>
      </c>
      <c r="P499" s="9">
        <f>IF(H499&gt;I499, MIN(H499-I499, J499-I499)*INDEX('2018_commission_structure'!$A$1:$I$4,MATCH($E499,'2018_commission_structure'!$A$1:$A$4,0),MATCH(P$1,'2018_commission_structure'!$A$1:$I$1,0)),0)</f>
        <v>18750</v>
      </c>
      <c r="Q499" s="9">
        <f>IF($H499&gt;J499, MIN($H499-J499, K499-J499)*INDEX('2018_commission_structure'!$A$1:$I$4,MATCH($E499,'2018_commission_structure'!$A$1:$A$4,0),MATCH(Q$1,'2018_commission_structure'!$A$1:$I$1,0)),0)</f>
        <v>22500</v>
      </c>
      <c r="R499" s="9">
        <f>IF($H499&gt;K499, MIN($H499-K499, L499-K499)*INDEX('2018_commission_structure'!$A$1:$I$4,MATCH($E499,'2018_commission_structure'!$A$1:$A$4,0),MATCH(R$1,'2018_commission_structure'!$A$1:$I$1,0)),0)</f>
        <v>36634.840000000004</v>
      </c>
      <c r="S499" s="9">
        <f>IF(H499&gt;L499,(H499-L499)*INDEX('2018_commission_structure'!$A$1:$I$4,MATCH($E499,'2018_commission_structure'!$A$1:$A$4,0),MATCH(S$1,'2018_commission_structure'!$A$1:$I$1,0)),0)</f>
        <v>0</v>
      </c>
      <c r="T499" s="9">
        <f t="shared" si="78"/>
        <v>127884.84</v>
      </c>
      <c r="U499" s="9">
        <f t="shared" si="80"/>
        <v>178694.84</v>
      </c>
      <c r="V499" s="9">
        <f>MIN($I499,$H499)*INDEX('Key Metrics'!$E$16:$N$19,MATCH($E499,'Key Metrics'!$E$16:$E$19,0),MATCH(V$1,'Key Metrics'!$E$16:$M$16,0))</f>
        <v>60000</v>
      </c>
      <c r="W499" s="9">
        <f>IF($H499&gt;I499, MIN($H499-I499, J499-I499)*INDEX('Key Metrics'!$E$16:$N$19,MATCH($E499,'Key Metrics'!$E$16:$E$19,0),MATCH(W$1,'Key Metrics'!$E$16:$M$16,0)),0)</f>
        <v>21250</v>
      </c>
      <c r="X499" s="9">
        <f>IF($H499&gt;J499, MIN($H499-J499, K499-J499)*INDEX('Key Metrics'!$E$16:$N$19,MATCH($E499,'Key Metrics'!$E$16:$E$19,0),MATCH(X$1,'Key Metrics'!$E$16:$M$16,0)),0)</f>
        <v>25000</v>
      </c>
      <c r="Y499" s="9">
        <f>IF($H499&gt;K499, MIN($H499-K499, L499-K499)*INDEX('Key Metrics'!$E$16:$N$19,MATCH($E499,'Key Metrics'!$E$16:$E$19,0),MATCH(Y$1,'Key Metrics'!$E$16:$M$16,0)),0)</f>
        <v>36634.840000000004</v>
      </c>
      <c r="Z499" s="9">
        <f>IF($H499&gt;L499,($H499-L499)*INDEX('Key Metrics'!$E$16:$N$19,MATCH($E499,'Key Metrics'!$E$16:$E$19,0),MATCH(Z$1,'Key Metrics'!$E$16:$M$16,0)),0)</f>
        <v>0</v>
      </c>
      <c r="AA499" s="9">
        <f t="shared" si="79"/>
        <v>142884.84</v>
      </c>
      <c r="AB499" s="9">
        <f t="shared" si="81"/>
        <v>142886.673044</v>
      </c>
    </row>
    <row r="500" spans="1:28" x14ac:dyDescent="0.55000000000000004">
      <c r="A500" t="str">
        <f t="shared" si="72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COUNTIF(deals_closed!$D$2:$D$20001,Calculations!B385)</f>
        <v>17</v>
      </c>
      <c r="H500" s="7">
        <f>SUMIF(deals_closed!$D:$D,Calculations!B385,deals_closed!$C:$C)</f>
        <v>544437</v>
      </c>
      <c r="I500" s="5">
        <f>VLOOKUP(E500,'2018_commission_structure'!$A$1:$I$4,9,FALSE)</f>
        <v>750000</v>
      </c>
      <c r="J500" s="9">
        <f t="shared" si="73"/>
        <v>937500</v>
      </c>
      <c r="K500" s="10">
        <f t="shared" si="74"/>
        <v>1125000</v>
      </c>
      <c r="L500" s="9">
        <f t="shared" si="75"/>
        <v>1500000</v>
      </c>
      <c r="M500" s="8">
        <f t="shared" si="76"/>
        <v>0.72591600000000001</v>
      </c>
      <c r="N500" t="str">
        <f t="shared" si="77"/>
        <v>0-100%</v>
      </c>
      <c r="O500" s="9">
        <f>MIN($H500,$I500)*INDEX('2018_commission_structure'!$A$1:$I$4,MATCH($E500,'2018_commission_structure'!$A$1:$A$4,0),MATCH(O$1,'2018_commission_structure'!$A$1:$I$1,0))</f>
        <v>81665.55</v>
      </c>
      <c r="P500" s="9">
        <f>IF(H500&gt;I500, MIN(H500-I500, J500-I500)*INDEX('2018_commission_structure'!$A$1:$I$4,MATCH($E500,'2018_commission_structure'!$A$1:$A$4,0),MATCH(P$1,'2018_commission_structure'!$A$1:$I$1,0)),0)</f>
        <v>0</v>
      </c>
      <c r="Q500" s="9">
        <f>IF($H500&gt;J500, MIN($H500-J500, K500-J500)*INDEX('2018_commission_structure'!$A$1:$I$4,MATCH($E500,'2018_commission_structure'!$A$1:$A$4,0),MATCH(Q$1,'2018_commission_structure'!$A$1:$I$1,0)),0)</f>
        <v>0</v>
      </c>
      <c r="R500" s="9">
        <f>IF($H500&gt;K500, MIN($H500-K500, L500-K500)*INDEX('2018_commission_structure'!$A$1:$I$4,MATCH($E500,'2018_commission_structure'!$A$1:$A$4,0),MATCH(R$1,'2018_commission_structure'!$A$1:$I$1,0)),0)</f>
        <v>0</v>
      </c>
      <c r="S500" s="9">
        <f>IF(H500&gt;L500,(H500-L500)*INDEX('2018_commission_structure'!$A$1:$I$4,MATCH($E500,'2018_commission_structure'!$A$1:$A$4,0),MATCH(S$1,'2018_commission_structure'!$A$1:$I$1,0)),0)</f>
        <v>0</v>
      </c>
      <c r="T500" s="9">
        <f t="shared" si="78"/>
        <v>81665.55</v>
      </c>
      <c r="U500" s="9">
        <f t="shared" si="80"/>
        <v>196215.55</v>
      </c>
      <c r="V500" s="9">
        <f>MIN($I500,$H500)*INDEX('Key Metrics'!$E$16:$N$19,MATCH($E500,'Key Metrics'!$E$16:$E$19,0),MATCH(V$1,'Key Metrics'!$E$16:$M$16,0))</f>
        <v>81665.55</v>
      </c>
      <c r="W500" s="9">
        <f>IF($H500&gt;I500, MIN($H500-I500, J500-I500)*INDEX('Key Metrics'!$E$16:$N$19,MATCH($E500,'Key Metrics'!$E$16:$E$19,0),MATCH(W$1,'Key Metrics'!$E$16:$M$16,0)),0)</f>
        <v>0</v>
      </c>
      <c r="X500" s="9">
        <f>IF($H500&gt;J500, MIN($H500-J500, K500-J500)*INDEX('Key Metrics'!$E$16:$N$19,MATCH($E500,'Key Metrics'!$E$16:$E$19,0),MATCH(X$1,'Key Metrics'!$E$16:$M$16,0)),0)</f>
        <v>0</v>
      </c>
      <c r="Y500" s="9">
        <f>IF($H500&gt;K500, MIN($H500-K500, L500-K500)*INDEX('Key Metrics'!$E$16:$N$19,MATCH($E500,'Key Metrics'!$E$16:$E$19,0),MATCH(Y$1,'Key Metrics'!$E$16:$M$16,0)),0)</f>
        <v>0</v>
      </c>
      <c r="Z500" s="9">
        <f>IF($H500&gt;L500,($H500-L500)*INDEX('Key Metrics'!$E$16:$N$19,MATCH($E500,'Key Metrics'!$E$16:$E$19,0),MATCH(Z$1,'Key Metrics'!$E$16:$M$16,0)),0)</f>
        <v>0</v>
      </c>
      <c r="AA500" s="9">
        <f t="shared" si="79"/>
        <v>81665.55</v>
      </c>
      <c r="AB500" s="9">
        <f t="shared" si="81"/>
        <v>81666.275915999999</v>
      </c>
    </row>
    <row r="501" spans="1:28" x14ac:dyDescent="0.55000000000000004">
      <c r="A501" t="str">
        <f t="shared" si="72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COUNTIF(deals_closed!$D$2:$D$20001,Calculations!B314)</f>
        <v>15</v>
      </c>
      <c r="H501" s="7">
        <f>SUMIF(deals_closed!$D:$D,Calculations!B314,deals_closed!$C:$C)</f>
        <v>503488</v>
      </c>
      <c r="I501" s="5">
        <f>VLOOKUP(E501,'2018_commission_structure'!$A$1:$I$4,9,FALSE)</f>
        <v>750000</v>
      </c>
      <c r="J501" s="9">
        <f t="shared" si="73"/>
        <v>937500</v>
      </c>
      <c r="K501" s="10">
        <f t="shared" si="74"/>
        <v>1125000</v>
      </c>
      <c r="L501" s="9">
        <f t="shared" si="75"/>
        <v>1500000</v>
      </c>
      <c r="M501" s="8">
        <f t="shared" si="76"/>
        <v>0.67131733333333332</v>
      </c>
      <c r="N501" t="str">
        <f t="shared" si="77"/>
        <v>0-100%</v>
      </c>
      <c r="O501" s="9">
        <f>MIN($H501,$I501)*INDEX('2018_commission_structure'!$A$1:$I$4,MATCH($E501,'2018_commission_structure'!$A$1:$A$4,0),MATCH(O$1,'2018_commission_structure'!$A$1:$I$1,0))</f>
        <v>75523.199999999997</v>
      </c>
      <c r="P501" s="9">
        <f>IF(H501&gt;I501, MIN(H501-I501, J501-I501)*INDEX('2018_commission_structure'!$A$1:$I$4,MATCH($E501,'2018_commission_structure'!$A$1:$A$4,0),MATCH(P$1,'2018_commission_structure'!$A$1:$I$1,0)),0)</f>
        <v>0</v>
      </c>
      <c r="Q501" s="9">
        <f>IF($H501&gt;J501, MIN($H501-J501, K501-J501)*INDEX('2018_commission_structure'!$A$1:$I$4,MATCH($E501,'2018_commission_structure'!$A$1:$A$4,0),MATCH(Q$1,'2018_commission_structure'!$A$1:$I$1,0)),0)</f>
        <v>0</v>
      </c>
      <c r="R501" s="9">
        <f>IF($H501&gt;K501, MIN($H501-K501, L501-K501)*INDEX('2018_commission_structure'!$A$1:$I$4,MATCH($E501,'2018_commission_structure'!$A$1:$A$4,0),MATCH(R$1,'2018_commission_structure'!$A$1:$I$1,0)),0)</f>
        <v>0</v>
      </c>
      <c r="S501" s="9">
        <f>IF(H501&gt;L501,(H501-L501)*INDEX('2018_commission_structure'!$A$1:$I$4,MATCH($E501,'2018_commission_structure'!$A$1:$A$4,0),MATCH(S$1,'2018_commission_structure'!$A$1:$I$1,0)),0)</f>
        <v>0</v>
      </c>
      <c r="T501" s="9">
        <f t="shared" si="78"/>
        <v>75523.199999999997</v>
      </c>
      <c r="U501" s="9">
        <f t="shared" si="80"/>
        <v>168524.2</v>
      </c>
      <c r="V501" s="9">
        <f>MIN($I501,$H501)*INDEX('Key Metrics'!$E$16:$N$19,MATCH($E501,'Key Metrics'!$E$16:$E$19,0),MATCH(V$1,'Key Metrics'!$E$16:$M$16,0))</f>
        <v>75523.199999999997</v>
      </c>
      <c r="W501" s="9">
        <f>IF($H501&gt;I501, MIN($H501-I501, J501-I501)*INDEX('Key Metrics'!$E$16:$N$19,MATCH($E501,'Key Metrics'!$E$16:$E$19,0),MATCH(W$1,'Key Metrics'!$E$16:$M$16,0)),0)</f>
        <v>0</v>
      </c>
      <c r="X501" s="9">
        <f>IF($H501&gt;J501, MIN($H501-J501, K501-J501)*INDEX('Key Metrics'!$E$16:$N$19,MATCH($E501,'Key Metrics'!$E$16:$E$19,0),MATCH(X$1,'Key Metrics'!$E$16:$M$16,0)),0)</f>
        <v>0</v>
      </c>
      <c r="Y501" s="9">
        <f>IF($H501&gt;K501, MIN($H501-K501, L501-K501)*INDEX('Key Metrics'!$E$16:$N$19,MATCH($E501,'Key Metrics'!$E$16:$E$19,0),MATCH(Y$1,'Key Metrics'!$E$16:$M$16,0)),0)</f>
        <v>0</v>
      </c>
      <c r="Z501" s="9">
        <f>IF($H501&gt;L501,($H501-L501)*INDEX('Key Metrics'!$E$16:$N$19,MATCH($E501,'Key Metrics'!$E$16:$E$19,0),MATCH(Z$1,'Key Metrics'!$E$16:$M$16,0)),0)</f>
        <v>0</v>
      </c>
      <c r="AA501" s="9">
        <f t="shared" si="79"/>
        <v>75523.199999999997</v>
      </c>
      <c r="AB501" s="9">
        <f t="shared" si="81"/>
        <v>75523.871317333324</v>
      </c>
    </row>
    <row r="502" spans="1:28" x14ac:dyDescent="0.55000000000000004">
      <c r="A502" t="str">
        <f t="shared" si="72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COUNTIF(deals_closed!$D$2:$D$20001,Calculations!B429)</f>
        <v>23</v>
      </c>
      <c r="H502" s="7">
        <f>SUMIF(deals_closed!$D:$D,Calculations!B429,deals_closed!$C:$C)</f>
        <v>871918</v>
      </c>
      <c r="I502" s="5">
        <f>VLOOKUP(E502,'2018_commission_structure'!$A$1:$I$4,9,FALSE)</f>
        <v>500000</v>
      </c>
      <c r="J502" s="9">
        <f t="shared" si="73"/>
        <v>625000</v>
      </c>
      <c r="K502" s="10">
        <f t="shared" si="74"/>
        <v>750000</v>
      </c>
      <c r="L502" s="9">
        <f t="shared" si="75"/>
        <v>1000000</v>
      </c>
      <c r="M502" s="8">
        <f t="shared" si="76"/>
        <v>1.7438359999999999</v>
      </c>
      <c r="N502" t="str">
        <f t="shared" si="77"/>
        <v>150-200%</v>
      </c>
      <c r="O502" s="9">
        <f>MIN($H502,$I502)*INDEX('2018_commission_structure'!$A$1:$I$4,MATCH($E502,'2018_commission_structure'!$A$1:$A$4,0),MATCH(O$1,'2018_commission_structure'!$A$1:$I$1,0))</f>
        <v>50000</v>
      </c>
      <c r="P502" s="9">
        <f>IF(H502&gt;I502, MIN(H502-I502, J502-I502)*INDEX('2018_commission_structure'!$A$1:$I$4,MATCH($E502,'2018_commission_structure'!$A$1:$A$4,0),MATCH(P$1,'2018_commission_structure'!$A$1:$I$1,0)),0)</f>
        <v>18750</v>
      </c>
      <c r="Q502" s="9">
        <f>IF($H502&gt;J502, MIN($H502-J502, K502-J502)*INDEX('2018_commission_structure'!$A$1:$I$4,MATCH($E502,'2018_commission_structure'!$A$1:$A$4,0),MATCH(Q$1,'2018_commission_structure'!$A$1:$I$1,0)),0)</f>
        <v>22500</v>
      </c>
      <c r="R502" s="9">
        <f>IF($H502&gt;K502, MIN($H502-K502, L502-K502)*INDEX('2018_commission_structure'!$A$1:$I$4,MATCH($E502,'2018_commission_structure'!$A$1:$A$4,0),MATCH(R$1,'2018_commission_structure'!$A$1:$I$1,0)),0)</f>
        <v>26821.96</v>
      </c>
      <c r="S502" s="9">
        <f>IF(H502&gt;L502,(H502-L502)*INDEX('2018_commission_structure'!$A$1:$I$4,MATCH($E502,'2018_commission_structure'!$A$1:$A$4,0),MATCH(S$1,'2018_commission_structure'!$A$1:$I$1,0)),0)</f>
        <v>0</v>
      </c>
      <c r="T502" s="9">
        <f t="shared" si="78"/>
        <v>118071.95999999999</v>
      </c>
      <c r="U502" s="9">
        <f t="shared" si="80"/>
        <v>160744.95999999999</v>
      </c>
      <c r="V502" s="9">
        <f>MIN($I502,$H502)*INDEX('Key Metrics'!$E$16:$N$19,MATCH($E502,'Key Metrics'!$E$16:$E$19,0),MATCH(V$1,'Key Metrics'!$E$16:$M$16,0))</f>
        <v>60000</v>
      </c>
      <c r="W502" s="9">
        <f>IF($H502&gt;I502, MIN($H502-I502, J502-I502)*INDEX('Key Metrics'!$E$16:$N$19,MATCH($E502,'Key Metrics'!$E$16:$E$19,0),MATCH(W$1,'Key Metrics'!$E$16:$M$16,0)),0)</f>
        <v>21250</v>
      </c>
      <c r="X502" s="9">
        <f>IF($H502&gt;J502, MIN($H502-J502, K502-J502)*INDEX('Key Metrics'!$E$16:$N$19,MATCH($E502,'Key Metrics'!$E$16:$E$19,0),MATCH(X$1,'Key Metrics'!$E$16:$M$16,0)),0)</f>
        <v>25000</v>
      </c>
      <c r="Y502" s="9">
        <f>IF($H502&gt;K502, MIN($H502-K502, L502-K502)*INDEX('Key Metrics'!$E$16:$N$19,MATCH($E502,'Key Metrics'!$E$16:$E$19,0),MATCH(Y$1,'Key Metrics'!$E$16:$M$16,0)),0)</f>
        <v>26821.96</v>
      </c>
      <c r="Z502" s="9">
        <f>IF($H502&gt;L502,($H502-L502)*INDEX('Key Metrics'!$E$16:$N$19,MATCH($E502,'Key Metrics'!$E$16:$E$19,0),MATCH(Z$1,'Key Metrics'!$E$16:$M$16,0)),0)</f>
        <v>0</v>
      </c>
      <c r="AA502" s="9">
        <f t="shared" si="79"/>
        <v>133071.96</v>
      </c>
      <c r="AB502" s="9">
        <f t="shared" si="81"/>
        <v>133073.703836</v>
      </c>
    </row>
    <row r="503" spans="1:28" x14ac:dyDescent="0.55000000000000004">
      <c r="A503" t="str">
        <f t="shared" si="72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COUNTIF(deals_closed!$D$2:$D$20001,Calculations!B537)</f>
        <v>19</v>
      </c>
      <c r="H503" s="7">
        <f>SUMIF(deals_closed!$D:$D,Calculations!B537,deals_closed!$C:$C)</f>
        <v>690784</v>
      </c>
      <c r="I503" s="5">
        <f>VLOOKUP(E503,'2018_commission_structure'!$A$1:$I$4,9,FALSE)</f>
        <v>500000</v>
      </c>
      <c r="J503" s="9">
        <f t="shared" si="73"/>
        <v>625000</v>
      </c>
      <c r="K503" s="10">
        <f t="shared" si="74"/>
        <v>750000</v>
      </c>
      <c r="L503" s="9">
        <f t="shared" si="75"/>
        <v>1000000</v>
      </c>
      <c r="M503" s="8">
        <f t="shared" si="76"/>
        <v>1.3815679999999999</v>
      </c>
      <c r="N503" t="str">
        <f t="shared" si="77"/>
        <v>125-150%</v>
      </c>
      <c r="O503" s="9">
        <f>MIN($H503,$I503)*INDEX('2018_commission_structure'!$A$1:$I$4,MATCH($E503,'2018_commission_structure'!$A$1:$A$4,0),MATCH(O$1,'2018_commission_structure'!$A$1:$I$1,0))</f>
        <v>50000</v>
      </c>
      <c r="P503" s="9">
        <f>IF(H503&gt;I503, MIN(H503-I503, J503-I503)*INDEX('2018_commission_structure'!$A$1:$I$4,MATCH($E503,'2018_commission_structure'!$A$1:$A$4,0),MATCH(P$1,'2018_commission_structure'!$A$1:$I$1,0)),0)</f>
        <v>18750</v>
      </c>
      <c r="Q503" s="9">
        <f>IF($H503&gt;J503, MIN($H503-J503, K503-J503)*INDEX('2018_commission_structure'!$A$1:$I$4,MATCH($E503,'2018_commission_structure'!$A$1:$A$4,0),MATCH(Q$1,'2018_commission_structure'!$A$1:$I$1,0)),0)</f>
        <v>11841.119999999999</v>
      </c>
      <c r="R503" s="9">
        <f>IF($H503&gt;K503, MIN($H503-K503, L503-K503)*INDEX('2018_commission_structure'!$A$1:$I$4,MATCH($E503,'2018_commission_structure'!$A$1:$A$4,0),MATCH(R$1,'2018_commission_structure'!$A$1:$I$1,0)),0)</f>
        <v>0</v>
      </c>
      <c r="S503" s="9">
        <f>IF(H503&gt;L503,(H503-L503)*INDEX('2018_commission_structure'!$A$1:$I$4,MATCH($E503,'2018_commission_structure'!$A$1:$A$4,0),MATCH(S$1,'2018_commission_structure'!$A$1:$I$1,0)),0)</f>
        <v>0</v>
      </c>
      <c r="T503" s="9">
        <f t="shared" si="78"/>
        <v>80591.12</v>
      </c>
      <c r="U503" s="9">
        <f t="shared" si="80"/>
        <v>141140.12</v>
      </c>
      <c r="V503" s="9">
        <f>MIN($I503,$H503)*INDEX('Key Metrics'!$E$16:$N$19,MATCH($E503,'Key Metrics'!$E$16:$E$19,0),MATCH(V$1,'Key Metrics'!$E$16:$M$16,0))</f>
        <v>60000</v>
      </c>
      <c r="W503" s="9">
        <f>IF($H503&gt;I503, MIN($H503-I503, J503-I503)*INDEX('Key Metrics'!$E$16:$N$19,MATCH($E503,'Key Metrics'!$E$16:$E$19,0),MATCH(W$1,'Key Metrics'!$E$16:$M$16,0)),0)</f>
        <v>21250</v>
      </c>
      <c r="X503" s="9">
        <f>IF($H503&gt;J503, MIN($H503-J503, K503-J503)*INDEX('Key Metrics'!$E$16:$N$19,MATCH($E503,'Key Metrics'!$E$16:$E$19,0),MATCH(X$1,'Key Metrics'!$E$16:$M$16,0)),0)</f>
        <v>13156.800000000001</v>
      </c>
      <c r="Y503" s="9">
        <f>IF($H503&gt;K503, MIN($H503-K503, L503-K503)*INDEX('Key Metrics'!$E$16:$N$19,MATCH($E503,'Key Metrics'!$E$16:$E$19,0),MATCH(Y$1,'Key Metrics'!$E$16:$M$16,0)),0)</f>
        <v>0</v>
      </c>
      <c r="Z503" s="9">
        <f>IF($H503&gt;L503,($H503-L503)*INDEX('Key Metrics'!$E$16:$N$19,MATCH($E503,'Key Metrics'!$E$16:$E$19,0),MATCH(Z$1,'Key Metrics'!$E$16:$M$16,0)),0)</f>
        <v>0</v>
      </c>
      <c r="AA503" s="9">
        <f t="shared" si="79"/>
        <v>94406.8</v>
      </c>
      <c r="AB503" s="9">
        <f t="shared" si="81"/>
        <v>94408.181568</v>
      </c>
    </row>
    <row r="504" spans="1:28" x14ac:dyDescent="0.55000000000000004">
      <c r="A504" t="str">
        <f t="shared" si="72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COUNTIF(deals_closed!$D$2:$D$20001,Calculations!B380)</f>
        <v>26</v>
      </c>
      <c r="H504" s="7">
        <f>SUMIF(deals_closed!$D:$D,Calculations!B380,deals_closed!$C:$C)</f>
        <v>968439</v>
      </c>
      <c r="I504" s="5">
        <f>VLOOKUP(E504,'2018_commission_structure'!$A$1:$I$4,9,FALSE)</f>
        <v>750000</v>
      </c>
      <c r="J504" s="9">
        <f t="shared" si="73"/>
        <v>937500</v>
      </c>
      <c r="K504" s="10">
        <f t="shared" si="74"/>
        <v>1125000</v>
      </c>
      <c r="L504" s="9">
        <f t="shared" si="75"/>
        <v>1500000</v>
      </c>
      <c r="M504" s="8">
        <f t="shared" si="76"/>
        <v>1.2912520000000001</v>
      </c>
      <c r="N504" t="str">
        <f t="shared" si="77"/>
        <v>125-150%</v>
      </c>
      <c r="O504" s="9">
        <f>MIN($H504,$I504)*INDEX('2018_commission_structure'!$A$1:$I$4,MATCH($E504,'2018_commission_structure'!$A$1:$A$4,0),MATCH(O$1,'2018_commission_structure'!$A$1:$I$1,0))</f>
        <v>112500</v>
      </c>
      <c r="P504" s="9">
        <f>IF(H504&gt;I504, MIN(H504-I504, J504-I504)*INDEX('2018_commission_structure'!$A$1:$I$4,MATCH($E504,'2018_commission_structure'!$A$1:$A$4,0),MATCH(P$1,'2018_commission_structure'!$A$1:$I$1,0)),0)</f>
        <v>35625</v>
      </c>
      <c r="Q504" s="9">
        <f>IF($H504&gt;J504, MIN($H504-J504, K504-J504)*INDEX('2018_commission_structure'!$A$1:$I$4,MATCH($E504,'2018_commission_structure'!$A$1:$A$4,0),MATCH(Q$1,'2018_commission_structure'!$A$1:$I$1,0)),0)</f>
        <v>7115.97</v>
      </c>
      <c r="R504" s="9">
        <f>IF($H504&gt;K504, MIN($H504-K504, L504-K504)*INDEX('2018_commission_structure'!$A$1:$I$4,MATCH($E504,'2018_commission_structure'!$A$1:$A$4,0),MATCH(R$1,'2018_commission_structure'!$A$1:$I$1,0)),0)</f>
        <v>0</v>
      </c>
      <c r="S504" s="9">
        <f>IF(H504&gt;L504,(H504-L504)*INDEX('2018_commission_structure'!$A$1:$I$4,MATCH($E504,'2018_commission_structure'!$A$1:$A$4,0),MATCH(S$1,'2018_commission_structure'!$A$1:$I$1,0)),0)</f>
        <v>0</v>
      </c>
      <c r="T504" s="9">
        <f t="shared" si="78"/>
        <v>155240.97</v>
      </c>
      <c r="U504" s="9">
        <f t="shared" si="80"/>
        <v>236468.97</v>
      </c>
      <c r="V504" s="9">
        <f>MIN($I504,$H504)*INDEX('Key Metrics'!$E$16:$N$19,MATCH($E504,'Key Metrics'!$E$16:$E$19,0),MATCH(V$1,'Key Metrics'!$E$16:$M$16,0))</f>
        <v>112500</v>
      </c>
      <c r="W504" s="9">
        <f>IF($H504&gt;I504, MIN($H504-I504, J504-I504)*INDEX('Key Metrics'!$E$16:$N$19,MATCH($E504,'Key Metrics'!$E$16:$E$19,0),MATCH(W$1,'Key Metrics'!$E$16:$M$16,0)),0)</f>
        <v>41250</v>
      </c>
      <c r="X504" s="9">
        <f>IF($H504&gt;J504, MIN($H504-J504, K504-J504)*INDEX('Key Metrics'!$E$16:$N$19,MATCH($E504,'Key Metrics'!$E$16:$E$19,0),MATCH(X$1,'Key Metrics'!$E$16:$M$16,0)),0)</f>
        <v>7734.75</v>
      </c>
      <c r="Y504" s="9">
        <f>IF($H504&gt;K504, MIN($H504-K504, L504-K504)*INDEX('Key Metrics'!$E$16:$N$19,MATCH($E504,'Key Metrics'!$E$16:$E$19,0),MATCH(Y$1,'Key Metrics'!$E$16:$M$16,0)),0)</f>
        <v>0</v>
      </c>
      <c r="Z504" s="9">
        <f>IF($H504&gt;L504,($H504-L504)*INDEX('Key Metrics'!$E$16:$N$19,MATCH($E504,'Key Metrics'!$E$16:$E$19,0),MATCH(Z$1,'Key Metrics'!$E$16:$M$16,0)),0)</f>
        <v>0</v>
      </c>
      <c r="AA504" s="9">
        <f t="shared" si="79"/>
        <v>161484.75</v>
      </c>
      <c r="AB504" s="9">
        <f t="shared" si="81"/>
        <v>161486.041252</v>
      </c>
    </row>
    <row r="505" spans="1:28" x14ac:dyDescent="0.55000000000000004">
      <c r="A505" t="str">
        <f t="shared" si="72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COUNTIF(deals_closed!$D$2:$D$20001,Calculations!B252)</f>
        <v>19</v>
      </c>
      <c r="H505" s="7">
        <f>SUMIF(deals_closed!$D:$D,Calculations!B252,deals_closed!$C:$C)</f>
        <v>691420</v>
      </c>
      <c r="I505" s="5">
        <f>VLOOKUP(E505,'2018_commission_structure'!$A$1:$I$4,9,FALSE)</f>
        <v>750000</v>
      </c>
      <c r="J505" s="9">
        <f t="shared" si="73"/>
        <v>937500</v>
      </c>
      <c r="K505" s="10">
        <f t="shared" si="74"/>
        <v>1125000</v>
      </c>
      <c r="L505" s="9">
        <f t="shared" si="75"/>
        <v>1500000</v>
      </c>
      <c r="M505" s="8">
        <f t="shared" si="76"/>
        <v>0.92189333333333334</v>
      </c>
      <c r="N505" t="str">
        <f t="shared" si="77"/>
        <v>0-100%</v>
      </c>
      <c r="O505" s="9">
        <f>MIN($H505,$I505)*INDEX('2018_commission_structure'!$A$1:$I$4,MATCH($E505,'2018_commission_structure'!$A$1:$A$4,0),MATCH(O$1,'2018_commission_structure'!$A$1:$I$1,0))</f>
        <v>103713</v>
      </c>
      <c r="P505" s="9">
        <f>IF(H505&gt;I505, MIN(H505-I505, J505-I505)*INDEX('2018_commission_structure'!$A$1:$I$4,MATCH($E505,'2018_commission_structure'!$A$1:$A$4,0),MATCH(P$1,'2018_commission_structure'!$A$1:$I$1,0)),0)</f>
        <v>0</v>
      </c>
      <c r="Q505" s="9">
        <f>IF($H505&gt;J505, MIN($H505-J505, K505-J505)*INDEX('2018_commission_structure'!$A$1:$I$4,MATCH($E505,'2018_commission_structure'!$A$1:$A$4,0),MATCH(Q$1,'2018_commission_structure'!$A$1:$I$1,0)),0)</f>
        <v>0</v>
      </c>
      <c r="R505" s="9">
        <f>IF($H505&gt;K505, MIN($H505-K505, L505-K505)*INDEX('2018_commission_structure'!$A$1:$I$4,MATCH($E505,'2018_commission_structure'!$A$1:$A$4,0),MATCH(R$1,'2018_commission_structure'!$A$1:$I$1,0)),0)</f>
        <v>0</v>
      </c>
      <c r="S505" s="9">
        <f>IF(H505&gt;L505,(H505-L505)*INDEX('2018_commission_structure'!$A$1:$I$4,MATCH($E505,'2018_commission_structure'!$A$1:$A$4,0),MATCH(S$1,'2018_commission_structure'!$A$1:$I$1,0)),0)</f>
        <v>0</v>
      </c>
      <c r="T505" s="9">
        <f t="shared" si="78"/>
        <v>103713</v>
      </c>
      <c r="U505" s="9">
        <f t="shared" si="80"/>
        <v>216420</v>
      </c>
      <c r="V505" s="9">
        <f>MIN($I505,$H505)*INDEX('Key Metrics'!$E$16:$N$19,MATCH($E505,'Key Metrics'!$E$16:$E$19,0),MATCH(V$1,'Key Metrics'!$E$16:$M$16,0))</f>
        <v>103713</v>
      </c>
      <c r="W505" s="9">
        <f>IF($H505&gt;I505, MIN($H505-I505, J505-I505)*INDEX('Key Metrics'!$E$16:$N$19,MATCH($E505,'Key Metrics'!$E$16:$E$19,0),MATCH(W$1,'Key Metrics'!$E$16:$M$16,0)),0)</f>
        <v>0</v>
      </c>
      <c r="X505" s="9">
        <f>IF($H505&gt;J505, MIN($H505-J505, K505-J505)*INDEX('Key Metrics'!$E$16:$N$19,MATCH($E505,'Key Metrics'!$E$16:$E$19,0),MATCH(X$1,'Key Metrics'!$E$16:$M$16,0)),0)</f>
        <v>0</v>
      </c>
      <c r="Y505" s="9">
        <f>IF($H505&gt;K505, MIN($H505-K505, L505-K505)*INDEX('Key Metrics'!$E$16:$N$19,MATCH($E505,'Key Metrics'!$E$16:$E$19,0),MATCH(Y$1,'Key Metrics'!$E$16:$M$16,0)),0)</f>
        <v>0</v>
      </c>
      <c r="Z505" s="9">
        <f>IF($H505&gt;L505,($H505-L505)*INDEX('Key Metrics'!$E$16:$N$19,MATCH($E505,'Key Metrics'!$E$16:$E$19,0),MATCH(Z$1,'Key Metrics'!$E$16:$M$16,0)),0)</f>
        <v>0</v>
      </c>
      <c r="AA505" s="9">
        <f t="shared" si="79"/>
        <v>103713</v>
      </c>
      <c r="AB505" s="9">
        <f t="shared" si="81"/>
        <v>103713.92189333333</v>
      </c>
    </row>
    <row r="506" spans="1:28" x14ac:dyDescent="0.55000000000000004">
      <c r="A506" t="str">
        <f t="shared" si="72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COUNTIF(deals_closed!$D$2:$D$20001,Calculations!B216)</f>
        <v>15</v>
      </c>
      <c r="H506" s="7">
        <f>SUMIF(deals_closed!$D:$D,Calculations!B216,deals_closed!$C:$C)</f>
        <v>573420</v>
      </c>
      <c r="I506" s="5">
        <f>VLOOKUP(E506,'2018_commission_structure'!$A$1:$I$4,9,FALSE)</f>
        <v>600000</v>
      </c>
      <c r="J506" s="9">
        <f t="shared" si="73"/>
        <v>750000</v>
      </c>
      <c r="K506" s="10">
        <f t="shared" si="74"/>
        <v>900000</v>
      </c>
      <c r="L506" s="9">
        <f t="shared" si="75"/>
        <v>1200000</v>
      </c>
      <c r="M506" s="8">
        <f t="shared" si="76"/>
        <v>0.95569999999999999</v>
      </c>
      <c r="N506" t="str">
        <f t="shared" si="77"/>
        <v>0-100%</v>
      </c>
      <c r="O506" s="9">
        <f>MIN($H506,$I506)*INDEX('2018_commission_structure'!$A$1:$I$4,MATCH($E506,'2018_commission_structure'!$A$1:$A$4,0),MATCH(O$1,'2018_commission_structure'!$A$1:$I$1,0))</f>
        <v>74544.600000000006</v>
      </c>
      <c r="P506" s="9">
        <f>IF(H506&gt;I506, MIN(H506-I506, J506-I506)*INDEX('2018_commission_structure'!$A$1:$I$4,MATCH($E506,'2018_commission_structure'!$A$1:$A$4,0),MATCH(P$1,'2018_commission_structure'!$A$1:$I$1,0)),0)</f>
        <v>0</v>
      </c>
      <c r="Q506" s="9">
        <f>IF($H506&gt;J506, MIN($H506-J506, K506-J506)*INDEX('2018_commission_structure'!$A$1:$I$4,MATCH($E506,'2018_commission_structure'!$A$1:$A$4,0),MATCH(Q$1,'2018_commission_structure'!$A$1:$I$1,0)),0)</f>
        <v>0</v>
      </c>
      <c r="R506" s="9">
        <f>IF($H506&gt;K506, MIN($H506-K506, L506-K506)*INDEX('2018_commission_structure'!$A$1:$I$4,MATCH($E506,'2018_commission_structure'!$A$1:$A$4,0),MATCH(R$1,'2018_commission_structure'!$A$1:$I$1,0)),0)</f>
        <v>0</v>
      </c>
      <c r="S506" s="9">
        <f>IF(H506&gt;L506,(H506-L506)*INDEX('2018_commission_structure'!$A$1:$I$4,MATCH($E506,'2018_commission_structure'!$A$1:$A$4,0),MATCH(S$1,'2018_commission_structure'!$A$1:$I$1,0)),0)</f>
        <v>0</v>
      </c>
      <c r="T506" s="9">
        <f t="shared" si="78"/>
        <v>74544.600000000006</v>
      </c>
      <c r="U506" s="9">
        <f t="shared" si="80"/>
        <v>128770.6</v>
      </c>
      <c r="V506" s="9">
        <f>MIN($I506,$H506)*INDEX('Key Metrics'!$E$16:$N$19,MATCH($E506,'Key Metrics'!$E$16:$E$19,0),MATCH(V$1,'Key Metrics'!$E$16:$M$16,0))</f>
        <v>86013</v>
      </c>
      <c r="W506" s="9">
        <f>IF($H506&gt;I506, MIN($H506-I506, J506-I506)*INDEX('Key Metrics'!$E$16:$N$19,MATCH($E506,'Key Metrics'!$E$16:$E$19,0),MATCH(W$1,'Key Metrics'!$E$16:$M$16,0)),0)</f>
        <v>0</v>
      </c>
      <c r="X506" s="9">
        <f>IF($H506&gt;J506, MIN($H506-J506, K506-J506)*INDEX('Key Metrics'!$E$16:$N$19,MATCH($E506,'Key Metrics'!$E$16:$E$19,0),MATCH(X$1,'Key Metrics'!$E$16:$M$16,0)),0)</f>
        <v>0</v>
      </c>
      <c r="Y506" s="9">
        <f>IF($H506&gt;K506, MIN($H506-K506, L506-K506)*INDEX('Key Metrics'!$E$16:$N$19,MATCH($E506,'Key Metrics'!$E$16:$E$19,0),MATCH(Y$1,'Key Metrics'!$E$16:$M$16,0)),0)</f>
        <v>0</v>
      </c>
      <c r="Z506" s="9">
        <f>IF($H506&gt;L506,($H506-L506)*INDEX('Key Metrics'!$E$16:$N$19,MATCH($E506,'Key Metrics'!$E$16:$E$19,0),MATCH(Z$1,'Key Metrics'!$E$16:$M$16,0)),0)</f>
        <v>0</v>
      </c>
      <c r="AA506" s="9">
        <f t="shared" si="79"/>
        <v>86013</v>
      </c>
      <c r="AB506" s="9">
        <f t="shared" si="81"/>
        <v>86013.955700000006</v>
      </c>
    </row>
    <row r="507" spans="1:28" x14ac:dyDescent="0.55000000000000004">
      <c r="A507" t="str">
        <f t="shared" si="72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COUNTIF(deals_closed!$D$2:$D$20001,Calculations!B4)</f>
        <v>27</v>
      </c>
      <c r="H507" s="7">
        <f>SUMIF(deals_closed!$D:$D,Calculations!B4,deals_closed!$C:$C)</f>
        <v>831136</v>
      </c>
      <c r="I507" s="5">
        <f>VLOOKUP(E507,'2018_commission_structure'!$A$1:$I$4,9,FALSE)</f>
        <v>750000</v>
      </c>
      <c r="J507" s="9">
        <f t="shared" si="73"/>
        <v>937500</v>
      </c>
      <c r="K507" s="10">
        <f t="shared" si="74"/>
        <v>1125000</v>
      </c>
      <c r="L507" s="9">
        <f t="shared" si="75"/>
        <v>1500000</v>
      </c>
      <c r="M507" s="8">
        <f t="shared" si="76"/>
        <v>1.1081813333333332</v>
      </c>
      <c r="N507" t="str">
        <f t="shared" si="77"/>
        <v>100-125%</v>
      </c>
      <c r="O507" s="9">
        <f>MIN($H507,$I507)*INDEX('2018_commission_structure'!$A$1:$I$4,MATCH($E507,'2018_commission_structure'!$A$1:$A$4,0),MATCH(O$1,'2018_commission_structure'!$A$1:$I$1,0))</f>
        <v>112500</v>
      </c>
      <c r="P507" s="9">
        <f>IF(H507&gt;I507, MIN(H507-I507, J507-I507)*INDEX('2018_commission_structure'!$A$1:$I$4,MATCH($E507,'2018_commission_structure'!$A$1:$A$4,0),MATCH(P$1,'2018_commission_structure'!$A$1:$I$1,0)),0)</f>
        <v>15415.84</v>
      </c>
      <c r="Q507" s="9">
        <f>IF($H507&gt;J507, MIN($H507-J507, K507-J507)*INDEX('2018_commission_structure'!$A$1:$I$4,MATCH($E507,'2018_commission_structure'!$A$1:$A$4,0),MATCH(Q$1,'2018_commission_structure'!$A$1:$I$1,0)),0)</f>
        <v>0</v>
      </c>
      <c r="R507" s="9">
        <f>IF($H507&gt;K507, MIN($H507-K507, L507-K507)*INDEX('2018_commission_structure'!$A$1:$I$4,MATCH($E507,'2018_commission_structure'!$A$1:$A$4,0),MATCH(R$1,'2018_commission_structure'!$A$1:$I$1,0)),0)</f>
        <v>0</v>
      </c>
      <c r="S507" s="9">
        <f>IF(H507&gt;L507,(H507-L507)*INDEX('2018_commission_structure'!$A$1:$I$4,MATCH($E507,'2018_commission_structure'!$A$1:$A$4,0),MATCH(S$1,'2018_commission_structure'!$A$1:$I$1,0)),0)</f>
        <v>0</v>
      </c>
      <c r="T507" s="9">
        <f t="shared" si="78"/>
        <v>127915.84</v>
      </c>
      <c r="U507" s="9">
        <f t="shared" si="80"/>
        <v>241368.84</v>
      </c>
      <c r="V507" s="9">
        <f>MIN($I507,$H507)*INDEX('Key Metrics'!$E$16:$N$19,MATCH($E507,'Key Metrics'!$E$16:$E$19,0),MATCH(V$1,'Key Metrics'!$E$16:$M$16,0))</f>
        <v>112500</v>
      </c>
      <c r="W507" s="9">
        <f>IF($H507&gt;I507, MIN($H507-I507, J507-I507)*INDEX('Key Metrics'!$E$16:$N$19,MATCH($E507,'Key Metrics'!$E$16:$E$19,0),MATCH(W$1,'Key Metrics'!$E$16:$M$16,0)),0)</f>
        <v>17849.920000000002</v>
      </c>
      <c r="X507" s="9">
        <f>IF($H507&gt;J507, MIN($H507-J507, K507-J507)*INDEX('Key Metrics'!$E$16:$N$19,MATCH($E507,'Key Metrics'!$E$16:$E$19,0),MATCH(X$1,'Key Metrics'!$E$16:$M$16,0)),0)</f>
        <v>0</v>
      </c>
      <c r="Y507" s="9">
        <f>IF($H507&gt;K507, MIN($H507-K507, L507-K507)*INDEX('Key Metrics'!$E$16:$N$19,MATCH($E507,'Key Metrics'!$E$16:$E$19,0),MATCH(Y$1,'Key Metrics'!$E$16:$M$16,0)),0)</f>
        <v>0</v>
      </c>
      <c r="Z507" s="9">
        <f>IF($H507&gt;L507,($H507-L507)*INDEX('Key Metrics'!$E$16:$N$19,MATCH($E507,'Key Metrics'!$E$16:$E$19,0),MATCH(Z$1,'Key Metrics'!$E$16:$M$16,0)),0)</f>
        <v>0</v>
      </c>
      <c r="AA507" s="9">
        <f t="shared" si="79"/>
        <v>130349.92</v>
      </c>
      <c r="AB507" s="9">
        <f t="shared" si="81"/>
        <v>130351.02818133333</v>
      </c>
    </row>
    <row r="508" spans="1:28" x14ac:dyDescent="0.55000000000000004">
      <c r="A508" t="str">
        <f t="shared" si="72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COUNTIF(deals_closed!$D$2:$D$20001,Calculations!B403)</f>
        <v>19</v>
      </c>
      <c r="H508" s="7">
        <f>SUMIF(deals_closed!$D:$D,Calculations!B403,deals_closed!$C:$C)</f>
        <v>765283</v>
      </c>
      <c r="I508" s="5">
        <f>VLOOKUP(E508,'2018_commission_structure'!$A$1:$I$4,9,FALSE)</f>
        <v>750000</v>
      </c>
      <c r="J508" s="9">
        <f t="shared" si="73"/>
        <v>937500</v>
      </c>
      <c r="K508" s="10">
        <f t="shared" si="74"/>
        <v>1125000</v>
      </c>
      <c r="L508" s="9">
        <f t="shared" si="75"/>
        <v>1500000</v>
      </c>
      <c r="M508" s="8">
        <f t="shared" si="76"/>
        <v>1.0203773333333332</v>
      </c>
      <c r="N508" t="str">
        <f t="shared" si="77"/>
        <v>100-125%</v>
      </c>
      <c r="O508" s="9">
        <f>MIN($H508,$I508)*INDEX('2018_commission_structure'!$A$1:$I$4,MATCH($E508,'2018_commission_structure'!$A$1:$A$4,0),MATCH(O$1,'2018_commission_structure'!$A$1:$I$1,0))</f>
        <v>112500</v>
      </c>
      <c r="P508" s="9">
        <f>IF(H508&gt;I508, MIN(H508-I508, J508-I508)*INDEX('2018_commission_structure'!$A$1:$I$4,MATCH($E508,'2018_commission_structure'!$A$1:$A$4,0),MATCH(P$1,'2018_commission_structure'!$A$1:$I$1,0)),0)</f>
        <v>2903.77</v>
      </c>
      <c r="Q508" s="9">
        <f>IF($H508&gt;J508, MIN($H508-J508, K508-J508)*INDEX('2018_commission_structure'!$A$1:$I$4,MATCH($E508,'2018_commission_structure'!$A$1:$A$4,0),MATCH(Q$1,'2018_commission_structure'!$A$1:$I$1,0)),0)</f>
        <v>0</v>
      </c>
      <c r="R508" s="9">
        <f>IF($H508&gt;K508, MIN($H508-K508, L508-K508)*INDEX('2018_commission_structure'!$A$1:$I$4,MATCH($E508,'2018_commission_structure'!$A$1:$A$4,0),MATCH(R$1,'2018_commission_structure'!$A$1:$I$1,0)),0)</f>
        <v>0</v>
      </c>
      <c r="S508" s="9">
        <f>IF(H508&gt;L508,(H508-L508)*INDEX('2018_commission_structure'!$A$1:$I$4,MATCH($E508,'2018_commission_structure'!$A$1:$A$4,0),MATCH(S$1,'2018_commission_structure'!$A$1:$I$1,0)),0)</f>
        <v>0</v>
      </c>
      <c r="T508" s="9">
        <f t="shared" si="78"/>
        <v>115403.77</v>
      </c>
      <c r="U508" s="9">
        <f t="shared" si="80"/>
        <v>221396.77000000002</v>
      </c>
      <c r="V508" s="9">
        <f>MIN($I508,$H508)*INDEX('Key Metrics'!$E$16:$N$19,MATCH($E508,'Key Metrics'!$E$16:$E$19,0),MATCH(V$1,'Key Metrics'!$E$16:$M$16,0))</f>
        <v>112500</v>
      </c>
      <c r="W508" s="9">
        <f>IF($H508&gt;I508, MIN($H508-I508, J508-I508)*INDEX('Key Metrics'!$E$16:$N$19,MATCH($E508,'Key Metrics'!$E$16:$E$19,0),MATCH(W$1,'Key Metrics'!$E$16:$M$16,0)),0)</f>
        <v>3362.26</v>
      </c>
      <c r="X508" s="9">
        <f>IF($H508&gt;J508, MIN($H508-J508, K508-J508)*INDEX('Key Metrics'!$E$16:$N$19,MATCH($E508,'Key Metrics'!$E$16:$E$19,0),MATCH(X$1,'Key Metrics'!$E$16:$M$16,0)),0)</f>
        <v>0</v>
      </c>
      <c r="Y508" s="9">
        <f>IF($H508&gt;K508, MIN($H508-K508, L508-K508)*INDEX('Key Metrics'!$E$16:$N$19,MATCH($E508,'Key Metrics'!$E$16:$E$19,0),MATCH(Y$1,'Key Metrics'!$E$16:$M$16,0)),0)</f>
        <v>0</v>
      </c>
      <c r="Z508" s="9">
        <f>IF($H508&gt;L508,($H508-L508)*INDEX('Key Metrics'!$E$16:$N$19,MATCH($E508,'Key Metrics'!$E$16:$E$19,0),MATCH(Z$1,'Key Metrics'!$E$16:$M$16,0)),0)</f>
        <v>0</v>
      </c>
      <c r="AA508" s="9">
        <f t="shared" si="79"/>
        <v>115862.26</v>
      </c>
      <c r="AB508" s="9">
        <f t="shared" si="81"/>
        <v>115863.28037733333</v>
      </c>
    </row>
    <row r="509" spans="1:28" x14ac:dyDescent="0.55000000000000004">
      <c r="A509" t="str">
        <f t="shared" si="72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COUNTIF(deals_closed!$D$2:$D$20001,Calculations!B513)</f>
        <v>25</v>
      </c>
      <c r="H509" s="7">
        <f>SUMIF(deals_closed!$D:$D,Calculations!B513,deals_closed!$C:$C)</f>
        <v>793388</v>
      </c>
      <c r="I509" s="5">
        <f>VLOOKUP(E509,'2018_commission_structure'!$A$1:$I$4,9,FALSE)</f>
        <v>750000</v>
      </c>
      <c r="J509" s="9">
        <f t="shared" si="73"/>
        <v>937500</v>
      </c>
      <c r="K509" s="10">
        <f t="shared" si="74"/>
        <v>1125000</v>
      </c>
      <c r="L509" s="9">
        <f t="shared" si="75"/>
        <v>1500000</v>
      </c>
      <c r="M509" s="8">
        <f t="shared" si="76"/>
        <v>1.0578506666666667</v>
      </c>
      <c r="N509" t="str">
        <f t="shared" si="77"/>
        <v>100-125%</v>
      </c>
      <c r="O509" s="9">
        <f>MIN($H509,$I509)*INDEX('2018_commission_structure'!$A$1:$I$4,MATCH($E509,'2018_commission_structure'!$A$1:$A$4,0),MATCH(O$1,'2018_commission_structure'!$A$1:$I$1,0))</f>
        <v>112500</v>
      </c>
      <c r="P509" s="9">
        <f>IF(H509&gt;I509, MIN(H509-I509, J509-I509)*INDEX('2018_commission_structure'!$A$1:$I$4,MATCH($E509,'2018_commission_structure'!$A$1:$A$4,0),MATCH(P$1,'2018_commission_structure'!$A$1:$I$1,0)),0)</f>
        <v>8243.7199999999993</v>
      </c>
      <c r="Q509" s="9">
        <f>IF($H509&gt;J509, MIN($H509-J509, K509-J509)*INDEX('2018_commission_structure'!$A$1:$I$4,MATCH($E509,'2018_commission_structure'!$A$1:$A$4,0),MATCH(Q$1,'2018_commission_structure'!$A$1:$I$1,0)),0)</f>
        <v>0</v>
      </c>
      <c r="R509" s="9">
        <f>IF($H509&gt;K509, MIN($H509-K509, L509-K509)*INDEX('2018_commission_structure'!$A$1:$I$4,MATCH($E509,'2018_commission_structure'!$A$1:$A$4,0),MATCH(R$1,'2018_commission_structure'!$A$1:$I$1,0)),0)</f>
        <v>0</v>
      </c>
      <c r="S509" s="9">
        <f>IF(H509&gt;L509,(H509-L509)*INDEX('2018_commission_structure'!$A$1:$I$4,MATCH($E509,'2018_commission_structure'!$A$1:$A$4,0),MATCH(S$1,'2018_commission_structure'!$A$1:$I$1,0)),0)</f>
        <v>0</v>
      </c>
      <c r="T509" s="9">
        <f t="shared" si="78"/>
        <v>120743.72</v>
      </c>
      <c r="U509" s="9">
        <f t="shared" si="80"/>
        <v>215770.72</v>
      </c>
      <c r="V509" s="9">
        <f>MIN($I509,$H509)*INDEX('Key Metrics'!$E$16:$N$19,MATCH($E509,'Key Metrics'!$E$16:$E$19,0),MATCH(V$1,'Key Metrics'!$E$16:$M$16,0))</f>
        <v>112500</v>
      </c>
      <c r="W509" s="9">
        <f>IF($H509&gt;I509, MIN($H509-I509, J509-I509)*INDEX('Key Metrics'!$E$16:$N$19,MATCH($E509,'Key Metrics'!$E$16:$E$19,0),MATCH(W$1,'Key Metrics'!$E$16:$M$16,0)),0)</f>
        <v>9545.36</v>
      </c>
      <c r="X509" s="9">
        <f>IF($H509&gt;J509, MIN($H509-J509, K509-J509)*INDEX('Key Metrics'!$E$16:$N$19,MATCH($E509,'Key Metrics'!$E$16:$E$19,0),MATCH(X$1,'Key Metrics'!$E$16:$M$16,0)),0)</f>
        <v>0</v>
      </c>
      <c r="Y509" s="9">
        <f>IF($H509&gt;K509, MIN($H509-K509, L509-K509)*INDEX('Key Metrics'!$E$16:$N$19,MATCH($E509,'Key Metrics'!$E$16:$E$19,0),MATCH(Y$1,'Key Metrics'!$E$16:$M$16,0)),0)</f>
        <v>0</v>
      </c>
      <c r="Z509" s="9">
        <f>IF($H509&gt;L509,($H509-L509)*INDEX('Key Metrics'!$E$16:$N$19,MATCH($E509,'Key Metrics'!$E$16:$E$19,0),MATCH(Z$1,'Key Metrics'!$E$16:$M$16,0)),0)</f>
        <v>0</v>
      </c>
      <c r="AA509" s="9">
        <f t="shared" si="79"/>
        <v>122045.36</v>
      </c>
      <c r="AB509" s="9">
        <f t="shared" si="81"/>
        <v>122046.41785066666</v>
      </c>
    </row>
    <row r="510" spans="1:28" x14ac:dyDescent="0.55000000000000004">
      <c r="A510" t="str">
        <f t="shared" si="72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COUNTIF(deals_closed!$D$2:$D$20001,Calculations!B871)</f>
        <v>15</v>
      </c>
      <c r="H510" s="7">
        <f>SUMIF(deals_closed!$D:$D,Calculations!B871,deals_closed!$C:$C)</f>
        <v>610909</v>
      </c>
      <c r="I510" s="5">
        <f>VLOOKUP(E510,'2018_commission_structure'!$A$1:$I$4,9,FALSE)</f>
        <v>500000</v>
      </c>
      <c r="J510" s="9">
        <f t="shared" si="73"/>
        <v>625000</v>
      </c>
      <c r="K510" s="10">
        <f t="shared" si="74"/>
        <v>750000</v>
      </c>
      <c r="L510" s="9">
        <f t="shared" si="75"/>
        <v>1000000</v>
      </c>
      <c r="M510" s="8">
        <f t="shared" si="76"/>
        <v>1.2218180000000001</v>
      </c>
      <c r="N510" t="str">
        <f t="shared" si="77"/>
        <v>100-125%</v>
      </c>
      <c r="O510" s="9">
        <f>MIN($H510,$I510)*INDEX('2018_commission_structure'!$A$1:$I$4,MATCH($E510,'2018_commission_structure'!$A$1:$A$4,0),MATCH(O$1,'2018_commission_structure'!$A$1:$I$1,0))</f>
        <v>50000</v>
      </c>
      <c r="P510" s="9">
        <f>IF(H510&gt;I510, MIN(H510-I510, J510-I510)*INDEX('2018_commission_structure'!$A$1:$I$4,MATCH($E510,'2018_commission_structure'!$A$1:$A$4,0),MATCH(P$1,'2018_commission_structure'!$A$1:$I$1,0)),0)</f>
        <v>16636.349999999999</v>
      </c>
      <c r="Q510" s="9">
        <f>IF($H510&gt;J510, MIN($H510-J510, K510-J510)*INDEX('2018_commission_structure'!$A$1:$I$4,MATCH($E510,'2018_commission_structure'!$A$1:$A$4,0),MATCH(Q$1,'2018_commission_structure'!$A$1:$I$1,0)),0)</f>
        <v>0</v>
      </c>
      <c r="R510" s="9">
        <f>IF($H510&gt;K510, MIN($H510-K510, L510-K510)*INDEX('2018_commission_structure'!$A$1:$I$4,MATCH($E510,'2018_commission_structure'!$A$1:$A$4,0),MATCH(R$1,'2018_commission_structure'!$A$1:$I$1,0)),0)</f>
        <v>0</v>
      </c>
      <c r="S510" s="9">
        <f>IF(H510&gt;L510,(H510-L510)*INDEX('2018_commission_structure'!$A$1:$I$4,MATCH($E510,'2018_commission_structure'!$A$1:$A$4,0),MATCH(S$1,'2018_commission_structure'!$A$1:$I$1,0)),0)</f>
        <v>0</v>
      </c>
      <c r="T510" s="9">
        <f t="shared" si="78"/>
        <v>66636.350000000006</v>
      </c>
      <c r="U510" s="9">
        <f t="shared" si="80"/>
        <v>110496.35</v>
      </c>
      <c r="V510" s="9">
        <f>MIN($I510,$H510)*INDEX('Key Metrics'!$E$16:$N$19,MATCH($E510,'Key Metrics'!$E$16:$E$19,0),MATCH(V$1,'Key Metrics'!$E$16:$M$16,0))</f>
        <v>60000</v>
      </c>
      <c r="W510" s="9">
        <f>IF($H510&gt;I510, MIN($H510-I510, J510-I510)*INDEX('Key Metrics'!$E$16:$N$19,MATCH($E510,'Key Metrics'!$E$16:$E$19,0),MATCH(W$1,'Key Metrics'!$E$16:$M$16,0)),0)</f>
        <v>18854.530000000002</v>
      </c>
      <c r="X510" s="9">
        <f>IF($H510&gt;J510, MIN($H510-J510, K510-J510)*INDEX('Key Metrics'!$E$16:$N$19,MATCH($E510,'Key Metrics'!$E$16:$E$19,0),MATCH(X$1,'Key Metrics'!$E$16:$M$16,0)),0)</f>
        <v>0</v>
      </c>
      <c r="Y510" s="9">
        <f>IF($H510&gt;K510, MIN($H510-K510, L510-K510)*INDEX('Key Metrics'!$E$16:$N$19,MATCH($E510,'Key Metrics'!$E$16:$E$19,0),MATCH(Y$1,'Key Metrics'!$E$16:$M$16,0)),0)</f>
        <v>0</v>
      </c>
      <c r="Z510" s="9">
        <f>IF($H510&gt;L510,($H510-L510)*INDEX('Key Metrics'!$E$16:$N$19,MATCH($E510,'Key Metrics'!$E$16:$E$19,0),MATCH(Z$1,'Key Metrics'!$E$16:$M$16,0)),0)</f>
        <v>0</v>
      </c>
      <c r="AA510" s="9">
        <f t="shared" si="79"/>
        <v>78854.53</v>
      </c>
      <c r="AB510" s="9">
        <f t="shared" si="81"/>
        <v>78855.751818000004</v>
      </c>
    </row>
    <row r="511" spans="1:28" x14ac:dyDescent="0.55000000000000004">
      <c r="A511" t="str">
        <f t="shared" si="72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COUNTIF(deals_closed!$D$2:$D$20001,Calculations!B697)</f>
        <v>23</v>
      </c>
      <c r="H511" s="7">
        <f>SUMIF(deals_closed!$D:$D,Calculations!B697,deals_closed!$C:$C)</f>
        <v>847352</v>
      </c>
      <c r="I511" s="5">
        <f>VLOOKUP(E511,'2018_commission_structure'!$A$1:$I$4,9,FALSE)</f>
        <v>750000</v>
      </c>
      <c r="J511" s="9">
        <f t="shared" si="73"/>
        <v>937500</v>
      </c>
      <c r="K511" s="10">
        <f t="shared" si="74"/>
        <v>1125000</v>
      </c>
      <c r="L511" s="9">
        <f t="shared" si="75"/>
        <v>1500000</v>
      </c>
      <c r="M511" s="8">
        <f t="shared" si="76"/>
        <v>1.1298026666666667</v>
      </c>
      <c r="N511" t="str">
        <f t="shared" si="77"/>
        <v>100-125%</v>
      </c>
      <c r="O511" s="9">
        <f>MIN($H511,$I511)*INDEX('2018_commission_structure'!$A$1:$I$4,MATCH($E511,'2018_commission_structure'!$A$1:$A$4,0),MATCH(O$1,'2018_commission_structure'!$A$1:$I$1,0))</f>
        <v>112500</v>
      </c>
      <c r="P511" s="9">
        <f>IF(H511&gt;I511, MIN(H511-I511, J511-I511)*INDEX('2018_commission_structure'!$A$1:$I$4,MATCH($E511,'2018_commission_structure'!$A$1:$A$4,0),MATCH(P$1,'2018_commission_structure'!$A$1:$I$1,0)),0)</f>
        <v>18496.88</v>
      </c>
      <c r="Q511" s="9">
        <f>IF($H511&gt;J511, MIN($H511-J511, K511-J511)*INDEX('2018_commission_structure'!$A$1:$I$4,MATCH($E511,'2018_commission_structure'!$A$1:$A$4,0),MATCH(Q$1,'2018_commission_structure'!$A$1:$I$1,0)),0)</f>
        <v>0</v>
      </c>
      <c r="R511" s="9">
        <f>IF($H511&gt;K511, MIN($H511-K511, L511-K511)*INDEX('2018_commission_structure'!$A$1:$I$4,MATCH($E511,'2018_commission_structure'!$A$1:$A$4,0),MATCH(R$1,'2018_commission_structure'!$A$1:$I$1,0)),0)</f>
        <v>0</v>
      </c>
      <c r="S511" s="9">
        <f>IF(H511&gt;L511,(H511-L511)*INDEX('2018_commission_structure'!$A$1:$I$4,MATCH($E511,'2018_commission_structure'!$A$1:$A$4,0),MATCH(S$1,'2018_commission_structure'!$A$1:$I$1,0)),0)</f>
        <v>0</v>
      </c>
      <c r="T511" s="9">
        <f t="shared" si="78"/>
        <v>130996.88</v>
      </c>
      <c r="U511" s="9">
        <f t="shared" si="80"/>
        <v>225541.88</v>
      </c>
      <c r="V511" s="9">
        <f>MIN($I511,$H511)*INDEX('Key Metrics'!$E$16:$N$19,MATCH($E511,'Key Metrics'!$E$16:$E$19,0),MATCH(V$1,'Key Metrics'!$E$16:$M$16,0))</f>
        <v>112500</v>
      </c>
      <c r="W511" s="9">
        <f>IF($H511&gt;I511, MIN($H511-I511, J511-I511)*INDEX('Key Metrics'!$E$16:$N$19,MATCH($E511,'Key Metrics'!$E$16:$E$19,0),MATCH(W$1,'Key Metrics'!$E$16:$M$16,0)),0)</f>
        <v>21417.439999999999</v>
      </c>
      <c r="X511" s="9">
        <f>IF($H511&gt;J511, MIN($H511-J511, K511-J511)*INDEX('Key Metrics'!$E$16:$N$19,MATCH($E511,'Key Metrics'!$E$16:$E$19,0),MATCH(X$1,'Key Metrics'!$E$16:$M$16,0)),0)</f>
        <v>0</v>
      </c>
      <c r="Y511" s="9">
        <f>IF($H511&gt;K511, MIN($H511-K511, L511-K511)*INDEX('Key Metrics'!$E$16:$N$19,MATCH($E511,'Key Metrics'!$E$16:$E$19,0),MATCH(Y$1,'Key Metrics'!$E$16:$M$16,0)),0)</f>
        <v>0</v>
      </c>
      <c r="Z511" s="9">
        <f>IF($H511&gt;L511,($H511-L511)*INDEX('Key Metrics'!$E$16:$N$19,MATCH($E511,'Key Metrics'!$E$16:$E$19,0),MATCH(Z$1,'Key Metrics'!$E$16:$M$16,0)),0)</f>
        <v>0</v>
      </c>
      <c r="AA511" s="9">
        <f t="shared" si="79"/>
        <v>133917.44</v>
      </c>
      <c r="AB511" s="9">
        <f t="shared" si="81"/>
        <v>133918.56980266667</v>
      </c>
    </row>
    <row r="512" spans="1:28" x14ac:dyDescent="0.55000000000000004">
      <c r="A512" t="str">
        <f t="shared" si="72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COUNTIF(deals_closed!$D$2:$D$20001,Calculations!B855)</f>
        <v>16</v>
      </c>
      <c r="H512" s="7">
        <f>SUMIF(deals_closed!$D:$D,Calculations!B855,deals_closed!$C:$C)</f>
        <v>505908</v>
      </c>
      <c r="I512" s="5">
        <f>VLOOKUP(E512,'2018_commission_structure'!$A$1:$I$4,9,FALSE)</f>
        <v>600000</v>
      </c>
      <c r="J512" s="9">
        <f t="shared" si="73"/>
        <v>750000</v>
      </c>
      <c r="K512" s="10">
        <f t="shared" si="74"/>
        <v>900000</v>
      </c>
      <c r="L512" s="9">
        <f t="shared" si="75"/>
        <v>1200000</v>
      </c>
      <c r="M512" s="8">
        <f t="shared" si="76"/>
        <v>0.84318000000000004</v>
      </c>
      <c r="N512" t="str">
        <f t="shared" si="77"/>
        <v>0-100%</v>
      </c>
      <c r="O512" s="9">
        <f>MIN($H512,$I512)*INDEX('2018_commission_structure'!$A$1:$I$4,MATCH($E512,'2018_commission_structure'!$A$1:$A$4,0),MATCH(O$1,'2018_commission_structure'!$A$1:$I$1,0))</f>
        <v>65768.040000000008</v>
      </c>
      <c r="P512" s="9">
        <f>IF(H512&gt;I512, MIN(H512-I512, J512-I512)*INDEX('2018_commission_structure'!$A$1:$I$4,MATCH($E512,'2018_commission_structure'!$A$1:$A$4,0),MATCH(P$1,'2018_commission_structure'!$A$1:$I$1,0)),0)</f>
        <v>0</v>
      </c>
      <c r="Q512" s="9">
        <f>IF($H512&gt;J512, MIN($H512-J512, K512-J512)*INDEX('2018_commission_structure'!$A$1:$I$4,MATCH($E512,'2018_commission_structure'!$A$1:$A$4,0),MATCH(Q$1,'2018_commission_structure'!$A$1:$I$1,0)),0)</f>
        <v>0</v>
      </c>
      <c r="R512" s="9">
        <f>IF($H512&gt;K512, MIN($H512-K512, L512-K512)*INDEX('2018_commission_structure'!$A$1:$I$4,MATCH($E512,'2018_commission_structure'!$A$1:$A$4,0),MATCH(R$1,'2018_commission_structure'!$A$1:$I$1,0)),0)</f>
        <v>0</v>
      </c>
      <c r="S512" s="9">
        <f>IF(H512&gt;L512,(H512-L512)*INDEX('2018_commission_structure'!$A$1:$I$4,MATCH($E512,'2018_commission_structure'!$A$1:$A$4,0),MATCH(S$1,'2018_commission_structure'!$A$1:$I$1,0)),0)</f>
        <v>0</v>
      </c>
      <c r="T512" s="9">
        <f t="shared" si="78"/>
        <v>65768.040000000008</v>
      </c>
      <c r="U512" s="9">
        <f t="shared" si="80"/>
        <v>137274.04</v>
      </c>
      <c r="V512" s="9">
        <f>MIN($I512,$H512)*INDEX('Key Metrics'!$E$16:$N$19,MATCH($E512,'Key Metrics'!$E$16:$E$19,0),MATCH(V$1,'Key Metrics'!$E$16:$M$16,0))</f>
        <v>75886.2</v>
      </c>
      <c r="W512" s="9">
        <f>IF($H512&gt;I512, MIN($H512-I512, J512-I512)*INDEX('Key Metrics'!$E$16:$N$19,MATCH($E512,'Key Metrics'!$E$16:$E$19,0),MATCH(W$1,'Key Metrics'!$E$16:$M$16,0)),0)</f>
        <v>0</v>
      </c>
      <c r="X512" s="9">
        <f>IF($H512&gt;J512, MIN($H512-J512, K512-J512)*INDEX('Key Metrics'!$E$16:$N$19,MATCH($E512,'Key Metrics'!$E$16:$E$19,0),MATCH(X$1,'Key Metrics'!$E$16:$M$16,0)),0)</f>
        <v>0</v>
      </c>
      <c r="Y512" s="9">
        <f>IF($H512&gt;K512, MIN($H512-K512, L512-K512)*INDEX('Key Metrics'!$E$16:$N$19,MATCH($E512,'Key Metrics'!$E$16:$E$19,0),MATCH(Y$1,'Key Metrics'!$E$16:$M$16,0)),0)</f>
        <v>0</v>
      </c>
      <c r="Z512" s="9">
        <f>IF($H512&gt;L512,($H512-L512)*INDEX('Key Metrics'!$E$16:$N$19,MATCH($E512,'Key Metrics'!$E$16:$E$19,0),MATCH(Z$1,'Key Metrics'!$E$16:$M$16,0)),0)</f>
        <v>0</v>
      </c>
      <c r="AA512" s="9">
        <f t="shared" si="79"/>
        <v>75886.2</v>
      </c>
      <c r="AB512" s="9">
        <f t="shared" si="81"/>
        <v>75887.043179999993</v>
      </c>
    </row>
    <row r="513" spans="1:28" x14ac:dyDescent="0.55000000000000004">
      <c r="A513" t="str">
        <f t="shared" si="72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COUNTIF(deals_closed!$D$2:$D$20001,Calculations!B503)</f>
        <v>15</v>
      </c>
      <c r="H513" s="7">
        <f>SUMIF(deals_closed!$D:$D,Calculations!B503,deals_closed!$C:$C)</f>
        <v>451004</v>
      </c>
      <c r="I513" s="5">
        <f>VLOOKUP(E513,'2018_commission_structure'!$A$1:$I$4,9,FALSE)</f>
        <v>600000</v>
      </c>
      <c r="J513" s="9">
        <f t="shared" si="73"/>
        <v>750000</v>
      </c>
      <c r="K513" s="10">
        <f t="shared" si="74"/>
        <v>900000</v>
      </c>
      <c r="L513" s="9">
        <f t="shared" si="75"/>
        <v>1200000</v>
      </c>
      <c r="M513" s="8">
        <f t="shared" si="76"/>
        <v>0.7516733333333333</v>
      </c>
      <c r="N513" t="str">
        <f t="shared" si="77"/>
        <v>0-100%</v>
      </c>
      <c r="O513" s="9">
        <f>MIN($H513,$I513)*INDEX('2018_commission_structure'!$A$1:$I$4,MATCH($E513,'2018_commission_structure'!$A$1:$A$4,0),MATCH(O$1,'2018_commission_structure'!$A$1:$I$1,0))</f>
        <v>58630.520000000004</v>
      </c>
      <c r="P513" s="9">
        <f>IF(H513&gt;I513, MIN(H513-I513, J513-I513)*INDEX('2018_commission_structure'!$A$1:$I$4,MATCH($E513,'2018_commission_structure'!$A$1:$A$4,0),MATCH(P$1,'2018_commission_structure'!$A$1:$I$1,0)),0)</f>
        <v>0</v>
      </c>
      <c r="Q513" s="9">
        <f>IF($H513&gt;J513, MIN($H513-J513, K513-J513)*INDEX('2018_commission_structure'!$A$1:$I$4,MATCH($E513,'2018_commission_structure'!$A$1:$A$4,0),MATCH(Q$1,'2018_commission_structure'!$A$1:$I$1,0)),0)</f>
        <v>0</v>
      </c>
      <c r="R513" s="9">
        <f>IF($H513&gt;K513, MIN($H513-K513, L513-K513)*INDEX('2018_commission_structure'!$A$1:$I$4,MATCH($E513,'2018_commission_structure'!$A$1:$A$4,0),MATCH(R$1,'2018_commission_structure'!$A$1:$I$1,0)),0)</f>
        <v>0</v>
      </c>
      <c r="S513" s="9">
        <f>IF(H513&gt;L513,(H513-L513)*INDEX('2018_commission_structure'!$A$1:$I$4,MATCH($E513,'2018_commission_structure'!$A$1:$A$4,0),MATCH(S$1,'2018_commission_structure'!$A$1:$I$1,0)),0)</f>
        <v>0</v>
      </c>
      <c r="T513" s="9">
        <f t="shared" si="78"/>
        <v>58630.520000000004</v>
      </c>
      <c r="U513" s="9">
        <f t="shared" si="80"/>
        <v>132571.52000000002</v>
      </c>
      <c r="V513" s="9">
        <f>MIN($I513,$H513)*INDEX('Key Metrics'!$E$16:$N$19,MATCH($E513,'Key Metrics'!$E$16:$E$19,0),MATCH(V$1,'Key Metrics'!$E$16:$M$16,0))</f>
        <v>67650.599999999991</v>
      </c>
      <c r="W513" s="9">
        <f>IF($H513&gt;I513, MIN($H513-I513, J513-I513)*INDEX('Key Metrics'!$E$16:$N$19,MATCH($E513,'Key Metrics'!$E$16:$E$19,0),MATCH(W$1,'Key Metrics'!$E$16:$M$16,0)),0)</f>
        <v>0</v>
      </c>
      <c r="X513" s="9">
        <f>IF($H513&gt;J513, MIN($H513-J513, K513-J513)*INDEX('Key Metrics'!$E$16:$N$19,MATCH($E513,'Key Metrics'!$E$16:$E$19,0),MATCH(X$1,'Key Metrics'!$E$16:$M$16,0)),0)</f>
        <v>0</v>
      </c>
      <c r="Y513" s="9">
        <f>IF($H513&gt;K513, MIN($H513-K513, L513-K513)*INDEX('Key Metrics'!$E$16:$N$19,MATCH($E513,'Key Metrics'!$E$16:$E$19,0),MATCH(Y$1,'Key Metrics'!$E$16:$M$16,0)),0)</f>
        <v>0</v>
      </c>
      <c r="Z513" s="9">
        <f>IF($H513&gt;L513,($H513-L513)*INDEX('Key Metrics'!$E$16:$N$19,MATCH($E513,'Key Metrics'!$E$16:$E$19,0),MATCH(Z$1,'Key Metrics'!$E$16:$M$16,0)),0)</f>
        <v>0</v>
      </c>
      <c r="AA513" s="9">
        <f t="shared" si="79"/>
        <v>67650.599999999991</v>
      </c>
      <c r="AB513" s="9">
        <f t="shared" si="81"/>
        <v>67651.351673333324</v>
      </c>
    </row>
    <row r="514" spans="1:28" x14ac:dyDescent="0.55000000000000004">
      <c r="A514" t="str">
        <f t="shared" ref="A514:A577" si="82">CONCATENATE(C514," ",D514)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COUNTIF(deals_closed!$D$2:$D$20001,Calculations!B793)</f>
        <v>17</v>
      </c>
      <c r="H514" s="7">
        <f>SUMIF(deals_closed!$D:$D,Calculations!B793,deals_closed!$C:$C)</f>
        <v>721837</v>
      </c>
      <c r="I514" s="5">
        <f>VLOOKUP(E514,'2018_commission_structure'!$A$1:$I$4,9,FALSE)</f>
        <v>500000</v>
      </c>
      <c r="J514" s="9">
        <f t="shared" ref="J514:J577" si="83">I514*1.25</f>
        <v>625000</v>
      </c>
      <c r="K514" s="10">
        <f t="shared" ref="K514:K577" si="84">I514*1.5</f>
        <v>750000</v>
      </c>
      <c r="L514" s="9">
        <f t="shared" ref="L514:L577" si="85">I514*2</f>
        <v>1000000</v>
      </c>
      <c r="M514" s="8">
        <f t="shared" ref="M514:M577" si="86">H514/I514</f>
        <v>1.4436739999999999</v>
      </c>
      <c r="N514" t="str">
        <f t="shared" ref="N514:N577" si="87">IF(M514&lt;=100%,"0-100%",IF(M514&lt;=125%,"100-125%",IF(M514&lt;=150%,"125-150%",IF(M514&lt;=200%,"150-200%","&gt;200%"))))</f>
        <v>125-150%</v>
      </c>
      <c r="O514" s="9">
        <f>MIN($H514,$I514)*INDEX('2018_commission_structure'!$A$1:$I$4,MATCH($E514,'2018_commission_structure'!$A$1:$A$4,0),MATCH(O$1,'2018_commission_structure'!$A$1:$I$1,0))</f>
        <v>50000</v>
      </c>
      <c r="P514" s="9">
        <f>IF(H514&gt;I514, MIN(H514-I514, J514-I514)*INDEX('2018_commission_structure'!$A$1:$I$4,MATCH($E514,'2018_commission_structure'!$A$1:$A$4,0),MATCH(P$1,'2018_commission_structure'!$A$1:$I$1,0)),0)</f>
        <v>18750</v>
      </c>
      <c r="Q514" s="9">
        <f>IF($H514&gt;J514, MIN($H514-J514, K514-J514)*INDEX('2018_commission_structure'!$A$1:$I$4,MATCH($E514,'2018_commission_structure'!$A$1:$A$4,0),MATCH(Q$1,'2018_commission_structure'!$A$1:$I$1,0)),0)</f>
        <v>17430.66</v>
      </c>
      <c r="R514" s="9">
        <f>IF($H514&gt;K514, MIN($H514-K514, L514-K514)*INDEX('2018_commission_structure'!$A$1:$I$4,MATCH($E514,'2018_commission_structure'!$A$1:$A$4,0),MATCH(R$1,'2018_commission_structure'!$A$1:$I$1,0)),0)</f>
        <v>0</v>
      </c>
      <c r="S514" s="9">
        <f>IF(H514&gt;L514,(H514-L514)*INDEX('2018_commission_structure'!$A$1:$I$4,MATCH($E514,'2018_commission_structure'!$A$1:$A$4,0),MATCH(S$1,'2018_commission_structure'!$A$1:$I$1,0)),0)</f>
        <v>0</v>
      </c>
      <c r="T514" s="9">
        <f t="shared" ref="T514:T577" si="88">SUM(O514:S514)</f>
        <v>86180.66</v>
      </c>
      <c r="U514" s="9">
        <f t="shared" si="80"/>
        <v>127487.66</v>
      </c>
      <c r="V514" s="9">
        <f>MIN($I514,$H514)*INDEX('Key Metrics'!$E$16:$N$19,MATCH($E514,'Key Metrics'!$E$16:$E$19,0),MATCH(V$1,'Key Metrics'!$E$16:$M$16,0))</f>
        <v>60000</v>
      </c>
      <c r="W514" s="9">
        <f>IF($H514&gt;I514, MIN($H514-I514, J514-I514)*INDEX('Key Metrics'!$E$16:$N$19,MATCH($E514,'Key Metrics'!$E$16:$E$19,0),MATCH(W$1,'Key Metrics'!$E$16:$M$16,0)),0)</f>
        <v>21250</v>
      </c>
      <c r="X514" s="9">
        <f>IF($H514&gt;J514, MIN($H514-J514, K514-J514)*INDEX('Key Metrics'!$E$16:$N$19,MATCH($E514,'Key Metrics'!$E$16:$E$19,0),MATCH(X$1,'Key Metrics'!$E$16:$M$16,0)),0)</f>
        <v>19367.400000000001</v>
      </c>
      <c r="Y514" s="9">
        <f>IF($H514&gt;K514, MIN($H514-K514, L514-K514)*INDEX('Key Metrics'!$E$16:$N$19,MATCH($E514,'Key Metrics'!$E$16:$E$19,0),MATCH(Y$1,'Key Metrics'!$E$16:$M$16,0)),0)</f>
        <v>0</v>
      </c>
      <c r="Z514" s="9">
        <f>IF($H514&gt;L514,($H514-L514)*INDEX('Key Metrics'!$E$16:$N$19,MATCH($E514,'Key Metrics'!$E$16:$E$19,0),MATCH(Z$1,'Key Metrics'!$E$16:$M$16,0)),0)</f>
        <v>0</v>
      </c>
      <c r="AA514" s="9">
        <f t="shared" ref="AA514:AA577" si="89">SUM(V514:Z514)</f>
        <v>100617.4</v>
      </c>
      <c r="AB514" s="9">
        <f t="shared" si="81"/>
        <v>100618.84367399999</v>
      </c>
    </row>
    <row r="515" spans="1:28" x14ac:dyDescent="0.55000000000000004">
      <c r="A515" t="str">
        <f t="shared" si="82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COUNTIF(deals_closed!$D$2:$D$20001,Calculations!B903)</f>
        <v>24</v>
      </c>
      <c r="H515" s="7">
        <f>SUMIF(deals_closed!$D:$D,Calculations!B903,deals_closed!$C:$C)</f>
        <v>862767</v>
      </c>
      <c r="I515" s="5">
        <f>VLOOKUP(E515,'2018_commission_structure'!$A$1:$I$4,9,FALSE)</f>
        <v>500000</v>
      </c>
      <c r="J515" s="9">
        <f t="shared" si="83"/>
        <v>625000</v>
      </c>
      <c r="K515" s="10">
        <f t="shared" si="84"/>
        <v>750000</v>
      </c>
      <c r="L515" s="9">
        <f t="shared" si="85"/>
        <v>1000000</v>
      </c>
      <c r="M515" s="8">
        <f t="shared" si="86"/>
        <v>1.7255339999999999</v>
      </c>
      <c r="N515" t="str">
        <f t="shared" si="87"/>
        <v>150-200%</v>
      </c>
      <c r="O515" s="9">
        <f>MIN($H515,$I515)*INDEX('2018_commission_structure'!$A$1:$I$4,MATCH($E515,'2018_commission_structure'!$A$1:$A$4,0),MATCH(O$1,'2018_commission_structure'!$A$1:$I$1,0))</f>
        <v>50000</v>
      </c>
      <c r="P515" s="9">
        <f>IF(H515&gt;I515, MIN(H515-I515, J515-I515)*INDEX('2018_commission_structure'!$A$1:$I$4,MATCH($E515,'2018_commission_structure'!$A$1:$A$4,0),MATCH(P$1,'2018_commission_structure'!$A$1:$I$1,0)),0)</f>
        <v>18750</v>
      </c>
      <c r="Q515" s="9">
        <f>IF($H515&gt;J515, MIN($H515-J515, K515-J515)*INDEX('2018_commission_structure'!$A$1:$I$4,MATCH($E515,'2018_commission_structure'!$A$1:$A$4,0),MATCH(Q$1,'2018_commission_structure'!$A$1:$I$1,0)),0)</f>
        <v>22500</v>
      </c>
      <c r="R515" s="9">
        <f>IF($H515&gt;K515, MIN($H515-K515, L515-K515)*INDEX('2018_commission_structure'!$A$1:$I$4,MATCH($E515,'2018_commission_structure'!$A$1:$A$4,0),MATCH(R$1,'2018_commission_structure'!$A$1:$I$1,0)),0)</f>
        <v>24808.74</v>
      </c>
      <c r="S515" s="9">
        <f>IF(H515&gt;L515,(H515-L515)*INDEX('2018_commission_structure'!$A$1:$I$4,MATCH($E515,'2018_commission_structure'!$A$1:$A$4,0),MATCH(S$1,'2018_commission_structure'!$A$1:$I$1,0)),0)</f>
        <v>0</v>
      </c>
      <c r="T515" s="9">
        <f t="shared" si="88"/>
        <v>116058.74</v>
      </c>
      <c r="U515" s="9">
        <f t="shared" si="80"/>
        <v>180811.74</v>
      </c>
      <c r="V515" s="9">
        <f>MIN($I515,$H515)*INDEX('Key Metrics'!$E$16:$N$19,MATCH($E515,'Key Metrics'!$E$16:$E$19,0),MATCH(V$1,'Key Metrics'!$E$16:$M$16,0))</f>
        <v>60000</v>
      </c>
      <c r="W515" s="9">
        <f>IF($H515&gt;I515, MIN($H515-I515, J515-I515)*INDEX('Key Metrics'!$E$16:$N$19,MATCH($E515,'Key Metrics'!$E$16:$E$19,0),MATCH(W$1,'Key Metrics'!$E$16:$M$16,0)),0)</f>
        <v>21250</v>
      </c>
      <c r="X515" s="9">
        <f>IF($H515&gt;J515, MIN($H515-J515, K515-J515)*INDEX('Key Metrics'!$E$16:$N$19,MATCH($E515,'Key Metrics'!$E$16:$E$19,0),MATCH(X$1,'Key Metrics'!$E$16:$M$16,0)),0)</f>
        <v>25000</v>
      </c>
      <c r="Y515" s="9">
        <f>IF($H515&gt;K515, MIN($H515-K515, L515-K515)*INDEX('Key Metrics'!$E$16:$N$19,MATCH($E515,'Key Metrics'!$E$16:$E$19,0),MATCH(Y$1,'Key Metrics'!$E$16:$M$16,0)),0)</f>
        <v>24808.74</v>
      </c>
      <c r="Z515" s="9">
        <f>IF($H515&gt;L515,($H515-L515)*INDEX('Key Metrics'!$E$16:$N$19,MATCH($E515,'Key Metrics'!$E$16:$E$19,0),MATCH(Z$1,'Key Metrics'!$E$16:$M$16,0)),0)</f>
        <v>0</v>
      </c>
      <c r="AA515" s="9">
        <f t="shared" si="89"/>
        <v>131058.74</v>
      </c>
      <c r="AB515" s="9">
        <f t="shared" si="81"/>
        <v>131060.465534</v>
      </c>
    </row>
    <row r="516" spans="1:28" x14ac:dyDescent="0.55000000000000004">
      <c r="A516" t="str">
        <f t="shared" si="82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COUNTIF(deals_closed!$D$2:$D$20001,Calculations!B45)</f>
        <v>19</v>
      </c>
      <c r="H516" s="7">
        <f>SUMIF(deals_closed!$D:$D,Calculations!B45,deals_closed!$C:$C)</f>
        <v>749434</v>
      </c>
      <c r="I516" s="5">
        <f>VLOOKUP(E516,'2018_commission_structure'!$A$1:$I$4,9,FALSE)</f>
        <v>600000</v>
      </c>
      <c r="J516" s="9">
        <f t="shared" si="83"/>
        <v>750000</v>
      </c>
      <c r="K516" s="10">
        <f t="shared" si="84"/>
        <v>900000</v>
      </c>
      <c r="L516" s="9">
        <f t="shared" si="85"/>
        <v>1200000</v>
      </c>
      <c r="M516" s="8">
        <f t="shared" si="86"/>
        <v>1.2490566666666667</v>
      </c>
      <c r="N516" t="str">
        <f t="shared" si="87"/>
        <v>100-125%</v>
      </c>
      <c r="O516" s="9">
        <f>MIN($H516,$I516)*INDEX('2018_commission_structure'!$A$1:$I$4,MATCH($E516,'2018_commission_structure'!$A$1:$A$4,0),MATCH(O$1,'2018_commission_structure'!$A$1:$I$1,0))</f>
        <v>78000</v>
      </c>
      <c r="P516" s="9">
        <f>IF(H516&gt;I516, MIN(H516-I516, J516-I516)*INDEX('2018_commission_structure'!$A$1:$I$4,MATCH($E516,'2018_commission_structure'!$A$1:$A$4,0),MATCH(P$1,'2018_commission_structure'!$A$1:$I$1,0)),0)</f>
        <v>25403.780000000002</v>
      </c>
      <c r="Q516" s="9">
        <f>IF($H516&gt;J516, MIN($H516-J516, K516-J516)*INDEX('2018_commission_structure'!$A$1:$I$4,MATCH($E516,'2018_commission_structure'!$A$1:$A$4,0),MATCH(Q$1,'2018_commission_structure'!$A$1:$I$1,0)),0)</f>
        <v>0</v>
      </c>
      <c r="R516" s="9">
        <f>IF($H516&gt;K516, MIN($H516-K516, L516-K516)*INDEX('2018_commission_structure'!$A$1:$I$4,MATCH($E516,'2018_commission_structure'!$A$1:$A$4,0),MATCH(R$1,'2018_commission_structure'!$A$1:$I$1,0)),0)</f>
        <v>0</v>
      </c>
      <c r="S516" s="9">
        <f>IF(H516&gt;L516,(H516-L516)*INDEX('2018_commission_structure'!$A$1:$I$4,MATCH($E516,'2018_commission_structure'!$A$1:$A$4,0),MATCH(S$1,'2018_commission_structure'!$A$1:$I$1,0)),0)</f>
        <v>0</v>
      </c>
      <c r="T516" s="9">
        <f t="shared" si="88"/>
        <v>103403.78</v>
      </c>
      <c r="U516" s="9">
        <f t="shared" si="80"/>
        <v>181656.78</v>
      </c>
      <c r="V516" s="9">
        <f>MIN($I516,$H516)*INDEX('Key Metrics'!$E$16:$N$19,MATCH($E516,'Key Metrics'!$E$16:$E$19,0),MATCH(V$1,'Key Metrics'!$E$16:$M$16,0))</f>
        <v>90000</v>
      </c>
      <c r="W516" s="9">
        <f>IF($H516&gt;I516, MIN($H516-I516, J516-I516)*INDEX('Key Metrics'!$E$16:$N$19,MATCH($E516,'Key Metrics'!$E$16:$E$19,0),MATCH(W$1,'Key Metrics'!$E$16:$M$16,0)),0)</f>
        <v>26898.12</v>
      </c>
      <c r="X516" s="9">
        <f>IF($H516&gt;J516, MIN($H516-J516, K516-J516)*INDEX('Key Metrics'!$E$16:$N$19,MATCH($E516,'Key Metrics'!$E$16:$E$19,0),MATCH(X$1,'Key Metrics'!$E$16:$M$16,0)),0)</f>
        <v>0</v>
      </c>
      <c r="Y516" s="9">
        <f>IF($H516&gt;K516, MIN($H516-K516, L516-K516)*INDEX('Key Metrics'!$E$16:$N$19,MATCH($E516,'Key Metrics'!$E$16:$E$19,0),MATCH(Y$1,'Key Metrics'!$E$16:$M$16,0)),0)</f>
        <v>0</v>
      </c>
      <c r="Z516" s="9">
        <f>IF($H516&gt;L516,($H516-L516)*INDEX('Key Metrics'!$E$16:$N$19,MATCH($E516,'Key Metrics'!$E$16:$E$19,0),MATCH(Z$1,'Key Metrics'!$E$16:$M$16,0)),0)</f>
        <v>0</v>
      </c>
      <c r="AA516" s="9">
        <f t="shared" si="89"/>
        <v>116898.12</v>
      </c>
      <c r="AB516" s="9">
        <f t="shared" si="81"/>
        <v>116899.36905666666</v>
      </c>
    </row>
    <row r="517" spans="1:28" x14ac:dyDescent="0.55000000000000004">
      <c r="A517" t="str">
        <f t="shared" si="82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COUNTIF(deals_closed!$D$2:$D$20001,Calculations!B566)</f>
        <v>20</v>
      </c>
      <c r="H517" s="7">
        <f>SUMIF(deals_closed!$D:$D,Calculations!B566,deals_closed!$C:$C)</f>
        <v>630390</v>
      </c>
      <c r="I517" s="5">
        <f>VLOOKUP(E517,'2018_commission_structure'!$A$1:$I$4,9,FALSE)</f>
        <v>500000</v>
      </c>
      <c r="J517" s="9">
        <f t="shared" si="83"/>
        <v>625000</v>
      </c>
      <c r="K517" s="10">
        <f t="shared" si="84"/>
        <v>750000</v>
      </c>
      <c r="L517" s="9">
        <f t="shared" si="85"/>
        <v>1000000</v>
      </c>
      <c r="M517" s="8">
        <f t="shared" si="86"/>
        <v>1.26078</v>
      </c>
      <c r="N517" t="str">
        <f t="shared" si="87"/>
        <v>125-150%</v>
      </c>
      <c r="O517" s="9">
        <f>MIN($H517,$I517)*INDEX('2018_commission_structure'!$A$1:$I$4,MATCH($E517,'2018_commission_structure'!$A$1:$A$4,0),MATCH(O$1,'2018_commission_structure'!$A$1:$I$1,0))</f>
        <v>50000</v>
      </c>
      <c r="P517" s="9">
        <f>IF(H517&gt;I517, MIN(H517-I517, J517-I517)*INDEX('2018_commission_structure'!$A$1:$I$4,MATCH($E517,'2018_commission_structure'!$A$1:$A$4,0),MATCH(P$1,'2018_commission_structure'!$A$1:$I$1,0)),0)</f>
        <v>18750</v>
      </c>
      <c r="Q517" s="9">
        <f>IF($H517&gt;J517, MIN($H517-J517, K517-J517)*INDEX('2018_commission_structure'!$A$1:$I$4,MATCH($E517,'2018_commission_structure'!$A$1:$A$4,0),MATCH(Q$1,'2018_commission_structure'!$A$1:$I$1,0)),0)</f>
        <v>970.19999999999993</v>
      </c>
      <c r="R517" s="9">
        <f>IF($H517&gt;K517, MIN($H517-K517, L517-K517)*INDEX('2018_commission_structure'!$A$1:$I$4,MATCH($E517,'2018_commission_structure'!$A$1:$A$4,0),MATCH(R$1,'2018_commission_structure'!$A$1:$I$1,0)),0)</f>
        <v>0</v>
      </c>
      <c r="S517" s="9">
        <f>IF(H517&gt;L517,(H517-L517)*INDEX('2018_commission_structure'!$A$1:$I$4,MATCH($E517,'2018_commission_structure'!$A$1:$A$4,0),MATCH(S$1,'2018_commission_structure'!$A$1:$I$1,0)),0)</f>
        <v>0</v>
      </c>
      <c r="T517" s="9">
        <f t="shared" si="88"/>
        <v>69720.2</v>
      </c>
      <c r="U517" s="9">
        <f t="shared" si="80"/>
        <v>114541.2</v>
      </c>
      <c r="V517" s="9">
        <f>MIN($I517,$H517)*INDEX('Key Metrics'!$E$16:$N$19,MATCH($E517,'Key Metrics'!$E$16:$E$19,0),MATCH(V$1,'Key Metrics'!$E$16:$M$16,0))</f>
        <v>60000</v>
      </c>
      <c r="W517" s="9">
        <f>IF($H517&gt;I517, MIN($H517-I517, J517-I517)*INDEX('Key Metrics'!$E$16:$N$19,MATCH($E517,'Key Metrics'!$E$16:$E$19,0),MATCH(W$1,'Key Metrics'!$E$16:$M$16,0)),0)</f>
        <v>21250</v>
      </c>
      <c r="X517" s="9">
        <f>IF($H517&gt;J517, MIN($H517-J517, K517-J517)*INDEX('Key Metrics'!$E$16:$N$19,MATCH($E517,'Key Metrics'!$E$16:$E$19,0),MATCH(X$1,'Key Metrics'!$E$16:$M$16,0)),0)</f>
        <v>1078</v>
      </c>
      <c r="Y517" s="9">
        <f>IF($H517&gt;K517, MIN($H517-K517, L517-K517)*INDEX('Key Metrics'!$E$16:$N$19,MATCH($E517,'Key Metrics'!$E$16:$E$19,0),MATCH(Y$1,'Key Metrics'!$E$16:$M$16,0)),0)</f>
        <v>0</v>
      </c>
      <c r="Z517" s="9">
        <f>IF($H517&gt;L517,($H517-L517)*INDEX('Key Metrics'!$E$16:$N$19,MATCH($E517,'Key Metrics'!$E$16:$E$19,0),MATCH(Z$1,'Key Metrics'!$E$16:$M$16,0)),0)</f>
        <v>0</v>
      </c>
      <c r="AA517" s="9">
        <f t="shared" si="89"/>
        <v>82328</v>
      </c>
      <c r="AB517" s="9">
        <f t="shared" si="81"/>
        <v>82329.260779999997</v>
      </c>
    </row>
    <row r="518" spans="1:28" x14ac:dyDescent="0.55000000000000004">
      <c r="A518" t="str">
        <f t="shared" si="82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COUNTIF(deals_closed!$D$2:$D$20001,Calculations!B890)</f>
        <v>19</v>
      </c>
      <c r="H518" s="7">
        <f>SUMIF(deals_closed!$D:$D,Calculations!B890,deals_closed!$C:$C)</f>
        <v>693049</v>
      </c>
      <c r="I518" s="5">
        <f>VLOOKUP(E518,'2018_commission_structure'!$A$1:$I$4,9,FALSE)</f>
        <v>750000</v>
      </c>
      <c r="J518" s="9">
        <f t="shared" si="83"/>
        <v>937500</v>
      </c>
      <c r="K518" s="10">
        <f t="shared" si="84"/>
        <v>1125000</v>
      </c>
      <c r="L518" s="9">
        <f t="shared" si="85"/>
        <v>1500000</v>
      </c>
      <c r="M518" s="8">
        <f t="shared" si="86"/>
        <v>0.92406533333333329</v>
      </c>
      <c r="N518" t="str">
        <f t="shared" si="87"/>
        <v>0-100%</v>
      </c>
      <c r="O518" s="9">
        <f>MIN($H518,$I518)*INDEX('2018_commission_structure'!$A$1:$I$4,MATCH($E518,'2018_commission_structure'!$A$1:$A$4,0),MATCH(O$1,'2018_commission_structure'!$A$1:$I$1,0))</f>
        <v>103957.34999999999</v>
      </c>
      <c r="P518" s="9">
        <f>IF(H518&gt;I518, MIN(H518-I518, J518-I518)*INDEX('2018_commission_structure'!$A$1:$I$4,MATCH($E518,'2018_commission_structure'!$A$1:$A$4,0),MATCH(P$1,'2018_commission_structure'!$A$1:$I$1,0)),0)</f>
        <v>0</v>
      </c>
      <c r="Q518" s="9">
        <f>IF($H518&gt;J518, MIN($H518-J518, K518-J518)*INDEX('2018_commission_structure'!$A$1:$I$4,MATCH($E518,'2018_commission_structure'!$A$1:$A$4,0),MATCH(Q$1,'2018_commission_structure'!$A$1:$I$1,0)),0)</f>
        <v>0</v>
      </c>
      <c r="R518" s="9">
        <f>IF($H518&gt;K518, MIN($H518-K518, L518-K518)*INDEX('2018_commission_structure'!$A$1:$I$4,MATCH($E518,'2018_commission_structure'!$A$1:$A$4,0),MATCH(R$1,'2018_commission_structure'!$A$1:$I$1,0)),0)</f>
        <v>0</v>
      </c>
      <c r="S518" s="9">
        <f>IF(H518&gt;L518,(H518-L518)*INDEX('2018_commission_structure'!$A$1:$I$4,MATCH($E518,'2018_commission_structure'!$A$1:$A$4,0),MATCH(S$1,'2018_commission_structure'!$A$1:$I$1,0)),0)</f>
        <v>0</v>
      </c>
      <c r="T518" s="9">
        <f t="shared" si="88"/>
        <v>103957.34999999999</v>
      </c>
      <c r="U518" s="9">
        <f t="shared" si="80"/>
        <v>213805.34999999998</v>
      </c>
      <c r="V518" s="9">
        <f>MIN($I518,$H518)*INDEX('Key Metrics'!$E$16:$N$19,MATCH($E518,'Key Metrics'!$E$16:$E$19,0),MATCH(V$1,'Key Metrics'!$E$16:$M$16,0))</f>
        <v>103957.34999999999</v>
      </c>
      <c r="W518" s="9">
        <f>IF($H518&gt;I518, MIN($H518-I518, J518-I518)*INDEX('Key Metrics'!$E$16:$N$19,MATCH($E518,'Key Metrics'!$E$16:$E$19,0),MATCH(W$1,'Key Metrics'!$E$16:$M$16,0)),0)</f>
        <v>0</v>
      </c>
      <c r="X518" s="9">
        <f>IF($H518&gt;J518, MIN($H518-J518, K518-J518)*INDEX('Key Metrics'!$E$16:$N$19,MATCH($E518,'Key Metrics'!$E$16:$E$19,0),MATCH(X$1,'Key Metrics'!$E$16:$M$16,0)),0)</f>
        <v>0</v>
      </c>
      <c r="Y518" s="9">
        <f>IF($H518&gt;K518, MIN($H518-K518, L518-K518)*INDEX('Key Metrics'!$E$16:$N$19,MATCH($E518,'Key Metrics'!$E$16:$E$19,0),MATCH(Y$1,'Key Metrics'!$E$16:$M$16,0)),0)</f>
        <v>0</v>
      </c>
      <c r="Z518" s="9">
        <f>IF($H518&gt;L518,($H518-L518)*INDEX('Key Metrics'!$E$16:$N$19,MATCH($E518,'Key Metrics'!$E$16:$E$19,0),MATCH(Z$1,'Key Metrics'!$E$16:$M$16,0)),0)</f>
        <v>0</v>
      </c>
      <c r="AA518" s="9">
        <f t="shared" si="89"/>
        <v>103957.34999999999</v>
      </c>
      <c r="AB518" s="9">
        <f t="shared" si="81"/>
        <v>103958.27406533333</v>
      </c>
    </row>
    <row r="519" spans="1:28" x14ac:dyDescent="0.55000000000000004">
      <c r="A519" t="str">
        <f t="shared" si="82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COUNTIF(deals_closed!$D$2:$D$20001,Calculations!B398)</f>
        <v>19</v>
      </c>
      <c r="H519" s="7">
        <f>SUMIF(deals_closed!$D:$D,Calculations!B398,deals_closed!$C:$C)</f>
        <v>635564</v>
      </c>
      <c r="I519" s="5">
        <f>VLOOKUP(E519,'2018_commission_structure'!$A$1:$I$4,9,FALSE)</f>
        <v>600000</v>
      </c>
      <c r="J519" s="9">
        <f t="shared" si="83"/>
        <v>750000</v>
      </c>
      <c r="K519" s="10">
        <f t="shared" si="84"/>
        <v>900000</v>
      </c>
      <c r="L519" s="9">
        <f t="shared" si="85"/>
        <v>1200000</v>
      </c>
      <c r="M519" s="8">
        <f t="shared" si="86"/>
        <v>1.0592733333333333</v>
      </c>
      <c r="N519" t="str">
        <f t="shared" si="87"/>
        <v>100-125%</v>
      </c>
      <c r="O519" s="9">
        <f>MIN($H519,$I519)*INDEX('2018_commission_structure'!$A$1:$I$4,MATCH($E519,'2018_commission_structure'!$A$1:$A$4,0),MATCH(O$1,'2018_commission_structure'!$A$1:$I$1,0))</f>
        <v>78000</v>
      </c>
      <c r="P519" s="9">
        <f>IF(H519&gt;I519, MIN(H519-I519, J519-I519)*INDEX('2018_commission_structure'!$A$1:$I$4,MATCH($E519,'2018_commission_structure'!$A$1:$A$4,0),MATCH(P$1,'2018_commission_structure'!$A$1:$I$1,0)),0)</f>
        <v>6045.88</v>
      </c>
      <c r="Q519" s="9">
        <f>IF($H519&gt;J519, MIN($H519-J519, K519-J519)*INDEX('2018_commission_structure'!$A$1:$I$4,MATCH($E519,'2018_commission_structure'!$A$1:$A$4,0),MATCH(Q$1,'2018_commission_structure'!$A$1:$I$1,0)),0)</f>
        <v>0</v>
      </c>
      <c r="R519" s="9">
        <f>IF($H519&gt;K519, MIN($H519-K519, L519-K519)*INDEX('2018_commission_structure'!$A$1:$I$4,MATCH($E519,'2018_commission_structure'!$A$1:$A$4,0),MATCH(R$1,'2018_commission_structure'!$A$1:$I$1,0)),0)</f>
        <v>0</v>
      </c>
      <c r="S519" s="9">
        <f>IF(H519&gt;L519,(H519-L519)*INDEX('2018_commission_structure'!$A$1:$I$4,MATCH($E519,'2018_commission_structure'!$A$1:$A$4,0),MATCH(S$1,'2018_commission_structure'!$A$1:$I$1,0)),0)</f>
        <v>0</v>
      </c>
      <c r="T519" s="9">
        <f t="shared" si="88"/>
        <v>84045.88</v>
      </c>
      <c r="U519" s="9">
        <f t="shared" si="80"/>
        <v>144543.88</v>
      </c>
      <c r="V519" s="9">
        <f>MIN($I519,$H519)*INDEX('Key Metrics'!$E$16:$N$19,MATCH($E519,'Key Metrics'!$E$16:$E$19,0),MATCH(V$1,'Key Metrics'!$E$16:$M$16,0))</f>
        <v>90000</v>
      </c>
      <c r="W519" s="9">
        <f>IF($H519&gt;I519, MIN($H519-I519, J519-I519)*INDEX('Key Metrics'!$E$16:$N$19,MATCH($E519,'Key Metrics'!$E$16:$E$19,0),MATCH(W$1,'Key Metrics'!$E$16:$M$16,0)),0)</f>
        <v>6401.5199999999995</v>
      </c>
      <c r="X519" s="9">
        <f>IF($H519&gt;J519, MIN($H519-J519, K519-J519)*INDEX('Key Metrics'!$E$16:$N$19,MATCH($E519,'Key Metrics'!$E$16:$E$19,0),MATCH(X$1,'Key Metrics'!$E$16:$M$16,0)),0)</f>
        <v>0</v>
      </c>
      <c r="Y519" s="9">
        <f>IF($H519&gt;K519, MIN($H519-K519, L519-K519)*INDEX('Key Metrics'!$E$16:$N$19,MATCH($E519,'Key Metrics'!$E$16:$E$19,0),MATCH(Y$1,'Key Metrics'!$E$16:$M$16,0)),0)</f>
        <v>0</v>
      </c>
      <c r="Z519" s="9">
        <f>IF($H519&gt;L519,($H519-L519)*INDEX('Key Metrics'!$E$16:$N$19,MATCH($E519,'Key Metrics'!$E$16:$E$19,0),MATCH(Z$1,'Key Metrics'!$E$16:$M$16,0)),0)</f>
        <v>0</v>
      </c>
      <c r="AA519" s="9">
        <f t="shared" si="89"/>
        <v>96401.52</v>
      </c>
      <c r="AB519" s="9">
        <f t="shared" si="81"/>
        <v>96402.579273333336</v>
      </c>
    </row>
    <row r="520" spans="1:28" x14ac:dyDescent="0.55000000000000004">
      <c r="A520" t="str">
        <f t="shared" si="82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COUNTIF(deals_closed!$D$2:$D$20001,Calculations!B811)</f>
        <v>21</v>
      </c>
      <c r="H520" s="7">
        <f>SUMIF(deals_closed!$D:$D,Calculations!B811,deals_closed!$C:$C)</f>
        <v>733491</v>
      </c>
      <c r="I520" s="5">
        <f>VLOOKUP(E520,'2018_commission_structure'!$A$1:$I$4,9,FALSE)</f>
        <v>600000</v>
      </c>
      <c r="J520" s="9">
        <f t="shared" si="83"/>
        <v>750000</v>
      </c>
      <c r="K520" s="10">
        <f t="shared" si="84"/>
        <v>900000</v>
      </c>
      <c r="L520" s="9">
        <f t="shared" si="85"/>
        <v>1200000</v>
      </c>
      <c r="M520" s="8">
        <f t="shared" si="86"/>
        <v>1.222485</v>
      </c>
      <c r="N520" t="str">
        <f t="shared" si="87"/>
        <v>100-125%</v>
      </c>
      <c r="O520" s="9">
        <f>MIN($H520,$I520)*INDEX('2018_commission_structure'!$A$1:$I$4,MATCH($E520,'2018_commission_structure'!$A$1:$A$4,0),MATCH(O$1,'2018_commission_structure'!$A$1:$I$1,0))</f>
        <v>78000</v>
      </c>
      <c r="P520" s="9">
        <f>IF(H520&gt;I520, MIN(H520-I520, J520-I520)*INDEX('2018_commission_structure'!$A$1:$I$4,MATCH($E520,'2018_commission_structure'!$A$1:$A$4,0),MATCH(P$1,'2018_commission_structure'!$A$1:$I$1,0)),0)</f>
        <v>22693.47</v>
      </c>
      <c r="Q520" s="9">
        <f>IF($H520&gt;J520, MIN($H520-J520, K520-J520)*INDEX('2018_commission_structure'!$A$1:$I$4,MATCH($E520,'2018_commission_structure'!$A$1:$A$4,0),MATCH(Q$1,'2018_commission_structure'!$A$1:$I$1,0)),0)</f>
        <v>0</v>
      </c>
      <c r="R520" s="9">
        <f>IF($H520&gt;K520, MIN($H520-K520, L520-K520)*INDEX('2018_commission_structure'!$A$1:$I$4,MATCH($E520,'2018_commission_structure'!$A$1:$A$4,0),MATCH(R$1,'2018_commission_structure'!$A$1:$I$1,0)),0)</f>
        <v>0</v>
      </c>
      <c r="S520" s="9">
        <f>IF(H520&gt;L520,(H520-L520)*INDEX('2018_commission_structure'!$A$1:$I$4,MATCH($E520,'2018_commission_structure'!$A$1:$A$4,0),MATCH(S$1,'2018_commission_structure'!$A$1:$I$1,0)),0)</f>
        <v>0</v>
      </c>
      <c r="T520" s="9">
        <f t="shared" si="88"/>
        <v>100693.47</v>
      </c>
      <c r="U520" s="9">
        <f t="shared" si="80"/>
        <v>174476.47</v>
      </c>
      <c r="V520" s="9">
        <f>MIN($I520,$H520)*INDEX('Key Metrics'!$E$16:$N$19,MATCH($E520,'Key Metrics'!$E$16:$E$19,0),MATCH(V$1,'Key Metrics'!$E$16:$M$16,0))</f>
        <v>90000</v>
      </c>
      <c r="W520" s="9">
        <f>IF($H520&gt;I520, MIN($H520-I520, J520-I520)*INDEX('Key Metrics'!$E$16:$N$19,MATCH($E520,'Key Metrics'!$E$16:$E$19,0),MATCH(W$1,'Key Metrics'!$E$16:$M$16,0)),0)</f>
        <v>24028.379999999997</v>
      </c>
      <c r="X520" s="9">
        <f>IF($H520&gt;J520, MIN($H520-J520, K520-J520)*INDEX('Key Metrics'!$E$16:$N$19,MATCH($E520,'Key Metrics'!$E$16:$E$19,0),MATCH(X$1,'Key Metrics'!$E$16:$M$16,0)),0)</f>
        <v>0</v>
      </c>
      <c r="Y520" s="9">
        <f>IF($H520&gt;K520, MIN($H520-K520, L520-K520)*INDEX('Key Metrics'!$E$16:$N$19,MATCH($E520,'Key Metrics'!$E$16:$E$19,0),MATCH(Y$1,'Key Metrics'!$E$16:$M$16,0)),0)</f>
        <v>0</v>
      </c>
      <c r="Z520" s="9">
        <f>IF($H520&gt;L520,($H520-L520)*INDEX('Key Metrics'!$E$16:$N$19,MATCH($E520,'Key Metrics'!$E$16:$E$19,0),MATCH(Z$1,'Key Metrics'!$E$16:$M$16,0)),0)</f>
        <v>0</v>
      </c>
      <c r="AA520" s="9">
        <f t="shared" si="89"/>
        <v>114028.38</v>
      </c>
      <c r="AB520" s="9">
        <f t="shared" si="81"/>
        <v>114029.60248500001</v>
      </c>
    </row>
    <row r="521" spans="1:28" x14ac:dyDescent="0.55000000000000004">
      <c r="A521" t="str">
        <f t="shared" si="82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COUNTIF(deals_closed!$D$2:$D$20001,Calculations!B351)</f>
        <v>18</v>
      </c>
      <c r="H521" s="7">
        <f>SUMIF(deals_closed!$D:$D,Calculations!B351,deals_closed!$C:$C)</f>
        <v>608630</v>
      </c>
      <c r="I521" s="5">
        <f>VLOOKUP(E521,'2018_commission_structure'!$A$1:$I$4,9,FALSE)</f>
        <v>750000</v>
      </c>
      <c r="J521" s="9">
        <f t="shared" si="83"/>
        <v>937500</v>
      </c>
      <c r="K521" s="10">
        <f t="shared" si="84"/>
        <v>1125000</v>
      </c>
      <c r="L521" s="9">
        <f t="shared" si="85"/>
        <v>1500000</v>
      </c>
      <c r="M521" s="8">
        <f t="shared" si="86"/>
        <v>0.81150666666666671</v>
      </c>
      <c r="N521" t="str">
        <f t="shared" si="87"/>
        <v>0-100%</v>
      </c>
      <c r="O521" s="9">
        <f>MIN($H521,$I521)*INDEX('2018_commission_structure'!$A$1:$I$4,MATCH($E521,'2018_commission_structure'!$A$1:$A$4,0),MATCH(O$1,'2018_commission_structure'!$A$1:$I$1,0))</f>
        <v>91294.5</v>
      </c>
      <c r="P521" s="9">
        <f>IF(H521&gt;I521, MIN(H521-I521, J521-I521)*INDEX('2018_commission_structure'!$A$1:$I$4,MATCH($E521,'2018_commission_structure'!$A$1:$A$4,0),MATCH(P$1,'2018_commission_structure'!$A$1:$I$1,0)),0)</f>
        <v>0</v>
      </c>
      <c r="Q521" s="9">
        <f>IF($H521&gt;J521, MIN($H521-J521, K521-J521)*INDEX('2018_commission_structure'!$A$1:$I$4,MATCH($E521,'2018_commission_structure'!$A$1:$A$4,0),MATCH(Q$1,'2018_commission_structure'!$A$1:$I$1,0)),0)</f>
        <v>0</v>
      </c>
      <c r="R521" s="9">
        <f>IF($H521&gt;K521, MIN($H521-K521, L521-K521)*INDEX('2018_commission_structure'!$A$1:$I$4,MATCH($E521,'2018_commission_structure'!$A$1:$A$4,0),MATCH(R$1,'2018_commission_structure'!$A$1:$I$1,0)),0)</f>
        <v>0</v>
      </c>
      <c r="S521" s="9">
        <f>IF(H521&gt;L521,(H521-L521)*INDEX('2018_commission_structure'!$A$1:$I$4,MATCH($E521,'2018_commission_structure'!$A$1:$A$4,0),MATCH(S$1,'2018_commission_structure'!$A$1:$I$1,0)),0)</f>
        <v>0</v>
      </c>
      <c r="T521" s="9">
        <f t="shared" si="88"/>
        <v>91294.5</v>
      </c>
      <c r="U521" s="9">
        <f t="shared" si="80"/>
        <v>180928.5</v>
      </c>
      <c r="V521" s="9">
        <f>MIN($I521,$H521)*INDEX('Key Metrics'!$E$16:$N$19,MATCH($E521,'Key Metrics'!$E$16:$E$19,0),MATCH(V$1,'Key Metrics'!$E$16:$M$16,0))</f>
        <v>91294.5</v>
      </c>
      <c r="W521" s="9">
        <f>IF($H521&gt;I521, MIN($H521-I521, J521-I521)*INDEX('Key Metrics'!$E$16:$N$19,MATCH($E521,'Key Metrics'!$E$16:$E$19,0),MATCH(W$1,'Key Metrics'!$E$16:$M$16,0)),0)</f>
        <v>0</v>
      </c>
      <c r="X521" s="9">
        <f>IF($H521&gt;J521, MIN($H521-J521, K521-J521)*INDEX('Key Metrics'!$E$16:$N$19,MATCH($E521,'Key Metrics'!$E$16:$E$19,0),MATCH(X$1,'Key Metrics'!$E$16:$M$16,0)),0)</f>
        <v>0</v>
      </c>
      <c r="Y521" s="9">
        <f>IF($H521&gt;K521, MIN($H521-K521, L521-K521)*INDEX('Key Metrics'!$E$16:$N$19,MATCH($E521,'Key Metrics'!$E$16:$E$19,0),MATCH(Y$1,'Key Metrics'!$E$16:$M$16,0)),0)</f>
        <v>0</v>
      </c>
      <c r="Z521" s="9">
        <f>IF($H521&gt;L521,($H521-L521)*INDEX('Key Metrics'!$E$16:$N$19,MATCH($E521,'Key Metrics'!$E$16:$E$19,0),MATCH(Z$1,'Key Metrics'!$E$16:$M$16,0)),0)</f>
        <v>0</v>
      </c>
      <c r="AA521" s="9">
        <f t="shared" si="89"/>
        <v>91294.5</v>
      </c>
      <c r="AB521" s="9">
        <f t="shared" si="81"/>
        <v>91295.311506666665</v>
      </c>
    </row>
    <row r="522" spans="1:28" x14ac:dyDescent="0.55000000000000004">
      <c r="A522" t="str">
        <f t="shared" si="82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COUNTIF(deals_closed!$D$2:$D$20001,Calculations!B654)</f>
        <v>13</v>
      </c>
      <c r="H522" s="7">
        <f>SUMIF(deals_closed!$D:$D,Calculations!B654,deals_closed!$C:$C)</f>
        <v>397375</v>
      </c>
      <c r="I522" s="5">
        <f>VLOOKUP(E522,'2018_commission_structure'!$A$1:$I$4,9,FALSE)</f>
        <v>500000</v>
      </c>
      <c r="J522" s="9">
        <f t="shared" si="83"/>
        <v>625000</v>
      </c>
      <c r="K522" s="10">
        <f t="shared" si="84"/>
        <v>750000</v>
      </c>
      <c r="L522" s="9">
        <f t="shared" si="85"/>
        <v>1000000</v>
      </c>
      <c r="M522" s="8">
        <f t="shared" si="86"/>
        <v>0.79474999999999996</v>
      </c>
      <c r="N522" t="str">
        <f t="shared" si="87"/>
        <v>0-100%</v>
      </c>
      <c r="O522" s="9">
        <f>MIN($H522,$I522)*INDEX('2018_commission_structure'!$A$1:$I$4,MATCH($E522,'2018_commission_structure'!$A$1:$A$4,0),MATCH(O$1,'2018_commission_structure'!$A$1:$I$1,0))</f>
        <v>39737.5</v>
      </c>
      <c r="P522" s="9">
        <f>IF(H522&gt;I522, MIN(H522-I522, J522-I522)*INDEX('2018_commission_structure'!$A$1:$I$4,MATCH($E522,'2018_commission_structure'!$A$1:$A$4,0),MATCH(P$1,'2018_commission_structure'!$A$1:$I$1,0)),0)</f>
        <v>0</v>
      </c>
      <c r="Q522" s="9">
        <f>IF($H522&gt;J522, MIN($H522-J522, K522-J522)*INDEX('2018_commission_structure'!$A$1:$I$4,MATCH($E522,'2018_commission_structure'!$A$1:$A$4,0),MATCH(Q$1,'2018_commission_structure'!$A$1:$I$1,0)),0)</f>
        <v>0</v>
      </c>
      <c r="R522" s="9">
        <f>IF($H522&gt;K522, MIN($H522-K522, L522-K522)*INDEX('2018_commission_structure'!$A$1:$I$4,MATCH($E522,'2018_commission_structure'!$A$1:$A$4,0),MATCH(R$1,'2018_commission_structure'!$A$1:$I$1,0)),0)</f>
        <v>0</v>
      </c>
      <c r="S522" s="9">
        <f>IF(H522&gt;L522,(H522-L522)*INDEX('2018_commission_structure'!$A$1:$I$4,MATCH($E522,'2018_commission_structure'!$A$1:$A$4,0),MATCH(S$1,'2018_commission_structure'!$A$1:$I$1,0)),0)</f>
        <v>0</v>
      </c>
      <c r="T522" s="9">
        <f t="shared" si="88"/>
        <v>39737.5</v>
      </c>
      <c r="U522" s="9">
        <f t="shared" si="80"/>
        <v>84661.5</v>
      </c>
      <c r="V522" s="9">
        <f>MIN($I522,$H522)*INDEX('Key Metrics'!$E$16:$N$19,MATCH($E522,'Key Metrics'!$E$16:$E$19,0),MATCH(V$1,'Key Metrics'!$E$16:$M$16,0))</f>
        <v>47685</v>
      </c>
      <c r="W522" s="9">
        <f>IF($H522&gt;I522, MIN($H522-I522, J522-I522)*INDEX('Key Metrics'!$E$16:$N$19,MATCH($E522,'Key Metrics'!$E$16:$E$19,0),MATCH(W$1,'Key Metrics'!$E$16:$M$16,0)),0)</f>
        <v>0</v>
      </c>
      <c r="X522" s="9">
        <f>IF($H522&gt;J522, MIN($H522-J522, K522-J522)*INDEX('Key Metrics'!$E$16:$N$19,MATCH($E522,'Key Metrics'!$E$16:$E$19,0),MATCH(X$1,'Key Metrics'!$E$16:$M$16,0)),0)</f>
        <v>0</v>
      </c>
      <c r="Y522" s="9">
        <f>IF($H522&gt;K522, MIN($H522-K522, L522-K522)*INDEX('Key Metrics'!$E$16:$N$19,MATCH($E522,'Key Metrics'!$E$16:$E$19,0),MATCH(Y$1,'Key Metrics'!$E$16:$M$16,0)),0)</f>
        <v>0</v>
      </c>
      <c r="Z522" s="9">
        <f>IF($H522&gt;L522,($H522-L522)*INDEX('Key Metrics'!$E$16:$N$19,MATCH($E522,'Key Metrics'!$E$16:$E$19,0),MATCH(Z$1,'Key Metrics'!$E$16:$M$16,0)),0)</f>
        <v>0</v>
      </c>
      <c r="AA522" s="9">
        <f t="shared" si="89"/>
        <v>47685</v>
      </c>
      <c r="AB522" s="9">
        <f t="shared" si="81"/>
        <v>47685.794750000001</v>
      </c>
    </row>
    <row r="523" spans="1:28" x14ac:dyDescent="0.55000000000000004">
      <c r="A523" t="str">
        <f t="shared" si="82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COUNTIF(deals_closed!$D$2:$D$20001,Calculations!B230)</f>
        <v>15</v>
      </c>
      <c r="H523" s="7">
        <f>SUMIF(deals_closed!$D:$D,Calculations!B230,deals_closed!$C:$C)</f>
        <v>481035</v>
      </c>
      <c r="I523" s="5">
        <f>VLOOKUP(E523,'2018_commission_structure'!$A$1:$I$4,9,FALSE)</f>
        <v>750000</v>
      </c>
      <c r="J523" s="9">
        <f t="shared" si="83"/>
        <v>937500</v>
      </c>
      <c r="K523" s="10">
        <f t="shared" si="84"/>
        <v>1125000</v>
      </c>
      <c r="L523" s="9">
        <f t="shared" si="85"/>
        <v>1500000</v>
      </c>
      <c r="M523" s="8">
        <f t="shared" si="86"/>
        <v>0.64137999999999995</v>
      </c>
      <c r="N523" t="str">
        <f t="shared" si="87"/>
        <v>0-100%</v>
      </c>
      <c r="O523" s="9">
        <f>MIN($H523,$I523)*INDEX('2018_commission_structure'!$A$1:$I$4,MATCH($E523,'2018_commission_structure'!$A$1:$A$4,0),MATCH(O$1,'2018_commission_structure'!$A$1:$I$1,0))</f>
        <v>72155.25</v>
      </c>
      <c r="P523" s="9">
        <f>IF(H523&gt;I523, MIN(H523-I523, J523-I523)*INDEX('2018_commission_structure'!$A$1:$I$4,MATCH($E523,'2018_commission_structure'!$A$1:$A$4,0),MATCH(P$1,'2018_commission_structure'!$A$1:$I$1,0)),0)</f>
        <v>0</v>
      </c>
      <c r="Q523" s="9">
        <f>IF($H523&gt;J523, MIN($H523-J523, K523-J523)*INDEX('2018_commission_structure'!$A$1:$I$4,MATCH($E523,'2018_commission_structure'!$A$1:$A$4,0),MATCH(Q$1,'2018_commission_structure'!$A$1:$I$1,0)),0)</f>
        <v>0</v>
      </c>
      <c r="R523" s="9">
        <f>IF($H523&gt;K523, MIN($H523-K523, L523-K523)*INDEX('2018_commission_structure'!$A$1:$I$4,MATCH($E523,'2018_commission_structure'!$A$1:$A$4,0),MATCH(R$1,'2018_commission_structure'!$A$1:$I$1,0)),0)</f>
        <v>0</v>
      </c>
      <c r="S523" s="9">
        <f>IF(H523&gt;L523,(H523-L523)*INDEX('2018_commission_structure'!$A$1:$I$4,MATCH($E523,'2018_commission_structure'!$A$1:$A$4,0),MATCH(S$1,'2018_commission_structure'!$A$1:$I$1,0)),0)</f>
        <v>0</v>
      </c>
      <c r="T523" s="9">
        <f t="shared" si="88"/>
        <v>72155.25</v>
      </c>
      <c r="U523" s="9">
        <f t="shared" si="80"/>
        <v>168049.25</v>
      </c>
      <c r="V523" s="9">
        <f>MIN($I523,$H523)*INDEX('Key Metrics'!$E$16:$N$19,MATCH($E523,'Key Metrics'!$E$16:$E$19,0),MATCH(V$1,'Key Metrics'!$E$16:$M$16,0))</f>
        <v>72155.25</v>
      </c>
      <c r="W523" s="9">
        <f>IF($H523&gt;I523, MIN($H523-I523, J523-I523)*INDEX('Key Metrics'!$E$16:$N$19,MATCH($E523,'Key Metrics'!$E$16:$E$19,0),MATCH(W$1,'Key Metrics'!$E$16:$M$16,0)),0)</f>
        <v>0</v>
      </c>
      <c r="X523" s="9">
        <f>IF($H523&gt;J523, MIN($H523-J523, K523-J523)*INDEX('Key Metrics'!$E$16:$N$19,MATCH($E523,'Key Metrics'!$E$16:$E$19,0),MATCH(X$1,'Key Metrics'!$E$16:$M$16,0)),0)</f>
        <v>0</v>
      </c>
      <c r="Y523" s="9">
        <f>IF($H523&gt;K523, MIN($H523-K523, L523-K523)*INDEX('Key Metrics'!$E$16:$N$19,MATCH($E523,'Key Metrics'!$E$16:$E$19,0),MATCH(Y$1,'Key Metrics'!$E$16:$M$16,0)),0)</f>
        <v>0</v>
      </c>
      <c r="Z523" s="9">
        <f>IF($H523&gt;L523,($H523-L523)*INDEX('Key Metrics'!$E$16:$N$19,MATCH($E523,'Key Metrics'!$E$16:$E$19,0),MATCH(Z$1,'Key Metrics'!$E$16:$M$16,0)),0)</f>
        <v>0</v>
      </c>
      <c r="AA523" s="9">
        <f t="shared" si="89"/>
        <v>72155.25</v>
      </c>
      <c r="AB523" s="9">
        <f t="shared" si="81"/>
        <v>72155.891380000001</v>
      </c>
    </row>
    <row r="524" spans="1:28" x14ac:dyDescent="0.55000000000000004">
      <c r="A524" t="str">
        <f t="shared" si="82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COUNTIF(deals_closed!$D$2:$D$20001,Calculations!B592)</f>
        <v>17</v>
      </c>
      <c r="H524" s="7">
        <f>SUMIF(deals_closed!$D:$D,Calculations!B592,deals_closed!$C:$C)</f>
        <v>622486</v>
      </c>
      <c r="I524" s="5">
        <f>VLOOKUP(E524,'2018_commission_structure'!$A$1:$I$4,9,FALSE)</f>
        <v>500000</v>
      </c>
      <c r="J524" s="9">
        <f t="shared" si="83"/>
        <v>625000</v>
      </c>
      <c r="K524" s="10">
        <f t="shared" si="84"/>
        <v>750000</v>
      </c>
      <c r="L524" s="9">
        <f t="shared" si="85"/>
        <v>1000000</v>
      </c>
      <c r="M524" s="8">
        <f t="shared" si="86"/>
        <v>1.244972</v>
      </c>
      <c r="N524" t="str">
        <f t="shared" si="87"/>
        <v>100-125%</v>
      </c>
      <c r="O524" s="9">
        <f>MIN($H524,$I524)*INDEX('2018_commission_structure'!$A$1:$I$4,MATCH($E524,'2018_commission_structure'!$A$1:$A$4,0),MATCH(O$1,'2018_commission_structure'!$A$1:$I$1,0))</f>
        <v>50000</v>
      </c>
      <c r="P524" s="9">
        <f>IF(H524&gt;I524, MIN(H524-I524, J524-I524)*INDEX('2018_commission_structure'!$A$1:$I$4,MATCH($E524,'2018_commission_structure'!$A$1:$A$4,0),MATCH(P$1,'2018_commission_structure'!$A$1:$I$1,0)),0)</f>
        <v>18372.899999999998</v>
      </c>
      <c r="Q524" s="9">
        <f>IF($H524&gt;J524, MIN($H524-J524, K524-J524)*INDEX('2018_commission_structure'!$A$1:$I$4,MATCH($E524,'2018_commission_structure'!$A$1:$A$4,0),MATCH(Q$1,'2018_commission_structure'!$A$1:$I$1,0)),0)</f>
        <v>0</v>
      </c>
      <c r="R524" s="9">
        <f>IF($H524&gt;K524, MIN($H524-K524, L524-K524)*INDEX('2018_commission_structure'!$A$1:$I$4,MATCH($E524,'2018_commission_structure'!$A$1:$A$4,0),MATCH(R$1,'2018_commission_structure'!$A$1:$I$1,0)),0)</f>
        <v>0</v>
      </c>
      <c r="S524" s="9">
        <f>IF(H524&gt;L524,(H524-L524)*INDEX('2018_commission_structure'!$A$1:$I$4,MATCH($E524,'2018_commission_structure'!$A$1:$A$4,0),MATCH(S$1,'2018_commission_structure'!$A$1:$I$1,0)),0)</f>
        <v>0</v>
      </c>
      <c r="T524" s="9">
        <f t="shared" si="88"/>
        <v>68372.899999999994</v>
      </c>
      <c r="U524" s="9">
        <f t="shared" si="80"/>
        <v>130102.9</v>
      </c>
      <c r="V524" s="9">
        <f>MIN($I524,$H524)*INDEX('Key Metrics'!$E$16:$N$19,MATCH($E524,'Key Metrics'!$E$16:$E$19,0),MATCH(V$1,'Key Metrics'!$E$16:$M$16,0))</f>
        <v>60000</v>
      </c>
      <c r="W524" s="9">
        <f>IF($H524&gt;I524, MIN($H524-I524, J524-I524)*INDEX('Key Metrics'!$E$16:$N$19,MATCH($E524,'Key Metrics'!$E$16:$E$19,0),MATCH(W$1,'Key Metrics'!$E$16:$M$16,0)),0)</f>
        <v>20822.620000000003</v>
      </c>
      <c r="X524" s="9">
        <f>IF($H524&gt;J524, MIN($H524-J524, K524-J524)*INDEX('Key Metrics'!$E$16:$N$19,MATCH($E524,'Key Metrics'!$E$16:$E$19,0),MATCH(X$1,'Key Metrics'!$E$16:$M$16,0)),0)</f>
        <v>0</v>
      </c>
      <c r="Y524" s="9">
        <f>IF($H524&gt;K524, MIN($H524-K524, L524-K524)*INDEX('Key Metrics'!$E$16:$N$19,MATCH($E524,'Key Metrics'!$E$16:$E$19,0),MATCH(Y$1,'Key Metrics'!$E$16:$M$16,0)),0)</f>
        <v>0</v>
      </c>
      <c r="Z524" s="9">
        <f>IF($H524&gt;L524,($H524-L524)*INDEX('Key Metrics'!$E$16:$N$19,MATCH($E524,'Key Metrics'!$E$16:$E$19,0),MATCH(Z$1,'Key Metrics'!$E$16:$M$16,0)),0)</f>
        <v>0</v>
      </c>
      <c r="AA524" s="9">
        <f t="shared" si="89"/>
        <v>80822.62</v>
      </c>
      <c r="AB524" s="9">
        <f t="shared" si="81"/>
        <v>80823.864971999996</v>
      </c>
    </row>
    <row r="525" spans="1:28" x14ac:dyDescent="0.55000000000000004">
      <c r="A525" t="str">
        <f t="shared" si="82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COUNTIF(deals_closed!$D$2:$D$20001,Calculations!B76)</f>
        <v>21</v>
      </c>
      <c r="H525" s="7">
        <f>SUMIF(deals_closed!$D:$D,Calculations!B76,deals_closed!$C:$C)</f>
        <v>624674</v>
      </c>
      <c r="I525" s="5">
        <f>VLOOKUP(E525,'2018_commission_structure'!$A$1:$I$4,9,FALSE)</f>
        <v>500000</v>
      </c>
      <c r="J525" s="9">
        <f t="shared" si="83"/>
        <v>625000</v>
      </c>
      <c r="K525" s="10">
        <f t="shared" si="84"/>
        <v>750000</v>
      </c>
      <c r="L525" s="9">
        <f t="shared" si="85"/>
        <v>1000000</v>
      </c>
      <c r="M525" s="8">
        <f t="shared" si="86"/>
        <v>1.2493479999999999</v>
      </c>
      <c r="N525" t="str">
        <f t="shared" si="87"/>
        <v>100-125%</v>
      </c>
      <c r="O525" s="9">
        <f>MIN($H525,$I525)*INDEX('2018_commission_structure'!$A$1:$I$4,MATCH($E525,'2018_commission_structure'!$A$1:$A$4,0),MATCH(O$1,'2018_commission_structure'!$A$1:$I$1,0))</f>
        <v>50000</v>
      </c>
      <c r="P525" s="9">
        <f>IF(H525&gt;I525, MIN(H525-I525, J525-I525)*INDEX('2018_commission_structure'!$A$1:$I$4,MATCH($E525,'2018_commission_structure'!$A$1:$A$4,0),MATCH(P$1,'2018_commission_structure'!$A$1:$I$1,0)),0)</f>
        <v>18701.099999999999</v>
      </c>
      <c r="Q525" s="9">
        <f>IF($H525&gt;J525, MIN($H525-J525, K525-J525)*INDEX('2018_commission_structure'!$A$1:$I$4,MATCH($E525,'2018_commission_structure'!$A$1:$A$4,0),MATCH(Q$1,'2018_commission_structure'!$A$1:$I$1,0)),0)</f>
        <v>0</v>
      </c>
      <c r="R525" s="9">
        <f>IF($H525&gt;K525, MIN($H525-K525, L525-K525)*INDEX('2018_commission_structure'!$A$1:$I$4,MATCH($E525,'2018_commission_structure'!$A$1:$A$4,0),MATCH(R$1,'2018_commission_structure'!$A$1:$I$1,0)),0)</f>
        <v>0</v>
      </c>
      <c r="S525" s="9">
        <f>IF(H525&gt;L525,(H525-L525)*INDEX('2018_commission_structure'!$A$1:$I$4,MATCH($E525,'2018_commission_structure'!$A$1:$A$4,0),MATCH(S$1,'2018_commission_structure'!$A$1:$I$1,0)),0)</f>
        <v>0</v>
      </c>
      <c r="T525" s="9">
        <f t="shared" si="88"/>
        <v>68701.100000000006</v>
      </c>
      <c r="U525" s="9">
        <f t="shared" si="80"/>
        <v>114567.1</v>
      </c>
      <c r="V525" s="9">
        <f>MIN($I525,$H525)*INDEX('Key Metrics'!$E$16:$N$19,MATCH($E525,'Key Metrics'!$E$16:$E$19,0),MATCH(V$1,'Key Metrics'!$E$16:$M$16,0))</f>
        <v>60000</v>
      </c>
      <c r="W525" s="9">
        <f>IF($H525&gt;I525, MIN($H525-I525, J525-I525)*INDEX('Key Metrics'!$E$16:$N$19,MATCH($E525,'Key Metrics'!$E$16:$E$19,0),MATCH(W$1,'Key Metrics'!$E$16:$M$16,0)),0)</f>
        <v>21194.58</v>
      </c>
      <c r="X525" s="9">
        <f>IF($H525&gt;J525, MIN($H525-J525, K525-J525)*INDEX('Key Metrics'!$E$16:$N$19,MATCH($E525,'Key Metrics'!$E$16:$E$19,0),MATCH(X$1,'Key Metrics'!$E$16:$M$16,0)),0)</f>
        <v>0</v>
      </c>
      <c r="Y525" s="9">
        <f>IF($H525&gt;K525, MIN($H525-K525, L525-K525)*INDEX('Key Metrics'!$E$16:$N$19,MATCH($E525,'Key Metrics'!$E$16:$E$19,0),MATCH(Y$1,'Key Metrics'!$E$16:$M$16,0)),0)</f>
        <v>0</v>
      </c>
      <c r="Z525" s="9">
        <f>IF($H525&gt;L525,($H525-L525)*INDEX('Key Metrics'!$E$16:$N$19,MATCH($E525,'Key Metrics'!$E$16:$E$19,0),MATCH(Z$1,'Key Metrics'!$E$16:$M$16,0)),0)</f>
        <v>0</v>
      </c>
      <c r="AA525" s="9">
        <f t="shared" si="89"/>
        <v>81194.58</v>
      </c>
      <c r="AB525" s="9">
        <f t="shared" si="81"/>
        <v>81195.829347999999</v>
      </c>
    </row>
    <row r="526" spans="1:28" x14ac:dyDescent="0.55000000000000004">
      <c r="A526" t="str">
        <f t="shared" si="82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COUNTIF(deals_closed!$D$2:$D$20001,Calculations!B225)</f>
        <v>17</v>
      </c>
      <c r="H526" s="7">
        <f>SUMIF(deals_closed!$D:$D,Calculations!B225,deals_closed!$C:$C)</f>
        <v>601920</v>
      </c>
      <c r="I526" s="5">
        <f>VLOOKUP(E526,'2018_commission_structure'!$A$1:$I$4,9,FALSE)</f>
        <v>750000</v>
      </c>
      <c r="J526" s="9">
        <f t="shared" si="83"/>
        <v>937500</v>
      </c>
      <c r="K526" s="10">
        <f t="shared" si="84"/>
        <v>1125000</v>
      </c>
      <c r="L526" s="9">
        <f t="shared" si="85"/>
        <v>1500000</v>
      </c>
      <c r="M526" s="8">
        <f t="shared" si="86"/>
        <v>0.80256000000000005</v>
      </c>
      <c r="N526" t="str">
        <f t="shared" si="87"/>
        <v>0-100%</v>
      </c>
      <c r="O526" s="9">
        <f>MIN($H526,$I526)*INDEX('2018_commission_structure'!$A$1:$I$4,MATCH($E526,'2018_commission_structure'!$A$1:$A$4,0),MATCH(O$1,'2018_commission_structure'!$A$1:$I$1,0))</f>
        <v>90288</v>
      </c>
      <c r="P526" s="9">
        <f>IF(H526&gt;I526, MIN(H526-I526, J526-I526)*INDEX('2018_commission_structure'!$A$1:$I$4,MATCH($E526,'2018_commission_structure'!$A$1:$A$4,0),MATCH(P$1,'2018_commission_structure'!$A$1:$I$1,0)),0)</f>
        <v>0</v>
      </c>
      <c r="Q526" s="9">
        <f>IF($H526&gt;J526, MIN($H526-J526, K526-J526)*INDEX('2018_commission_structure'!$A$1:$I$4,MATCH($E526,'2018_commission_structure'!$A$1:$A$4,0),MATCH(Q$1,'2018_commission_structure'!$A$1:$I$1,0)),0)</f>
        <v>0</v>
      </c>
      <c r="R526" s="9">
        <f>IF($H526&gt;K526, MIN($H526-K526, L526-K526)*INDEX('2018_commission_structure'!$A$1:$I$4,MATCH($E526,'2018_commission_structure'!$A$1:$A$4,0),MATCH(R$1,'2018_commission_structure'!$A$1:$I$1,0)),0)</f>
        <v>0</v>
      </c>
      <c r="S526" s="9">
        <f>IF(H526&gt;L526,(H526-L526)*INDEX('2018_commission_structure'!$A$1:$I$4,MATCH($E526,'2018_commission_structure'!$A$1:$A$4,0),MATCH(S$1,'2018_commission_structure'!$A$1:$I$1,0)),0)</f>
        <v>0</v>
      </c>
      <c r="T526" s="9">
        <f t="shared" si="88"/>
        <v>90288</v>
      </c>
      <c r="U526" s="9">
        <f t="shared" si="80"/>
        <v>212656</v>
      </c>
      <c r="V526" s="9">
        <f>MIN($I526,$H526)*INDEX('Key Metrics'!$E$16:$N$19,MATCH($E526,'Key Metrics'!$E$16:$E$19,0),MATCH(V$1,'Key Metrics'!$E$16:$M$16,0))</f>
        <v>90288</v>
      </c>
      <c r="W526" s="9">
        <f>IF($H526&gt;I526, MIN($H526-I526, J526-I526)*INDEX('Key Metrics'!$E$16:$N$19,MATCH($E526,'Key Metrics'!$E$16:$E$19,0),MATCH(W$1,'Key Metrics'!$E$16:$M$16,0)),0)</f>
        <v>0</v>
      </c>
      <c r="X526" s="9">
        <f>IF($H526&gt;J526, MIN($H526-J526, K526-J526)*INDEX('Key Metrics'!$E$16:$N$19,MATCH($E526,'Key Metrics'!$E$16:$E$19,0),MATCH(X$1,'Key Metrics'!$E$16:$M$16,0)),0)</f>
        <v>0</v>
      </c>
      <c r="Y526" s="9">
        <f>IF($H526&gt;K526, MIN($H526-K526, L526-K526)*INDEX('Key Metrics'!$E$16:$N$19,MATCH($E526,'Key Metrics'!$E$16:$E$19,0),MATCH(Y$1,'Key Metrics'!$E$16:$M$16,0)),0)</f>
        <v>0</v>
      </c>
      <c r="Z526" s="9">
        <f>IF($H526&gt;L526,($H526-L526)*INDEX('Key Metrics'!$E$16:$N$19,MATCH($E526,'Key Metrics'!$E$16:$E$19,0),MATCH(Z$1,'Key Metrics'!$E$16:$M$16,0)),0)</f>
        <v>0</v>
      </c>
      <c r="AA526" s="9">
        <f t="shared" si="89"/>
        <v>90288</v>
      </c>
      <c r="AB526" s="9">
        <f t="shared" si="81"/>
        <v>90288.802559999996</v>
      </c>
    </row>
    <row r="527" spans="1:28" x14ac:dyDescent="0.55000000000000004">
      <c r="A527" t="str">
        <f t="shared" si="82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COUNTIF(deals_closed!$D$2:$D$20001,Calculations!B527)</f>
        <v>22</v>
      </c>
      <c r="H527" s="7">
        <f>SUMIF(deals_closed!$D:$D,Calculations!B527,deals_closed!$C:$C)</f>
        <v>788832</v>
      </c>
      <c r="I527" s="5">
        <f>VLOOKUP(E527,'2018_commission_structure'!$A$1:$I$4,9,FALSE)</f>
        <v>500000</v>
      </c>
      <c r="J527" s="9">
        <f t="shared" si="83"/>
        <v>625000</v>
      </c>
      <c r="K527" s="10">
        <f t="shared" si="84"/>
        <v>750000</v>
      </c>
      <c r="L527" s="9">
        <f t="shared" si="85"/>
        <v>1000000</v>
      </c>
      <c r="M527" s="8">
        <f t="shared" si="86"/>
        <v>1.577664</v>
      </c>
      <c r="N527" t="str">
        <f t="shared" si="87"/>
        <v>150-200%</v>
      </c>
      <c r="O527" s="9">
        <f>MIN($H527,$I527)*INDEX('2018_commission_structure'!$A$1:$I$4,MATCH($E527,'2018_commission_structure'!$A$1:$A$4,0),MATCH(O$1,'2018_commission_structure'!$A$1:$I$1,0))</f>
        <v>50000</v>
      </c>
      <c r="P527" s="9">
        <f>IF(H527&gt;I527, MIN(H527-I527, J527-I527)*INDEX('2018_commission_structure'!$A$1:$I$4,MATCH($E527,'2018_commission_structure'!$A$1:$A$4,0),MATCH(P$1,'2018_commission_structure'!$A$1:$I$1,0)),0)</f>
        <v>18750</v>
      </c>
      <c r="Q527" s="9">
        <f>IF($H527&gt;J527, MIN($H527-J527, K527-J527)*INDEX('2018_commission_structure'!$A$1:$I$4,MATCH($E527,'2018_commission_structure'!$A$1:$A$4,0),MATCH(Q$1,'2018_commission_structure'!$A$1:$I$1,0)),0)</f>
        <v>22500</v>
      </c>
      <c r="R527" s="9">
        <f>IF($H527&gt;K527, MIN($H527-K527, L527-K527)*INDEX('2018_commission_structure'!$A$1:$I$4,MATCH($E527,'2018_commission_structure'!$A$1:$A$4,0),MATCH(R$1,'2018_commission_structure'!$A$1:$I$1,0)),0)</f>
        <v>8543.0400000000009</v>
      </c>
      <c r="S527" s="9">
        <f>IF(H527&gt;L527,(H527-L527)*INDEX('2018_commission_structure'!$A$1:$I$4,MATCH($E527,'2018_commission_structure'!$A$1:$A$4,0),MATCH(S$1,'2018_commission_structure'!$A$1:$I$1,0)),0)</f>
        <v>0</v>
      </c>
      <c r="T527" s="9">
        <f t="shared" si="88"/>
        <v>99793.040000000008</v>
      </c>
      <c r="U527" s="9">
        <f t="shared" si="80"/>
        <v>163806.04</v>
      </c>
      <c r="V527" s="9">
        <f>MIN($I527,$H527)*INDEX('Key Metrics'!$E$16:$N$19,MATCH($E527,'Key Metrics'!$E$16:$E$19,0),MATCH(V$1,'Key Metrics'!$E$16:$M$16,0))</f>
        <v>60000</v>
      </c>
      <c r="W527" s="9">
        <f>IF($H527&gt;I527, MIN($H527-I527, J527-I527)*INDEX('Key Metrics'!$E$16:$N$19,MATCH($E527,'Key Metrics'!$E$16:$E$19,0),MATCH(W$1,'Key Metrics'!$E$16:$M$16,0)),0)</f>
        <v>21250</v>
      </c>
      <c r="X527" s="9">
        <f>IF($H527&gt;J527, MIN($H527-J527, K527-J527)*INDEX('Key Metrics'!$E$16:$N$19,MATCH($E527,'Key Metrics'!$E$16:$E$19,0),MATCH(X$1,'Key Metrics'!$E$16:$M$16,0)),0)</f>
        <v>25000</v>
      </c>
      <c r="Y527" s="9">
        <f>IF($H527&gt;K527, MIN($H527-K527, L527-K527)*INDEX('Key Metrics'!$E$16:$N$19,MATCH($E527,'Key Metrics'!$E$16:$E$19,0),MATCH(Y$1,'Key Metrics'!$E$16:$M$16,0)),0)</f>
        <v>8543.0400000000009</v>
      </c>
      <c r="Z527" s="9">
        <f>IF($H527&gt;L527,($H527-L527)*INDEX('Key Metrics'!$E$16:$N$19,MATCH($E527,'Key Metrics'!$E$16:$E$19,0),MATCH(Z$1,'Key Metrics'!$E$16:$M$16,0)),0)</f>
        <v>0</v>
      </c>
      <c r="AA527" s="9">
        <f t="shared" si="89"/>
        <v>114793.04000000001</v>
      </c>
      <c r="AB527" s="9">
        <f t="shared" si="81"/>
        <v>114794.617664</v>
      </c>
    </row>
    <row r="528" spans="1:28" x14ac:dyDescent="0.55000000000000004">
      <c r="A528" t="str">
        <f t="shared" si="82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COUNTIF(deals_closed!$D$2:$D$20001,Calculations!B518)</f>
        <v>28</v>
      </c>
      <c r="H528" s="7">
        <f>SUMIF(deals_closed!$D:$D,Calculations!B518,deals_closed!$C:$C)</f>
        <v>875408</v>
      </c>
      <c r="I528" s="5">
        <f>VLOOKUP(E528,'2018_commission_structure'!$A$1:$I$4,9,FALSE)</f>
        <v>500000</v>
      </c>
      <c r="J528" s="9">
        <f t="shared" si="83"/>
        <v>625000</v>
      </c>
      <c r="K528" s="10">
        <f t="shared" si="84"/>
        <v>750000</v>
      </c>
      <c r="L528" s="9">
        <f t="shared" si="85"/>
        <v>1000000</v>
      </c>
      <c r="M528" s="8">
        <f t="shared" si="86"/>
        <v>1.7508159999999999</v>
      </c>
      <c r="N528" t="str">
        <f t="shared" si="87"/>
        <v>150-200%</v>
      </c>
      <c r="O528" s="9">
        <f>MIN($H528,$I528)*INDEX('2018_commission_structure'!$A$1:$I$4,MATCH($E528,'2018_commission_structure'!$A$1:$A$4,0),MATCH(O$1,'2018_commission_structure'!$A$1:$I$1,0))</f>
        <v>50000</v>
      </c>
      <c r="P528" s="9">
        <f>IF(H528&gt;I528, MIN(H528-I528, J528-I528)*INDEX('2018_commission_structure'!$A$1:$I$4,MATCH($E528,'2018_commission_structure'!$A$1:$A$4,0),MATCH(P$1,'2018_commission_structure'!$A$1:$I$1,0)),0)</f>
        <v>18750</v>
      </c>
      <c r="Q528" s="9">
        <f>IF($H528&gt;J528, MIN($H528-J528, K528-J528)*INDEX('2018_commission_structure'!$A$1:$I$4,MATCH($E528,'2018_commission_structure'!$A$1:$A$4,0),MATCH(Q$1,'2018_commission_structure'!$A$1:$I$1,0)),0)</f>
        <v>22500</v>
      </c>
      <c r="R528" s="9">
        <f>IF($H528&gt;K528, MIN($H528-K528, L528-K528)*INDEX('2018_commission_structure'!$A$1:$I$4,MATCH($E528,'2018_commission_structure'!$A$1:$A$4,0),MATCH(R$1,'2018_commission_structure'!$A$1:$I$1,0)),0)</f>
        <v>27589.759999999998</v>
      </c>
      <c r="S528" s="9">
        <f>IF(H528&gt;L528,(H528-L528)*INDEX('2018_commission_structure'!$A$1:$I$4,MATCH($E528,'2018_commission_structure'!$A$1:$A$4,0),MATCH(S$1,'2018_commission_structure'!$A$1:$I$1,0)),0)</f>
        <v>0</v>
      </c>
      <c r="T528" s="9">
        <f t="shared" si="88"/>
        <v>118839.76</v>
      </c>
      <c r="U528" s="9">
        <f t="shared" si="80"/>
        <v>156708.76</v>
      </c>
      <c r="V528" s="9">
        <f>MIN($I528,$H528)*INDEX('Key Metrics'!$E$16:$N$19,MATCH($E528,'Key Metrics'!$E$16:$E$19,0),MATCH(V$1,'Key Metrics'!$E$16:$M$16,0))</f>
        <v>60000</v>
      </c>
      <c r="W528" s="9">
        <f>IF($H528&gt;I528, MIN($H528-I528, J528-I528)*INDEX('Key Metrics'!$E$16:$N$19,MATCH($E528,'Key Metrics'!$E$16:$E$19,0),MATCH(W$1,'Key Metrics'!$E$16:$M$16,0)),0)</f>
        <v>21250</v>
      </c>
      <c r="X528" s="9">
        <f>IF($H528&gt;J528, MIN($H528-J528, K528-J528)*INDEX('Key Metrics'!$E$16:$N$19,MATCH($E528,'Key Metrics'!$E$16:$E$19,0),MATCH(X$1,'Key Metrics'!$E$16:$M$16,0)),0)</f>
        <v>25000</v>
      </c>
      <c r="Y528" s="9">
        <f>IF($H528&gt;K528, MIN($H528-K528, L528-K528)*INDEX('Key Metrics'!$E$16:$N$19,MATCH($E528,'Key Metrics'!$E$16:$E$19,0),MATCH(Y$1,'Key Metrics'!$E$16:$M$16,0)),0)</f>
        <v>27589.759999999998</v>
      </c>
      <c r="Z528" s="9">
        <f>IF($H528&gt;L528,($H528-L528)*INDEX('Key Metrics'!$E$16:$N$19,MATCH($E528,'Key Metrics'!$E$16:$E$19,0),MATCH(Z$1,'Key Metrics'!$E$16:$M$16,0)),0)</f>
        <v>0</v>
      </c>
      <c r="AA528" s="9">
        <f t="shared" si="89"/>
        <v>133839.76</v>
      </c>
      <c r="AB528" s="9">
        <f t="shared" si="81"/>
        <v>133841.51081600002</v>
      </c>
    </row>
    <row r="529" spans="1:28" x14ac:dyDescent="0.55000000000000004">
      <c r="A529" t="str">
        <f t="shared" si="82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COUNTIF(deals_closed!$D$2:$D$20001,Calculations!B786)</f>
        <v>26</v>
      </c>
      <c r="H529" s="7">
        <f>SUMIF(deals_closed!$D:$D,Calculations!B786,deals_closed!$C:$C)</f>
        <v>936364</v>
      </c>
      <c r="I529" s="5">
        <f>VLOOKUP(E529,'2018_commission_structure'!$A$1:$I$4,9,FALSE)</f>
        <v>750000</v>
      </c>
      <c r="J529" s="9">
        <f t="shared" si="83"/>
        <v>937500</v>
      </c>
      <c r="K529" s="10">
        <f t="shared" si="84"/>
        <v>1125000</v>
      </c>
      <c r="L529" s="9">
        <f t="shared" si="85"/>
        <v>1500000</v>
      </c>
      <c r="M529" s="8">
        <f t="shared" si="86"/>
        <v>1.2484853333333332</v>
      </c>
      <c r="N529" t="str">
        <f t="shared" si="87"/>
        <v>100-125%</v>
      </c>
      <c r="O529" s="9">
        <f>MIN($H529,$I529)*INDEX('2018_commission_structure'!$A$1:$I$4,MATCH($E529,'2018_commission_structure'!$A$1:$A$4,0),MATCH(O$1,'2018_commission_structure'!$A$1:$I$1,0))</f>
        <v>112500</v>
      </c>
      <c r="P529" s="9">
        <f>IF(H529&gt;I529, MIN(H529-I529, J529-I529)*INDEX('2018_commission_structure'!$A$1:$I$4,MATCH($E529,'2018_commission_structure'!$A$1:$A$4,0),MATCH(P$1,'2018_commission_structure'!$A$1:$I$1,0)),0)</f>
        <v>35409.160000000003</v>
      </c>
      <c r="Q529" s="9">
        <f>IF($H529&gt;J529, MIN($H529-J529, K529-J529)*INDEX('2018_commission_structure'!$A$1:$I$4,MATCH($E529,'2018_commission_structure'!$A$1:$A$4,0),MATCH(Q$1,'2018_commission_structure'!$A$1:$I$1,0)),0)</f>
        <v>0</v>
      </c>
      <c r="R529" s="9">
        <f>IF($H529&gt;K529, MIN($H529-K529, L529-K529)*INDEX('2018_commission_structure'!$A$1:$I$4,MATCH($E529,'2018_commission_structure'!$A$1:$A$4,0),MATCH(R$1,'2018_commission_structure'!$A$1:$I$1,0)),0)</f>
        <v>0</v>
      </c>
      <c r="S529" s="9">
        <f>IF(H529&gt;L529,(H529-L529)*INDEX('2018_commission_structure'!$A$1:$I$4,MATCH($E529,'2018_commission_structure'!$A$1:$A$4,0),MATCH(S$1,'2018_commission_structure'!$A$1:$I$1,0)),0)</f>
        <v>0</v>
      </c>
      <c r="T529" s="9">
        <f t="shared" si="88"/>
        <v>147909.16</v>
      </c>
      <c r="U529" s="9">
        <f t="shared" si="80"/>
        <v>265821.16000000003</v>
      </c>
      <c r="V529" s="9">
        <f>MIN($I529,$H529)*INDEX('Key Metrics'!$E$16:$N$19,MATCH($E529,'Key Metrics'!$E$16:$E$19,0),MATCH(V$1,'Key Metrics'!$E$16:$M$16,0))</f>
        <v>112500</v>
      </c>
      <c r="W529" s="9">
        <f>IF($H529&gt;I529, MIN($H529-I529, J529-I529)*INDEX('Key Metrics'!$E$16:$N$19,MATCH($E529,'Key Metrics'!$E$16:$E$19,0),MATCH(W$1,'Key Metrics'!$E$16:$M$16,0)),0)</f>
        <v>41000.080000000002</v>
      </c>
      <c r="X529" s="9">
        <f>IF($H529&gt;J529, MIN($H529-J529, K529-J529)*INDEX('Key Metrics'!$E$16:$N$19,MATCH($E529,'Key Metrics'!$E$16:$E$19,0),MATCH(X$1,'Key Metrics'!$E$16:$M$16,0)),0)</f>
        <v>0</v>
      </c>
      <c r="Y529" s="9">
        <f>IF($H529&gt;K529, MIN($H529-K529, L529-K529)*INDEX('Key Metrics'!$E$16:$N$19,MATCH($E529,'Key Metrics'!$E$16:$E$19,0),MATCH(Y$1,'Key Metrics'!$E$16:$M$16,0)),0)</f>
        <v>0</v>
      </c>
      <c r="Z529" s="9">
        <f>IF($H529&gt;L529,($H529-L529)*INDEX('Key Metrics'!$E$16:$N$19,MATCH($E529,'Key Metrics'!$E$16:$E$19,0),MATCH(Z$1,'Key Metrics'!$E$16:$M$16,0)),0)</f>
        <v>0</v>
      </c>
      <c r="AA529" s="9">
        <f t="shared" si="89"/>
        <v>153500.08000000002</v>
      </c>
      <c r="AB529" s="9">
        <f t="shared" si="81"/>
        <v>153501.32848533336</v>
      </c>
    </row>
    <row r="530" spans="1:28" x14ac:dyDescent="0.55000000000000004">
      <c r="A530" t="str">
        <f t="shared" si="82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COUNTIF(deals_closed!$D$2:$D$20001,Calculations!B897)</f>
        <v>21</v>
      </c>
      <c r="H530" s="7">
        <f>SUMIF(deals_closed!$D:$D,Calculations!B897,deals_closed!$C:$C)</f>
        <v>741013</v>
      </c>
      <c r="I530" s="5">
        <f>VLOOKUP(E530,'2018_commission_structure'!$A$1:$I$4,9,FALSE)</f>
        <v>500000</v>
      </c>
      <c r="J530" s="9">
        <f t="shared" si="83"/>
        <v>625000</v>
      </c>
      <c r="K530" s="10">
        <f t="shared" si="84"/>
        <v>750000</v>
      </c>
      <c r="L530" s="9">
        <f t="shared" si="85"/>
        <v>1000000</v>
      </c>
      <c r="M530" s="8">
        <f t="shared" si="86"/>
        <v>1.4820260000000001</v>
      </c>
      <c r="N530" t="str">
        <f t="shared" si="87"/>
        <v>125-150%</v>
      </c>
      <c r="O530" s="9">
        <f>MIN($H530,$I530)*INDEX('2018_commission_structure'!$A$1:$I$4,MATCH($E530,'2018_commission_structure'!$A$1:$A$4,0),MATCH(O$1,'2018_commission_structure'!$A$1:$I$1,0))</f>
        <v>50000</v>
      </c>
      <c r="P530" s="9">
        <f>IF(H530&gt;I530, MIN(H530-I530, J530-I530)*INDEX('2018_commission_structure'!$A$1:$I$4,MATCH($E530,'2018_commission_structure'!$A$1:$A$4,0),MATCH(P$1,'2018_commission_structure'!$A$1:$I$1,0)),0)</f>
        <v>18750</v>
      </c>
      <c r="Q530" s="9">
        <f>IF($H530&gt;J530, MIN($H530-J530, K530-J530)*INDEX('2018_commission_structure'!$A$1:$I$4,MATCH($E530,'2018_commission_structure'!$A$1:$A$4,0),MATCH(Q$1,'2018_commission_structure'!$A$1:$I$1,0)),0)</f>
        <v>20882.34</v>
      </c>
      <c r="R530" s="9">
        <f>IF($H530&gt;K530, MIN($H530-K530, L530-K530)*INDEX('2018_commission_structure'!$A$1:$I$4,MATCH($E530,'2018_commission_structure'!$A$1:$A$4,0),MATCH(R$1,'2018_commission_structure'!$A$1:$I$1,0)),0)</f>
        <v>0</v>
      </c>
      <c r="S530" s="9">
        <f>IF(H530&gt;L530,(H530-L530)*INDEX('2018_commission_structure'!$A$1:$I$4,MATCH($E530,'2018_commission_structure'!$A$1:$A$4,0),MATCH(S$1,'2018_commission_structure'!$A$1:$I$1,0)),0)</f>
        <v>0</v>
      </c>
      <c r="T530" s="9">
        <f t="shared" si="88"/>
        <v>89632.34</v>
      </c>
      <c r="U530" s="9">
        <f t="shared" si="80"/>
        <v>133502.34</v>
      </c>
      <c r="V530" s="9">
        <f>MIN($I530,$H530)*INDEX('Key Metrics'!$E$16:$N$19,MATCH($E530,'Key Metrics'!$E$16:$E$19,0),MATCH(V$1,'Key Metrics'!$E$16:$M$16,0))</f>
        <v>60000</v>
      </c>
      <c r="W530" s="9">
        <f>IF($H530&gt;I530, MIN($H530-I530, J530-I530)*INDEX('Key Metrics'!$E$16:$N$19,MATCH($E530,'Key Metrics'!$E$16:$E$19,0),MATCH(W$1,'Key Metrics'!$E$16:$M$16,0)),0)</f>
        <v>21250</v>
      </c>
      <c r="X530" s="9">
        <f>IF($H530&gt;J530, MIN($H530-J530, K530-J530)*INDEX('Key Metrics'!$E$16:$N$19,MATCH($E530,'Key Metrics'!$E$16:$E$19,0),MATCH(X$1,'Key Metrics'!$E$16:$M$16,0)),0)</f>
        <v>23202.600000000002</v>
      </c>
      <c r="Y530" s="9">
        <f>IF($H530&gt;K530, MIN($H530-K530, L530-K530)*INDEX('Key Metrics'!$E$16:$N$19,MATCH($E530,'Key Metrics'!$E$16:$E$19,0),MATCH(Y$1,'Key Metrics'!$E$16:$M$16,0)),0)</f>
        <v>0</v>
      </c>
      <c r="Z530" s="9">
        <f>IF($H530&gt;L530,($H530-L530)*INDEX('Key Metrics'!$E$16:$N$19,MATCH($E530,'Key Metrics'!$E$16:$E$19,0),MATCH(Z$1,'Key Metrics'!$E$16:$M$16,0)),0)</f>
        <v>0</v>
      </c>
      <c r="AA530" s="9">
        <f t="shared" si="89"/>
        <v>104452.6</v>
      </c>
      <c r="AB530" s="9">
        <f t="shared" si="81"/>
        <v>104454.082026</v>
      </c>
    </row>
    <row r="531" spans="1:28" x14ac:dyDescent="0.55000000000000004">
      <c r="A531" t="str">
        <f t="shared" si="82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COUNTIF(deals_closed!$D$2:$D$20001,Calculations!B169)</f>
        <v>24</v>
      </c>
      <c r="H531" s="7">
        <f>SUMIF(deals_closed!$D:$D,Calculations!B169,deals_closed!$C:$C)</f>
        <v>848509</v>
      </c>
      <c r="I531" s="5">
        <f>VLOOKUP(E531,'2018_commission_structure'!$A$1:$I$4,9,FALSE)</f>
        <v>600000</v>
      </c>
      <c r="J531" s="9">
        <f t="shared" si="83"/>
        <v>750000</v>
      </c>
      <c r="K531" s="10">
        <f t="shared" si="84"/>
        <v>900000</v>
      </c>
      <c r="L531" s="9">
        <f t="shared" si="85"/>
        <v>1200000</v>
      </c>
      <c r="M531" s="8">
        <f t="shared" si="86"/>
        <v>1.4141816666666667</v>
      </c>
      <c r="N531" t="str">
        <f t="shared" si="87"/>
        <v>125-150%</v>
      </c>
      <c r="O531" s="9">
        <f>MIN($H531,$I531)*INDEX('2018_commission_structure'!$A$1:$I$4,MATCH($E531,'2018_commission_structure'!$A$1:$A$4,0),MATCH(O$1,'2018_commission_structure'!$A$1:$I$1,0))</f>
        <v>78000</v>
      </c>
      <c r="P531" s="9">
        <f>IF(H531&gt;I531, MIN(H531-I531, J531-I531)*INDEX('2018_commission_structure'!$A$1:$I$4,MATCH($E531,'2018_commission_structure'!$A$1:$A$4,0),MATCH(P$1,'2018_commission_structure'!$A$1:$I$1,0)),0)</f>
        <v>25500.000000000004</v>
      </c>
      <c r="Q531" s="9">
        <f>IF($H531&gt;J531, MIN($H531-J531, K531-J531)*INDEX('2018_commission_structure'!$A$1:$I$4,MATCH($E531,'2018_commission_structure'!$A$1:$A$4,0),MATCH(Q$1,'2018_commission_structure'!$A$1:$I$1,0)),0)</f>
        <v>20686.89</v>
      </c>
      <c r="R531" s="9">
        <f>IF($H531&gt;K531, MIN($H531-K531, L531-K531)*INDEX('2018_commission_structure'!$A$1:$I$4,MATCH($E531,'2018_commission_structure'!$A$1:$A$4,0),MATCH(R$1,'2018_commission_structure'!$A$1:$I$1,0)),0)</f>
        <v>0</v>
      </c>
      <c r="S531" s="9">
        <f>IF(H531&gt;L531,(H531-L531)*INDEX('2018_commission_structure'!$A$1:$I$4,MATCH($E531,'2018_commission_structure'!$A$1:$A$4,0),MATCH(S$1,'2018_commission_structure'!$A$1:$I$1,0)),0)</f>
        <v>0</v>
      </c>
      <c r="T531" s="9">
        <f t="shared" si="88"/>
        <v>124186.89</v>
      </c>
      <c r="U531" s="9">
        <f t="shared" si="80"/>
        <v>181387.89</v>
      </c>
      <c r="V531" s="9">
        <f>MIN($I531,$H531)*INDEX('Key Metrics'!$E$16:$N$19,MATCH($E531,'Key Metrics'!$E$16:$E$19,0),MATCH(V$1,'Key Metrics'!$E$16:$M$16,0))</f>
        <v>90000</v>
      </c>
      <c r="W531" s="9">
        <f>IF($H531&gt;I531, MIN($H531-I531, J531-I531)*INDEX('Key Metrics'!$E$16:$N$19,MATCH($E531,'Key Metrics'!$E$16:$E$19,0),MATCH(W$1,'Key Metrics'!$E$16:$M$16,0)),0)</f>
        <v>27000</v>
      </c>
      <c r="X531" s="9">
        <f>IF($H531&gt;J531, MIN($H531-J531, K531-J531)*INDEX('Key Metrics'!$E$16:$N$19,MATCH($E531,'Key Metrics'!$E$16:$E$19,0),MATCH(X$1,'Key Metrics'!$E$16:$M$16,0)),0)</f>
        <v>24627.25</v>
      </c>
      <c r="Y531" s="9">
        <f>IF($H531&gt;K531, MIN($H531-K531, L531-K531)*INDEX('Key Metrics'!$E$16:$N$19,MATCH($E531,'Key Metrics'!$E$16:$E$19,0),MATCH(Y$1,'Key Metrics'!$E$16:$M$16,0)),0)</f>
        <v>0</v>
      </c>
      <c r="Z531" s="9">
        <f>IF($H531&gt;L531,($H531-L531)*INDEX('Key Metrics'!$E$16:$N$19,MATCH($E531,'Key Metrics'!$E$16:$E$19,0),MATCH(Z$1,'Key Metrics'!$E$16:$M$16,0)),0)</f>
        <v>0</v>
      </c>
      <c r="AA531" s="9">
        <f t="shared" si="89"/>
        <v>141627.25</v>
      </c>
      <c r="AB531" s="9">
        <f t="shared" si="81"/>
        <v>141628.66418166665</v>
      </c>
    </row>
    <row r="532" spans="1:28" x14ac:dyDescent="0.55000000000000004">
      <c r="A532" t="str">
        <f t="shared" si="82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COUNTIF(deals_closed!$D$2:$D$20001,Calculations!B80)</f>
        <v>20</v>
      </c>
      <c r="H532" s="7">
        <f>SUMIF(deals_closed!$D:$D,Calculations!B80,deals_closed!$C:$C)</f>
        <v>668998</v>
      </c>
      <c r="I532" s="5">
        <f>VLOOKUP(E532,'2018_commission_structure'!$A$1:$I$4,9,FALSE)</f>
        <v>600000</v>
      </c>
      <c r="J532" s="9">
        <f t="shared" si="83"/>
        <v>750000</v>
      </c>
      <c r="K532" s="10">
        <f t="shared" si="84"/>
        <v>900000</v>
      </c>
      <c r="L532" s="9">
        <f t="shared" si="85"/>
        <v>1200000</v>
      </c>
      <c r="M532" s="8">
        <f t="shared" si="86"/>
        <v>1.1149966666666666</v>
      </c>
      <c r="N532" t="str">
        <f t="shared" si="87"/>
        <v>100-125%</v>
      </c>
      <c r="O532" s="9">
        <f>MIN($H532,$I532)*INDEX('2018_commission_structure'!$A$1:$I$4,MATCH($E532,'2018_commission_structure'!$A$1:$A$4,0),MATCH(O$1,'2018_commission_structure'!$A$1:$I$1,0))</f>
        <v>78000</v>
      </c>
      <c r="P532" s="9">
        <f>IF(H532&gt;I532, MIN(H532-I532, J532-I532)*INDEX('2018_commission_structure'!$A$1:$I$4,MATCH($E532,'2018_commission_structure'!$A$1:$A$4,0),MATCH(P$1,'2018_commission_structure'!$A$1:$I$1,0)),0)</f>
        <v>11729.660000000002</v>
      </c>
      <c r="Q532" s="9">
        <f>IF($H532&gt;J532, MIN($H532-J532, K532-J532)*INDEX('2018_commission_structure'!$A$1:$I$4,MATCH($E532,'2018_commission_structure'!$A$1:$A$4,0),MATCH(Q$1,'2018_commission_structure'!$A$1:$I$1,0)),0)</f>
        <v>0</v>
      </c>
      <c r="R532" s="9">
        <f>IF($H532&gt;K532, MIN($H532-K532, L532-K532)*INDEX('2018_commission_structure'!$A$1:$I$4,MATCH($E532,'2018_commission_structure'!$A$1:$A$4,0),MATCH(R$1,'2018_commission_structure'!$A$1:$I$1,0)),0)</f>
        <v>0</v>
      </c>
      <c r="S532" s="9">
        <f>IF(H532&gt;L532,(H532-L532)*INDEX('2018_commission_structure'!$A$1:$I$4,MATCH($E532,'2018_commission_structure'!$A$1:$A$4,0),MATCH(S$1,'2018_commission_structure'!$A$1:$I$1,0)),0)</f>
        <v>0</v>
      </c>
      <c r="T532" s="9">
        <f t="shared" si="88"/>
        <v>89729.66</v>
      </c>
      <c r="U532" s="9">
        <f t="shared" si="80"/>
        <v>152104.66</v>
      </c>
      <c r="V532" s="9">
        <f>MIN($I532,$H532)*INDEX('Key Metrics'!$E$16:$N$19,MATCH($E532,'Key Metrics'!$E$16:$E$19,0),MATCH(V$1,'Key Metrics'!$E$16:$M$16,0))</f>
        <v>90000</v>
      </c>
      <c r="W532" s="9">
        <f>IF($H532&gt;I532, MIN($H532-I532, J532-I532)*INDEX('Key Metrics'!$E$16:$N$19,MATCH($E532,'Key Metrics'!$E$16:$E$19,0),MATCH(W$1,'Key Metrics'!$E$16:$M$16,0)),0)</f>
        <v>12419.64</v>
      </c>
      <c r="X532" s="9">
        <f>IF($H532&gt;J532, MIN($H532-J532, K532-J532)*INDEX('Key Metrics'!$E$16:$N$19,MATCH($E532,'Key Metrics'!$E$16:$E$19,0),MATCH(X$1,'Key Metrics'!$E$16:$M$16,0)),0)</f>
        <v>0</v>
      </c>
      <c r="Y532" s="9">
        <f>IF($H532&gt;K532, MIN($H532-K532, L532-K532)*INDEX('Key Metrics'!$E$16:$N$19,MATCH($E532,'Key Metrics'!$E$16:$E$19,0),MATCH(Y$1,'Key Metrics'!$E$16:$M$16,0)),0)</f>
        <v>0</v>
      </c>
      <c r="Z532" s="9">
        <f>IF($H532&gt;L532,($H532-L532)*INDEX('Key Metrics'!$E$16:$N$19,MATCH($E532,'Key Metrics'!$E$16:$E$19,0),MATCH(Z$1,'Key Metrics'!$E$16:$M$16,0)),0)</f>
        <v>0</v>
      </c>
      <c r="AA532" s="9">
        <f t="shared" si="89"/>
        <v>102419.64</v>
      </c>
      <c r="AB532" s="9">
        <f t="shared" si="81"/>
        <v>102420.75499666667</v>
      </c>
    </row>
    <row r="533" spans="1:28" x14ac:dyDescent="0.55000000000000004">
      <c r="A533" t="str">
        <f t="shared" si="82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COUNTIF(deals_closed!$D$2:$D$20001,Calculations!B978)</f>
        <v>15</v>
      </c>
      <c r="H533" s="7">
        <f>SUMIF(deals_closed!$D:$D,Calculations!B978,deals_closed!$C:$C)</f>
        <v>483274</v>
      </c>
      <c r="I533" s="5">
        <f>VLOOKUP(E533,'2018_commission_structure'!$A$1:$I$4,9,FALSE)</f>
        <v>500000</v>
      </c>
      <c r="J533" s="9">
        <f t="shared" si="83"/>
        <v>625000</v>
      </c>
      <c r="K533" s="10">
        <f t="shared" si="84"/>
        <v>750000</v>
      </c>
      <c r="L533" s="9">
        <f t="shared" si="85"/>
        <v>1000000</v>
      </c>
      <c r="M533" s="8">
        <f t="shared" si="86"/>
        <v>0.96654799999999996</v>
      </c>
      <c r="N533" t="str">
        <f t="shared" si="87"/>
        <v>0-100%</v>
      </c>
      <c r="O533" s="9">
        <f>MIN($H533,$I533)*INDEX('2018_commission_structure'!$A$1:$I$4,MATCH($E533,'2018_commission_structure'!$A$1:$A$4,0),MATCH(O$1,'2018_commission_structure'!$A$1:$I$1,0))</f>
        <v>48327.4</v>
      </c>
      <c r="P533" s="9">
        <f>IF(H533&gt;I533, MIN(H533-I533, J533-I533)*INDEX('2018_commission_structure'!$A$1:$I$4,MATCH($E533,'2018_commission_structure'!$A$1:$A$4,0),MATCH(P$1,'2018_commission_structure'!$A$1:$I$1,0)),0)</f>
        <v>0</v>
      </c>
      <c r="Q533" s="9">
        <f>IF($H533&gt;J533, MIN($H533-J533, K533-J533)*INDEX('2018_commission_structure'!$A$1:$I$4,MATCH($E533,'2018_commission_structure'!$A$1:$A$4,0),MATCH(Q$1,'2018_commission_structure'!$A$1:$I$1,0)),0)</f>
        <v>0</v>
      </c>
      <c r="R533" s="9">
        <f>IF($H533&gt;K533, MIN($H533-K533, L533-K533)*INDEX('2018_commission_structure'!$A$1:$I$4,MATCH($E533,'2018_commission_structure'!$A$1:$A$4,0),MATCH(R$1,'2018_commission_structure'!$A$1:$I$1,0)),0)</f>
        <v>0</v>
      </c>
      <c r="S533" s="9">
        <f>IF(H533&gt;L533,(H533-L533)*INDEX('2018_commission_structure'!$A$1:$I$4,MATCH($E533,'2018_commission_structure'!$A$1:$A$4,0),MATCH(S$1,'2018_commission_structure'!$A$1:$I$1,0)),0)</f>
        <v>0</v>
      </c>
      <c r="T533" s="9">
        <f t="shared" si="88"/>
        <v>48327.4</v>
      </c>
      <c r="U533" s="9">
        <f t="shared" si="80"/>
        <v>81362.399999999994</v>
      </c>
      <c r="V533" s="9">
        <f>MIN($I533,$H533)*INDEX('Key Metrics'!$E$16:$N$19,MATCH($E533,'Key Metrics'!$E$16:$E$19,0),MATCH(V$1,'Key Metrics'!$E$16:$M$16,0))</f>
        <v>57992.88</v>
      </c>
      <c r="W533" s="9">
        <f>IF($H533&gt;I533, MIN($H533-I533, J533-I533)*INDEX('Key Metrics'!$E$16:$N$19,MATCH($E533,'Key Metrics'!$E$16:$E$19,0),MATCH(W$1,'Key Metrics'!$E$16:$M$16,0)),0)</f>
        <v>0</v>
      </c>
      <c r="X533" s="9">
        <f>IF($H533&gt;J533, MIN($H533-J533, K533-J533)*INDEX('Key Metrics'!$E$16:$N$19,MATCH($E533,'Key Metrics'!$E$16:$E$19,0),MATCH(X$1,'Key Metrics'!$E$16:$M$16,0)),0)</f>
        <v>0</v>
      </c>
      <c r="Y533" s="9">
        <f>IF($H533&gt;K533, MIN($H533-K533, L533-K533)*INDEX('Key Metrics'!$E$16:$N$19,MATCH($E533,'Key Metrics'!$E$16:$E$19,0),MATCH(Y$1,'Key Metrics'!$E$16:$M$16,0)),0)</f>
        <v>0</v>
      </c>
      <c r="Z533" s="9">
        <f>IF($H533&gt;L533,($H533-L533)*INDEX('Key Metrics'!$E$16:$N$19,MATCH($E533,'Key Metrics'!$E$16:$E$19,0),MATCH(Z$1,'Key Metrics'!$E$16:$M$16,0)),0)</f>
        <v>0</v>
      </c>
      <c r="AA533" s="9">
        <f t="shared" si="89"/>
        <v>57992.88</v>
      </c>
      <c r="AB533" s="9">
        <f t="shared" si="81"/>
        <v>57993.846547999994</v>
      </c>
    </row>
    <row r="534" spans="1:28" x14ac:dyDescent="0.55000000000000004">
      <c r="A534" t="str">
        <f t="shared" si="82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COUNTIF(deals_closed!$D$2:$D$20001,Calculations!B382)</f>
        <v>19</v>
      </c>
      <c r="H534" s="7">
        <f>SUMIF(deals_closed!$D:$D,Calculations!B382,deals_closed!$C:$C)</f>
        <v>746728</v>
      </c>
      <c r="I534" s="5">
        <f>VLOOKUP(E534,'2018_commission_structure'!$A$1:$I$4,9,FALSE)</f>
        <v>750000</v>
      </c>
      <c r="J534" s="9">
        <f t="shared" si="83"/>
        <v>937500</v>
      </c>
      <c r="K534" s="10">
        <f t="shared" si="84"/>
        <v>1125000</v>
      </c>
      <c r="L534" s="9">
        <f t="shared" si="85"/>
        <v>1500000</v>
      </c>
      <c r="M534" s="8">
        <f t="shared" si="86"/>
        <v>0.99563733333333337</v>
      </c>
      <c r="N534" t="str">
        <f t="shared" si="87"/>
        <v>0-100%</v>
      </c>
      <c r="O534" s="9">
        <f>MIN($H534,$I534)*INDEX('2018_commission_structure'!$A$1:$I$4,MATCH($E534,'2018_commission_structure'!$A$1:$A$4,0),MATCH(O$1,'2018_commission_structure'!$A$1:$I$1,0))</f>
        <v>112009.2</v>
      </c>
      <c r="P534" s="9">
        <f>IF(H534&gt;I534, MIN(H534-I534, J534-I534)*INDEX('2018_commission_structure'!$A$1:$I$4,MATCH($E534,'2018_commission_structure'!$A$1:$A$4,0),MATCH(P$1,'2018_commission_structure'!$A$1:$I$1,0)),0)</f>
        <v>0</v>
      </c>
      <c r="Q534" s="9">
        <f>IF($H534&gt;J534, MIN($H534-J534, K534-J534)*INDEX('2018_commission_structure'!$A$1:$I$4,MATCH($E534,'2018_commission_structure'!$A$1:$A$4,0),MATCH(Q$1,'2018_commission_structure'!$A$1:$I$1,0)),0)</f>
        <v>0</v>
      </c>
      <c r="R534" s="9">
        <f>IF($H534&gt;K534, MIN($H534-K534, L534-K534)*INDEX('2018_commission_structure'!$A$1:$I$4,MATCH($E534,'2018_commission_structure'!$A$1:$A$4,0),MATCH(R$1,'2018_commission_structure'!$A$1:$I$1,0)),0)</f>
        <v>0</v>
      </c>
      <c r="S534" s="9">
        <f>IF(H534&gt;L534,(H534-L534)*INDEX('2018_commission_structure'!$A$1:$I$4,MATCH($E534,'2018_commission_structure'!$A$1:$A$4,0),MATCH(S$1,'2018_commission_structure'!$A$1:$I$1,0)),0)</f>
        <v>0</v>
      </c>
      <c r="T534" s="9">
        <f t="shared" si="88"/>
        <v>112009.2</v>
      </c>
      <c r="U534" s="9">
        <f t="shared" si="80"/>
        <v>225860.2</v>
      </c>
      <c r="V534" s="9">
        <f>MIN($I534,$H534)*INDEX('Key Metrics'!$E$16:$N$19,MATCH($E534,'Key Metrics'!$E$16:$E$19,0),MATCH(V$1,'Key Metrics'!$E$16:$M$16,0))</f>
        <v>112009.2</v>
      </c>
      <c r="W534" s="9">
        <f>IF($H534&gt;I534, MIN($H534-I534, J534-I534)*INDEX('Key Metrics'!$E$16:$N$19,MATCH($E534,'Key Metrics'!$E$16:$E$19,0),MATCH(W$1,'Key Metrics'!$E$16:$M$16,0)),0)</f>
        <v>0</v>
      </c>
      <c r="X534" s="9">
        <f>IF($H534&gt;J534, MIN($H534-J534, K534-J534)*INDEX('Key Metrics'!$E$16:$N$19,MATCH($E534,'Key Metrics'!$E$16:$E$19,0),MATCH(X$1,'Key Metrics'!$E$16:$M$16,0)),0)</f>
        <v>0</v>
      </c>
      <c r="Y534" s="9">
        <f>IF($H534&gt;K534, MIN($H534-K534, L534-K534)*INDEX('Key Metrics'!$E$16:$N$19,MATCH($E534,'Key Metrics'!$E$16:$E$19,0),MATCH(Y$1,'Key Metrics'!$E$16:$M$16,0)),0)</f>
        <v>0</v>
      </c>
      <c r="Z534" s="9">
        <f>IF($H534&gt;L534,($H534-L534)*INDEX('Key Metrics'!$E$16:$N$19,MATCH($E534,'Key Metrics'!$E$16:$E$19,0),MATCH(Z$1,'Key Metrics'!$E$16:$M$16,0)),0)</f>
        <v>0</v>
      </c>
      <c r="AA534" s="9">
        <f t="shared" si="89"/>
        <v>112009.2</v>
      </c>
      <c r="AB534" s="9">
        <f t="shared" si="81"/>
        <v>112010.19563733332</v>
      </c>
    </row>
    <row r="535" spans="1:28" x14ac:dyDescent="0.55000000000000004">
      <c r="A535" t="str">
        <f t="shared" si="82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COUNTIF(deals_closed!$D$2:$D$20001,Calculations!B132)</f>
        <v>19</v>
      </c>
      <c r="H535" s="7">
        <f>SUMIF(deals_closed!$D:$D,Calculations!B132,deals_closed!$C:$C)</f>
        <v>632643</v>
      </c>
      <c r="I535" s="5">
        <f>VLOOKUP(E535,'2018_commission_structure'!$A$1:$I$4,9,FALSE)</f>
        <v>500000</v>
      </c>
      <c r="J535" s="9">
        <f t="shared" si="83"/>
        <v>625000</v>
      </c>
      <c r="K535" s="10">
        <f t="shared" si="84"/>
        <v>750000</v>
      </c>
      <c r="L535" s="9">
        <f t="shared" si="85"/>
        <v>1000000</v>
      </c>
      <c r="M535" s="8">
        <f t="shared" si="86"/>
        <v>1.2652859999999999</v>
      </c>
      <c r="N535" t="str">
        <f t="shared" si="87"/>
        <v>125-150%</v>
      </c>
      <c r="O535" s="9">
        <f>MIN($H535,$I535)*INDEX('2018_commission_structure'!$A$1:$I$4,MATCH($E535,'2018_commission_structure'!$A$1:$A$4,0),MATCH(O$1,'2018_commission_structure'!$A$1:$I$1,0))</f>
        <v>50000</v>
      </c>
      <c r="P535" s="9">
        <f>IF(H535&gt;I535, MIN(H535-I535, J535-I535)*INDEX('2018_commission_structure'!$A$1:$I$4,MATCH($E535,'2018_commission_structure'!$A$1:$A$4,0),MATCH(P$1,'2018_commission_structure'!$A$1:$I$1,0)),0)</f>
        <v>18750</v>
      </c>
      <c r="Q535" s="9">
        <f>IF($H535&gt;J535, MIN($H535-J535, K535-J535)*INDEX('2018_commission_structure'!$A$1:$I$4,MATCH($E535,'2018_commission_structure'!$A$1:$A$4,0),MATCH(Q$1,'2018_commission_structure'!$A$1:$I$1,0)),0)</f>
        <v>1375.74</v>
      </c>
      <c r="R535" s="9">
        <f>IF($H535&gt;K535, MIN($H535-K535, L535-K535)*INDEX('2018_commission_structure'!$A$1:$I$4,MATCH($E535,'2018_commission_structure'!$A$1:$A$4,0),MATCH(R$1,'2018_commission_structure'!$A$1:$I$1,0)),0)</f>
        <v>0</v>
      </c>
      <c r="S535" s="9">
        <f>IF(H535&gt;L535,(H535-L535)*INDEX('2018_commission_structure'!$A$1:$I$4,MATCH($E535,'2018_commission_structure'!$A$1:$A$4,0),MATCH(S$1,'2018_commission_structure'!$A$1:$I$1,0)),0)</f>
        <v>0</v>
      </c>
      <c r="T535" s="9">
        <f t="shared" si="88"/>
        <v>70125.740000000005</v>
      </c>
      <c r="U535" s="9">
        <f t="shared" si="80"/>
        <v>123188.74</v>
      </c>
      <c r="V535" s="9">
        <f>MIN($I535,$H535)*INDEX('Key Metrics'!$E$16:$N$19,MATCH($E535,'Key Metrics'!$E$16:$E$19,0),MATCH(V$1,'Key Metrics'!$E$16:$M$16,0))</f>
        <v>60000</v>
      </c>
      <c r="W535" s="9">
        <f>IF($H535&gt;I535, MIN($H535-I535, J535-I535)*INDEX('Key Metrics'!$E$16:$N$19,MATCH($E535,'Key Metrics'!$E$16:$E$19,0),MATCH(W$1,'Key Metrics'!$E$16:$M$16,0)),0)</f>
        <v>21250</v>
      </c>
      <c r="X535" s="9">
        <f>IF($H535&gt;J535, MIN($H535-J535, K535-J535)*INDEX('Key Metrics'!$E$16:$N$19,MATCH($E535,'Key Metrics'!$E$16:$E$19,0),MATCH(X$1,'Key Metrics'!$E$16:$M$16,0)),0)</f>
        <v>1528.6000000000001</v>
      </c>
      <c r="Y535" s="9">
        <f>IF($H535&gt;K535, MIN($H535-K535, L535-K535)*INDEX('Key Metrics'!$E$16:$N$19,MATCH($E535,'Key Metrics'!$E$16:$E$19,0),MATCH(Y$1,'Key Metrics'!$E$16:$M$16,0)),0)</f>
        <v>0</v>
      </c>
      <c r="Z535" s="9">
        <f>IF($H535&gt;L535,($H535-L535)*INDEX('Key Metrics'!$E$16:$N$19,MATCH($E535,'Key Metrics'!$E$16:$E$19,0),MATCH(Z$1,'Key Metrics'!$E$16:$M$16,0)),0)</f>
        <v>0</v>
      </c>
      <c r="AA535" s="9">
        <f t="shared" si="89"/>
        <v>82778.600000000006</v>
      </c>
      <c r="AB535" s="9">
        <f t="shared" si="81"/>
        <v>82779.865286</v>
      </c>
    </row>
    <row r="536" spans="1:28" x14ac:dyDescent="0.55000000000000004">
      <c r="A536" t="str">
        <f t="shared" si="82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COUNTIF(deals_closed!$D$2:$D$20001,Calculations!B875)</f>
        <v>21</v>
      </c>
      <c r="H536" s="7">
        <f>SUMIF(deals_closed!$D:$D,Calculations!B875,deals_closed!$C:$C)</f>
        <v>760550</v>
      </c>
      <c r="I536" s="5">
        <f>VLOOKUP(E536,'2018_commission_structure'!$A$1:$I$4,9,FALSE)</f>
        <v>600000</v>
      </c>
      <c r="J536" s="9">
        <f t="shared" si="83"/>
        <v>750000</v>
      </c>
      <c r="K536" s="10">
        <f t="shared" si="84"/>
        <v>900000</v>
      </c>
      <c r="L536" s="9">
        <f t="shared" si="85"/>
        <v>1200000</v>
      </c>
      <c r="M536" s="8">
        <f t="shared" si="86"/>
        <v>1.2675833333333333</v>
      </c>
      <c r="N536" t="str">
        <f t="shared" si="87"/>
        <v>125-150%</v>
      </c>
      <c r="O536" s="9">
        <f>MIN($H536,$I536)*INDEX('2018_commission_structure'!$A$1:$I$4,MATCH($E536,'2018_commission_structure'!$A$1:$A$4,0),MATCH(O$1,'2018_commission_structure'!$A$1:$I$1,0))</f>
        <v>78000</v>
      </c>
      <c r="P536" s="9">
        <f>IF(H536&gt;I536, MIN(H536-I536, J536-I536)*INDEX('2018_commission_structure'!$A$1:$I$4,MATCH($E536,'2018_commission_structure'!$A$1:$A$4,0),MATCH(P$1,'2018_commission_structure'!$A$1:$I$1,0)),0)</f>
        <v>25500.000000000004</v>
      </c>
      <c r="Q536" s="9">
        <f>IF($H536&gt;J536, MIN($H536-J536, K536-J536)*INDEX('2018_commission_structure'!$A$1:$I$4,MATCH($E536,'2018_commission_structure'!$A$1:$A$4,0),MATCH(Q$1,'2018_commission_structure'!$A$1:$I$1,0)),0)</f>
        <v>2215.5</v>
      </c>
      <c r="R536" s="9">
        <f>IF($H536&gt;K536, MIN($H536-K536, L536-K536)*INDEX('2018_commission_structure'!$A$1:$I$4,MATCH($E536,'2018_commission_structure'!$A$1:$A$4,0),MATCH(R$1,'2018_commission_structure'!$A$1:$I$1,0)),0)</f>
        <v>0</v>
      </c>
      <c r="S536" s="9">
        <f>IF(H536&gt;L536,(H536-L536)*INDEX('2018_commission_structure'!$A$1:$I$4,MATCH($E536,'2018_commission_structure'!$A$1:$A$4,0),MATCH(S$1,'2018_commission_structure'!$A$1:$I$1,0)),0)</f>
        <v>0</v>
      </c>
      <c r="T536" s="9">
        <f t="shared" si="88"/>
        <v>105715.5</v>
      </c>
      <c r="U536" s="9">
        <f t="shared" si="80"/>
        <v>185184.5</v>
      </c>
      <c r="V536" s="9">
        <f>MIN($I536,$H536)*INDEX('Key Metrics'!$E$16:$N$19,MATCH($E536,'Key Metrics'!$E$16:$E$19,0),MATCH(V$1,'Key Metrics'!$E$16:$M$16,0))</f>
        <v>90000</v>
      </c>
      <c r="W536" s="9">
        <f>IF($H536&gt;I536, MIN($H536-I536, J536-I536)*INDEX('Key Metrics'!$E$16:$N$19,MATCH($E536,'Key Metrics'!$E$16:$E$19,0),MATCH(W$1,'Key Metrics'!$E$16:$M$16,0)),0)</f>
        <v>27000</v>
      </c>
      <c r="X536" s="9">
        <f>IF($H536&gt;J536, MIN($H536-J536, K536-J536)*INDEX('Key Metrics'!$E$16:$N$19,MATCH($E536,'Key Metrics'!$E$16:$E$19,0),MATCH(X$1,'Key Metrics'!$E$16:$M$16,0)),0)</f>
        <v>2637.5</v>
      </c>
      <c r="Y536" s="9">
        <f>IF($H536&gt;K536, MIN($H536-K536, L536-K536)*INDEX('Key Metrics'!$E$16:$N$19,MATCH($E536,'Key Metrics'!$E$16:$E$19,0),MATCH(Y$1,'Key Metrics'!$E$16:$M$16,0)),0)</f>
        <v>0</v>
      </c>
      <c r="Z536" s="9">
        <f>IF($H536&gt;L536,($H536-L536)*INDEX('Key Metrics'!$E$16:$N$19,MATCH($E536,'Key Metrics'!$E$16:$E$19,0),MATCH(Z$1,'Key Metrics'!$E$16:$M$16,0)),0)</f>
        <v>0</v>
      </c>
      <c r="AA536" s="9">
        <f t="shared" si="89"/>
        <v>119637.5</v>
      </c>
      <c r="AB536" s="9">
        <f t="shared" si="81"/>
        <v>119638.76758333333</v>
      </c>
    </row>
    <row r="537" spans="1:28" x14ac:dyDescent="0.55000000000000004">
      <c r="A537" t="str">
        <f t="shared" si="82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COUNTIF(deals_closed!$D$2:$D$20001,Calculations!B437)</f>
        <v>16</v>
      </c>
      <c r="H537" s="7">
        <f>SUMIF(deals_closed!$D:$D,Calculations!B437,deals_closed!$C:$C)</f>
        <v>511004</v>
      </c>
      <c r="I537" s="5">
        <f>VLOOKUP(E537,'2018_commission_structure'!$A$1:$I$4,9,FALSE)</f>
        <v>750000</v>
      </c>
      <c r="J537" s="9">
        <f t="shared" si="83"/>
        <v>937500</v>
      </c>
      <c r="K537" s="10">
        <f t="shared" si="84"/>
        <v>1125000</v>
      </c>
      <c r="L537" s="9">
        <f t="shared" si="85"/>
        <v>1500000</v>
      </c>
      <c r="M537" s="8">
        <f t="shared" si="86"/>
        <v>0.68133866666666665</v>
      </c>
      <c r="N537" t="str">
        <f t="shared" si="87"/>
        <v>0-100%</v>
      </c>
      <c r="O537" s="9">
        <f>MIN($H537,$I537)*INDEX('2018_commission_structure'!$A$1:$I$4,MATCH($E537,'2018_commission_structure'!$A$1:$A$4,0),MATCH(O$1,'2018_commission_structure'!$A$1:$I$1,0))</f>
        <v>76650.599999999991</v>
      </c>
      <c r="P537" s="9">
        <f>IF(H537&gt;I537, MIN(H537-I537, J537-I537)*INDEX('2018_commission_structure'!$A$1:$I$4,MATCH($E537,'2018_commission_structure'!$A$1:$A$4,0),MATCH(P$1,'2018_commission_structure'!$A$1:$I$1,0)),0)</f>
        <v>0</v>
      </c>
      <c r="Q537" s="9">
        <f>IF($H537&gt;J537, MIN($H537-J537, K537-J537)*INDEX('2018_commission_structure'!$A$1:$I$4,MATCH($E537,'2018_commission_structure'!$A$1:$A$4,0),MATCH(Q$1,'2018_commission_structure'!$A$1:$I$1,0)),0)</f>
        <v>0</v>
      </c>
      <c r="R537" s="9">
        <f>IF($H537&gt;K537, MIN($H537-K537, L537-K537)*INDEX('2018_commission_structure'!$A$1:$I$4,MATCH($E537,'2018_commission_structure'!$A$1:$A$4,0),MATCH(R$1,'2018_commission_structure'!$A$1:$I$1,0)),0)</f>
        <v>0</v>
      </c>
      <c r="S537" s="9">
        <f>IF(H537&gt;L537,(H537-L537)*INDEX('2018_commission_structure'!$A$1:$I$4,MATCH($E537,'2018_commission_structure'!$A$1:$A$4,0),MATCH(S$1,'2018_commission_structure'!$A$1:$I$1,0)),0)</f>
        <v>0</v>
      </c>
      <c r="T537" s="9">
        <f t="shared" si="88"/>
        <v>76650.599999999991</v>
      </c>
      <c r="U537" s="9">
        <f t="shared" si="80"/>
        <v>167265.59999999998</v>
      </c>
      <c r="V537" s="9">
        <f>MIN($I537,$H537)*INDEX('Key Metrics'!$E$16:$N$19,MATCH($E537,'Key Metrics'!$E$16:$E$19,0),MATCH(V$1,'Key Metrics'!$E$16:$M$16,0))</f>
        <v>76650.599999999991</v>
      </c>
      <c r="W537" s="9">
        <f>IF($H537&gt;I537, MIN($H537-I537, J537-I537)*INDEX('Key Metrics'!$E$16:$N$19,MATCH($E537,'Key Metrics'!$E$16:$E$19,0),MATCH(W$1,'Key Metrics'!$E$16:$M$16,0)),0)</f>
        <v>0</v>
      </c>
      <c r="X537" s="9">
        <f>IF($H537&gt;J537, MIN($H537-J537, K537-J537)*INDEX('Key Metrics'!$E$16:$N$19,MATCH($E537,'Key Metrics'!$E$16:$E$19,0),MATCH(X$1,'Key Metrics'!$E$16:$M$16,0)),0)</f>
        <v>0</v>
      </c>
      <c r="Y537" s="9">
        <f>IF($H537&gt;K537, MIN($H537-K537, L537-K537)*INDEX('Key Metrics'!$E$16:$N$19,MATCH($E537,'Key Metrics'!$E$16:$E$19,0),MATCH(Y$1,'Key Metrics'!$E$16:$M$16,0)),0)</f>
        <v>0</v>
      </c>
      <c r="Z537" s="9">
        <f>IF($H537&gt;L537,($H537-L537)*INDEX('Key Metrics'!$E$16:$N$19,MATCH($E537,'Key Metrics'!$E$16:$E$19,0),MATCH(Z$1,'Key Metrics'!$E$16:$M$16,0)),0)</f>
        <v>0</v>
      </c>
      <c r="AA537" s="9">
        <f t="shared" si="89"/>
        <v>76650.599999999991</v>
      </c>
      <c r="AB537" s="9">
        <f t="shared" si="81"/>
        <v>76651.281338666653</v>
      </c>
    </row>
    <row r="538" spans="1:28" x14ac:dyDescent="0.55000000000000004">
      <c r="A538" t="str">
        <f t="shared" si="82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COUNTIF(deals_closed!$D$2:$D$20001,Calculations!B288)</f>
        <v>20</v>
      </c>
      <c r="H538" s="7">
        <f>SUMIF(deals_closed!$D:$D,Calculations!B288,deals_closed!$C:$C)</f>
        <v>766017</v>
      </c>
      <c r="I538" s="5">
        <f>VLOOKUP(E538,'2018_commission_structure'!$A$1:$I$4,9,FALSE)</f>
        <v>500000</v>
      </c>
      <c r="J538" s="9">
        <f t="shared" si="83"/>
        <v>625000</v>
      </c>
      <c r="K538" s="10">
        <f t="shared" si="84"/>
        <v>750000</v>
      </c>
      <c r="L538" s="9">
        <f t="shared" si="85"/>
        <v>1000000</v>
      </c>
      <c r="M538" s="8">
        <f t="shared" si="86"/>
        <v>1.5320339999999999</v>
      </c>
      <c r="N538" t="str">
        <f t="shared" si="87"/>
        <v>150-200%</v>
      </c>
      <c r="O538" s="9">
        <f>MIN($H538,$I538)*INDEX('2018_commission_structure'!$A$1:$I$4,MATCH($E538,'2018_commission_structure'!$A$1:$A$4,0),MATCH(O$1,'2018_commission_structure'!$A$1:$I$1,0))</f>
        <v>50000</v>
      </c>
      <c r="P538" s="9">
        <f>IF(H538&gt;I538, MIN(H538-I538, J538-I538)*INDEX('2018_commission_structure'!$A$1:$I$4,MATCH($E538,'2018_commission_structure'!$A$1:$A$4,0),MATCH(P$1,'2018_commission_structure'!$A$1:$I$1,0)),0)</f>
        <v>18750</v>
      </c>
      <c r="Q538" s="9">
        <f>IF($H538&gt;J538, MIN($H538-J538, K538-J538)*INDEX('2018_commission_structure'!$A$1:$I$4,MATCH($E538,'2018_commission_structure'!$A$1:$A$4,0),MATCH(Q$1,'2018_commission_structure'!$A$1:$I$1,0)),0)</f>
        <v>22500</v>
      </c>
      <c r="R538" s="9">
        <f>IF($H538&gt;K538, MIN($H538-K538, L538-K538)*INDEX('2018_commission_structure'!$A$1:$I$4,MATCH($E538,'2018_commission_structure'!$A$1:$A$4,0),MATCH(R$1,'2018_commission_structure'!$A$1:$I$1,0)),0)</f>
        <v>3523.7400000000002</v>
      </c>
      <c r="S538" s="9">
        <f>IF(H538&gt;L538,(H538-L538)*INDEX('2018_commission_structure'!$A$1:$I$4,MATCH($E538,'2018_commission_structure'!$A$1:$A$4,0),MATCH(S$1,'2018_commission_structure'!$A$1:$I$1,0)),0)</f>
        <v>0</v>
      </c>
      <c r="T538" s="9">
        <f t="shared" si="88"/>
        <v>94773.74</v>
      </c>
      <c r="U538" s="9">
        <f t="shared" si="80"/>
        <v>157788.74</v>
      </c>
      <c r="V538" s="9">
        <f>MIN($I538,$H538)*INDEX('Key Metrics'!$E$16:$N$19,MATCH($E538,'Key Metrics'!$E$16:$E$19,0),MATCH(V$1,'Key Metrics'!$E$16:$M$16,0))</f>
        <v>60000</v>
      </c>
      <c r="W538" s="9">
        <f>IF($H538&gt;I538, MIN($H538-I538, J538-I538)*INDEX('Key Metrics'!$E$16:$N$19,MATCH($E538,'Key Metrics'!$E$16:$E$19,0),MATCH(W$1,'Key Metrics'!$E$16:$M$16,0)),0)</f>
        <v>21250</v>
      </c>
      <c r="X538" s="9">
        <f>IF($H538&gt;J538, MIN($H538-J538, K538-J538)*INDEX('Key Metrics'!$E$16:$N$19,MATCH($E538,'Key Metrics'!$E$16:$E$19,0),MATCH(X$1,'Key Metrics'!$E$16:$M$16,0)),0)</f>
        <v>25000</v>
      </c>
      <c r="Y538" s="9">
        <f>IF($H538&gt;K538, MIN($H538-K538, L538-K538)*INDEX('Key Metrics'!$E$16:$N$19,MATCH($E538,'Key Metrics'!$E$16:$E$19,0),MATCH(Y$1,'Key Metrics'!$E$16:$M$16,0)),0)</f>
        <v>3523.7400000000002</v>
      </c>
      <c r="Z538" s="9">
        <f>IF($H538&gt;L538,($H538-L538)*INDEX('Key Metrics'!$E$16:$N$19,MATCH($E538,'Key Metrics'!$E$16:$E$19,0),MATCH(Z$1,'Key Metrics'!$E$16:$M$16,0)),0)</f>
        <v>0</v>
      </c>
      <c r="AA538" s="9">
        <f t="shared" si="89"/>
        <v>109773.74</v>
      </c>
      <c r="AB538" s="9">
        <f t="shared" si="81"/>
        <v>109775.27203400001</v>
      </c>
    </row>
    <row r="539" spans="1:28" x14ac:dyDescent="0.55000000000000004">
      <c r="A539" t="str">
        <f t="shared" si="82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COUNTIF(deals_closed!$D$2:$D$20001,Calculations!B588)</f>
        <v>22</v>
      </c>
      <c r="H539" s="7">
        <f>SUMIF(deals_closed!$D:$D,Calculations!B588,deals_closed!$C:$C)</f>
        <v>658709</v>
      </c>
      <c r="I539" s="5">
        <f>VLOOKUP(E539,'2018_commission_structure'!$A$1:$I$4,9,FALSE)</f>
        <v>500000</v>
      </c>
      <c r="J539" s="9">
        <f t="shared" si="83"/>
        <v>625000</v>
      </c>
      <c r="K539" s="10">
        <f t="shared" si="84"/>
        <v>750000</v>
      </c>
      <c r="L539" s="9">
        <f t="shared" si="85"/>
        <v>1000000</v>
      </c>
      <c r="M539" s="8">
        <f t="shared" si="86"/>
        <v>1.317418</v>
      </c>
      <c r="N539" t="str">
        <f t="shared" si="87"/>
        <v>125-150%</v>
      </c>
      <c r="O539" s="9">
        <f>MIN($H539,$I539)*INDEX('2018_commission_structure'!$A$1:$I$4,MATCH($E539,'2018_commission_structure'!$A$1:$A$4,0),MATCH(O$1,'2018_commission_structure'!$A$1:$I$1,0))</f>
        <v>50000</v>
      </c>
      <c r="P539" s="9">
        <f>IF(H539&gt;I539, MIN(H539-I539, J539-I539)*INDEX('2018_commission_structure'!$A$1:$I$4,MATCH($E539,'2018_commission_structure'!$A$1:$A$4,0),MATCH(P$1,'2018_commission_structure'!$A$1:$I$1,0)),0)</f>
        <v>18750</v>
      </c>
      <c r="Q539" s="9">
        <f>IF($H539&gt;J539, MIN($H539-J539, K539-J539)*INDEX('2018_commission_structure'!$A$1:$I$4,MATCH($E539,'2018_commission_structure'!$A$1:$A$4,0),MATCH(Q$1,'2018_commission_structure'!$A$1:$I$1,0)),0)</f>
        <v>6067.62</v>
      </c>
      <c r="R539" s="9">
        <f>IF($H539&gt;K539, MIN($H539-K539, L539-K539)*INDEX('2018_commission_structure'!$A$1:$I$4,MATCH($E539,'2018_commission_structure'!$A$1:$A$4,0),MATCH(R$1,'2018_commission_structure'!$A$1:$I$1,0)),0)</f>
        <v>0</v>
      </c>
      <c r="S539" s="9">
        <f>IF(H539&gt;L539,(H539-L539)*INDEX('2018_commission_structure'!$A$1:$I$4,MATCH($E539,'2018_commission_structure'!$A$1:$A$4,0),MATCH(S$1,'2018_commission_structure'!$A$1:$I$1,0)),0)</f>
        <v>0</v>
      </c>
      <c r="T539" s="9">
        <f t="shared" si="88"/>
        <v>74817.62</v>
      </c>
      <c r="U539" s="9">
        <f t="shared" si="80"/>
        <v>116880.62</v>
      </c>
      <c r="V539" s="9">
        <f>MIN($I539,$H539)*INDEX('Key Metrics'!$E$16:$N$19,MATCH($E539,'Key Metrics'!$E$16:$E$19,0),MATCH(V$1,'Key Metrics'!$E$16:$M$16,0))</f>
        <v>60000</v>
      </c>
      <c r="W539" s="9">
        <f>IF($H539&gt;I539, MIN($H539-I539, J539-I539)*INDEX('Key Metrics'!$E$16:$N$19,MATCH($E539,'Key Metrics'!$E$16:$E$19,0),MATCH(W$1,'Key Metrics'!$E$16:$M$16,0)),0)</f>
        <v>21250</v>
      </c>
      <c r="X539" s="9">
        <f>IF($H539&gt;J539, MIN($H539-J539, K539-J539)*INDEX('Key Metrics'!$E$16:$N$19,MATCH($E539,'Key Metrics'!$E$16:$E$19,0),MATCH(X$1,'Key Metrics'!$E$16:$M$16,0)),0)</f>
        <v>6741.8</v>
      </c>
      <c r="Y539" s="9">
        <f>IF($H539&gt;K539, MIN($H539-K539, L539-K539)*INDEX('Key Metrics'!$E$16:$N$19,MATCH($E539,'Key Metrics'!$E$16:$E$19,0),MATCH(Y$1,'Key Metrics'!$E$16:$M$16,0)),0)</f>
        <v>0</v>
      </c>
      <c r="Z539" s="9">
        <f>IF($H539&gt;L539,($H539-L539)*INDEX('Key Metrics'!$E$16:$N$19,MATCH($E539,'Key Metrics'!$E$16:$E$19,0),MATCH(Z$1,'Key Metrics'!$E$16:$M$16,0)),0)</f>
        <v>0</v>
      </c>
      <c r="AA539" s="9">
        <f t="shared" si="89"/>
        <v>87991.8</v>
      </c>
      <c r="AB539" s="9">
        <f t="shared" si="81"/>
        <v>87993.117418000009</v>
      </c>
    </row>
    <row r="540" spans="1:28" x14ac:dyDescent="0.55000000000000004">
      <c r="A540" t="str">
        <f t="shared" si="82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COUNTIF(deals_closed!$D$2:$D$20001,Calculations!B665)</f>
        <v>23</v>
      </c>
      <c r="H540" s="7">
        <f>SUMIF(deals_closed!$D:$D,Calculations!B665,deals_closed!$C:$C)</f>
        <v>913755</v>
      </c>
      <c r="I540" s="5">
        <f>VLOOKUP(E540,'2018_commission_structure'!$A$1:$I$4,9,FALSE)</f>
        <v>600000</v>
      </c>
      <c r="J540" s="9">
        <f t="shared" si="83"/>
        <v>750000</v>
      </c>
      <c r="K540" s="10">
        <f t="shared" si="84"/>
        <v>900000</v>
      </c>
      <c r="L540" s="9">
        <f t="shared" si="85"/>
        <v>1200000</v>
      </c>
      <c r="M540" s="8">
        <f t="shared" si="86"/>
        <v>1.5229250000000001</v>
      </c>
      <c r="N540" t="str">
        <f t="shared" si="87"/>
        <v>150-200%</v>
      </c>
      <c r="O540" s="9">
        <f>MIN($H540,$I540)*INDEX('2018_commission_structure'!$A$1:$I$4,MATCH($E540,'2018_commission_structure'!$A$1:$A$4,0),MATCH(O$1,'2018_commission_structure'!$A$1:$I$1,0))</f>
        <v>78000</v>
      </c>
      <c r="P540" s="9">
        <f>IF(H540&gt;I540, MIN(H540-I540, J540-I540)*INDEX('2018_commission_structure'!$A$1:$I$4,MATCH($E540,'2018_commission_structure'!$A$1:$A$4,0),MATCH(P$1,'2018_commission_structure'!$A$1:$I$1,0)),0)</f>
        <v>25500.000000000004</v>
      </c>
      <c r="Q540" s="9">
        <f>IF($H540&gt;J540, MIN($H540-J540, K540-J540)*INDEX('2018_commission_structure'!$A$1:$I$4,MATCH($E540,'2018_commission_structure'!$A$1:$A$4,0),MATCH(Q$1,'2018_commission_structure'!$A$1:$I$1,0)),0)</f>
        <v>31500</v>
      </c>
      <c r="R540" s="9">
        <f>IF($H540&gt;K540, MIN($H540-K540, L540-K540)*INDEX('2018_commission_structure'!$A$1:$I$4,MATCH($E540,'2018_commission_structure'!$A$1:$A$4,0),MATCH(R$1,'2018_commission_structure'!$A$1:$I$1,0)),0)</f>
        <v>3576.3</v>
      </c>
      <c r="S540" s="9">
        <f>IF(H540&gt;L540,(H540-L540)*INDEX('2018_commission_structure'!$A$1:$I$4,MATCH($E540,'2018_commission_structure'!$A$1:$A$4,0),MATCH(S$1,'2018_commission_structure'!$A$1:$I$1,0)),0)</f>
        <v>0</v>
      </c>
      <c r="T540" s="9">
        <f t="shared" si="88"/>
        <v>138576.29999999999</v>
      </c>
      <c r="U540" s="9">
        <f t="shared" si="80"/>
        <v>201559.3</v>
      </c>
      <c r="V540" s="9">
        <f>MIN($I540,$H540)*INDEX('Key Metrics'!$E$16:$N$19,MATCH($E540,'Key Metrics'!$E$16:$E$19,0),MATCH(V$1,'Key Metrics'!$E$16:$M$16,0))</f>
        <v>90000</v>
      </c>
      <c r="W540" s="9">
        <f>IF($H540&gt;I540, MIN($H540-I540, J540-I540)*INDEX('Key Metrics'!$E$16:$N$19,MATCH($E540,'Key Metrics'!$E$16:$E$19,0),MATCH(W$1,'Key Metrics'!$E$16:$M$16,0)),0)</f>
        <v>27000</v>
      </c>
      <c r="X540" s="9">
        <f>IF($H540&gt;J540, MIN($H540-J540, K540-J540)*INDEX('Key Metrics'!$E$16:$N$19,MATCH($E540,'Key Metrics'!$E$16:$E$19,0),MATCH(X$1,'Key Metrics'!$E$16:$M$16,0)),0)</f>
        <v>37500</v>
      </c>
      <c r="Y540" s="9">
        <f>IF($H540&gt;K540, MIN($H540-K540, L540-K540)*INDEX('Key Metrics'!$E$16:$N$19,MATCH($E540,'Key Metrics'!$E$16:$E$19,0),MATCH(Y$1,'Key Metrics'!$E$16:$M$16,0)),0)</f>
        <v>4126.5</v>
      </c>
      <c r="Z540" s="9">
        <f>IF($H540&gt;L540,($H540-L540)*INDEX('Key Metrics'!$E$16:$N$19,MATCH($E540,'Key Metrics'!$E$16:$E$19,0),MATCH(Z$1,'Key Metrics'!$E$16:$M$16,0)),0)</f>
        <v>0</v>
      </c>
      <c r="AA540" s="9">
        <f t="shared" si="89"/>
        <v>158626.5</v>
      </c>
      <c r="AB540" s="9">
        <f t="shared" si="81"/>
        <v>158628.022925</v>
      </c>
    </row>
    <row r="541" spans="1:28" x14ac:dyDescent="0.55000000000000004">
      <c r="A541" t="str">
        <f t="shared" si="82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COUNTIF(deals_closed!$D$2:$D$20001,Calculations!B708)</f>
        <v>18</v>
      </c>
      <c r="H541" s="7">
        <f>SUMIF(deals_closed!$D:$D,Calculations!B708,deals_closed!$C:$C)</f>
        <v>543953</v>
      </c>
      <c r="I541" s="5">
        <f>VLOOKUP(E541,'2018_commission_structure'!$A$1:$I$4,9,FALSE)</f>
        <v>500000</v>
      </c>
      <c r="J541" s="9">
        <f t="shared" si="83"/>
        <v>625000</v>
      </c>
      <c r="K541" s="10">
        <f t="shared" si="84"/>
        <v>750000</v>
      </c>
      <c r="L541" s="9">
        <f t="shared" si="85"/>
        <v>1000000</v>
      </c>
      <c r="M541" s="8">
        <f t="shared" si="86"/>
        <v>1.087906</v>
      </c>
      <c r="N541" t="str">
        <f t="shared" si="87"/>
        <v>100-125%</v>
      </c>
      <c r="O541" s="9">
        <f>MIN($H541,$I541)*INDEX('2018_commission_structure'!$A$1:$I$4,MATCH($E541,'2018_commission_structure'!$A$1:$A$4,0),MATCH(O$1,'2018_commission_structure'!$A$1:$I$1,0))</f>
        <v>50000</v>
      </c>
      <c r="P541" s="9">
        <f>IF(H541&gt;I541, MIN(H541-I541, J541-I541)*INDEX('2018_commission_structure'!$A$1:$I$4,MATCH($E541,'2018_commission_structure'!$A$1:$A$4,0),MATCH(P$1,'2018_commission_structure'!$A$1:$I$1,0)),0)</f>
        <v>6592.95</v>
      </c>
      <c r="Q541" s="9">
        <f>IF($H541&gt;J541, MIN($H541-J541, K541-J541)*INDEX('2018_commission_structure'!$A$1:$I$4,MATCH($E541,'2018_commission_structure'!$A$1:$A$4,0),MATCH(Q$1,'2018_commission_structure'!$A$1:$I$1,0)),0)</f>
        <v>0</v>
      </c>
      <c r="R541" s="9">
        <f>IF($H541&gt;K541, MIN($H541-K541, L541-K541)*INDEX('2018_commission_structure'!$A$1:$I$4,MATCH($E541,'2018_commission_structure'!$A$1:$A$4,0),MATCH(R$1,'2018_commission_structure'!$A$1:$I$1,0)),0)</f>
        <v>0</v>
      </c>
      <c r="S541" s="9">
        <f>IF(H541&gt;L541,(H541-L541)*INDEX('2018_commission_structure'!$A$1:$I$4,MATCH($E541,'2018_commission_structure'!$A$1:$A$4,0),MATCH(S$1,'2018_commission_structure'!$A$1:$I$1,0)),0)</f>
        <v>0</v>
      </c>
      <c r="T541" s="9">
        <f t="shared" si="88"/>
        <v>56592.95</v>
      </c>
      <c r="U541" s="9">
        <f t="shared" si="80"/>
        <v>115549.95</v>
      </c>
      <c r="V541" s="9">
        <f>MIN($I541,$H541)*INDEX('Key Metrics'!$E$16:$N$19,MATCH($E541,'Key Metrics'!$E$16:$E$19,0),MATCH(V$1,'Key Metrics'!$E$16:$M$16,0))</f>
        <v>60000</v>
      </c>
      <c r="W541" s="9">
        <f>IF($H541&gt;I541, MIN($H541-I541, J541-I541)*INDEX('Key Metrics'!$E$16:$N$19,MATCH($E541,'Key Metrics'!$E$16:$E$19,0),MATCH(W$1,'Key Metrics'!$E$16:$M$16,0)),0)</f>
        <v>7472.01</v>
      </c>
      <c r="X541" s="9">
        <f>IF($H541&gt;J541, MIN($H541-J541, K541-J541)*INDEX('Key Metrics'!$E$16:$N$19,MATCH($E541,'Key Metrics'!$E$16:$E$19,0),MATCH(X$1,'Key Metrics'!$E$16:$M$16,0)),0)</f>
        <v>0</v>
      </c>
      <c r="Y541" s="9">
        <f>IF($H541&gt;K541, MIN($H541-K541, L541-K541)*INDEX('Key Metrics'!$E$16:$N$19,MATCH($E541,'Key Metrics'!$E$16:$E$19,0),MATCH(Y$1,'Key Metrics'!$E$16:$M$16,0)),0)</f>
        <v>0</v>
      </c>
      <c r="Z541" s="9">
        <f>IF($H541&gt;L541,($H541-L541)*INDEX('Key Metrics'!$E$16:$N$19,MATCH($E541,'Key Metrics'!$E$16:$E$19,0),MATCH(Z$1,'Key Metrics'!$E$16:$M$16,0)),0)</f>
        <v>0</v>
      </c>
      <c r="AA541" s="9">
        <f t="shared" si="89"/>
        <v>67472.009999999995</v>
      </c>
      <c r="AB541" s="9">
        <f t="shared" si="81"/>
        <v>67473.097905999995</v>
      </c>
    </row>
    <row r="542" spans="1:28" x14ac:dyDescent="0.55000000000000004">
      <c r="A542" t="str">
        <f t="shared" si="82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COUNTIF(deals_closed!$D$2:$D$20001,Calculations!B393)</f>
        <v>11</v>
      </c>
      <c r="H542" s="7">
        <f>SUMIF(deals_closed!$D:$D,Calculations!B393,deals_closed!$C:$C)</f>
        <v>371993</v>
      </c>
      <c r="I542" s="5">
        <f>VLOOKUP(E542,'2018_commission_structure'!$A$1:$I$4,9,FALSE)</f>
        <v>500000</v>
      </c>
      <c r="J542" s="9">
        <f t="shared" si="83"/>
        <v>625000</v>
      </c>
      <c r="K542" s="10">
        <f t="shared" si="84"/>
        <v>750000</v>
      </c>
      <c r="L542" s="9">
        <f t="shared" si="85"/>
        <v>1000000</v>
      </c>
      <c r="M542" s="8">
        <f t="shared" si="86"/>
        <v>0.74398600000000004</v>
      </c>
      <c r="N542" t="str">
        <f t="shared" si="87"/>
        <v>0-100%</v>
      </c>
      <c r="O542" s="9">
        <f>MIN($H542,$I542)*INDEX('2018_commission_structure'!$A$1:$I$4,MATCH($E542,'2018_commission_structure'!$A$1:$A$4,0),MATCH(O$1,'2018_commission_structure'!$A$1:$I$1,0))</f>
        <v>37199.300000000003</v>
      </c>
      <c r="P542" s="9">
        <f>IF(H542&gt;I542, MIN(H542-I542, J542-I542)*INDEX('2018_commission_structure'!$A$1:$I$4,MATCH($E542,'2018_commission_structure'!$A$1:$A$4,0),MATCH(P$1,'2018_commission_structure'!$A$1:$I$1,0)),0)</f>
        <v>0</v>
      </c>
      <c r="Q542" s="9">
        <f>IF($H542&gt;J542, MIN($H542-J542, K542-J542)*INDEX('2018_commission_structure'!$A$1:$I$4,MATCH($E542,'2018_commission_structure'!$A$1:$A$4,0),MATCH(Q$1,'2018_commission_structure'!$A$1:$I$1,0)),0)</f>
        <v>0</v>
      </c>
      <c r="R542" s="9">
        <f>IF($H542&gt;K542, MIN($H542-K542, L542-K542)*INDEX('2018_commission_structure'!$A$1:$I$4,MATCH($E542,'2018_commission_structure'!$A$1:$A$4,0),MATCH(R$1,'2018_commission_structure'!$A$1:$I$1,0)),0)</f>
        <v>0</v>
      </c>
      <c r="S542" s="9">
        <f>IF(H542&gt;L542,(H542-L542)*INDEX('2018_commission_structure'!$A$1:$I$4,MATCH($E542,'2018_commission_structure'!$A$1:$A$4,0),MATCH(S$1,'2018_commission_structure'!$A$1:$I$1,0)),0)</f>
        <v>0</v>
      </c>
      <c r="T542" s="9">
        <f t="shared" si="88"/>
        <v>37199.300000000003</v>
      </c>
      <c r="U542" s="9">
        <f t="shared" si="80"/>
        <v>76006.3</v>
      </c>
      <c r="V542" s="9">
        <f>MIN($I542,$H542)*INDEX('Key Metrics'!$E$16:$N$19,MATCH($E542,'Key Metrics'!$E$16:$E$19,0),MATCH(V$1,'Key Metrics'!$E$16:$M$16,0))</f>
        <v>44639.159999999996</v>
      </c>
      <c r="W542" s="9">
        <f>IF($H542&gt;I542, MIN($H542-I542, J542-I542)*INDEX('Key Metrics'!$E$16:$N$19,MATCH($E542,'Key Metrics'!$E$16:$E$19,0),MATCH(W$1,'Key Metrics'!$E$16:$M$16,0)),0)</f>
        <v>0</v>
      </c>
      <c r="X542" s="9">
        <f>IF($H542&gt;J542, MIN($H542-J542, K542-J542)*INDEX('Key Metrics'!$E$16:$N$19,MATCH($E542,'Key Metrics'!$E$16:$E$19,0),MATCH(X$1,'Key Metrics'!$E$16:$M$16,0)),0)</f>
        <v>0</v>
      </c>
      <c r="Y542" s="9">
        <f>IF($H542&gt;K542, MIN($H542-K542, L542-K542)*INDEX('Key Metrics'!$E$16:$N$19,MATCH($E542,'Key Metrics'!$E$16:$E$19,0),MATCH(Y$1,'Key Metrics'!$E$16:$M$16,0)),0)</f>
        <v>0</v>
      </c>
      <c r="Z542" s="9">
        <f>IF($H542&gt;L542,($H542-L542)*INDEX('Key Metrics'!$E$16:$N$19,MATCH($E542,'Key Metrics'!$E$16:$E$19,0),MATCH(Z$1,'Key Metrics'!$E$16:$M$16,0)),0)</f>
        <v>0</v>
      </c>
      <c r="AA542" s="9">
        <f t="shared" si="89"/>
        <v>44639.159999999996</v>
      </c>
      <c r="AB542" s="9">
        <f t="shared" si="81"/>
        <v>44639.903985999998</v>
      </c>
    </row>
    <row r="543" spans="1:28" x14ac:dyDescent="0.55000000000000004">
      <c r="A543" t="str">
        <f t="shared" si="82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COUNTIF(deals_closed!$D$2:$D$20001,Calculations!B44)</f>
        <v>28</v>
      </c>
      <c r="H543" s="7">
        <f>SUMIF(deals_closed!$D:$D,Calculations!B44,deals_closed!$C:$C)</f>
        <v>869554</v>
      </c>
      <c r="I543" s="5">
        <f>VLOOKUP(E543,'2018_commission_structure'!$A$1:$I$4,9,FALSE)</f>
        <v>600000</v>
      </c>
      <c r="J543" s="9">
        <f t="shared" si="83"/>
        <v>750000</v>
      </c>
      <c r="K543" s="10">
        <f t="shared" si="84"/>
        <v>900000</v>
      </c>
      <c r="L543" s="9">
        <f t="shared" si="85"/>
        <v>1200000</v>
      </c>
      <c r="M543" s="8">
        <f t="shared" si="86"/>
        <v>1.4492566666666666</v>
      </c>
      <c r="N543" t="str">
        <f t="shared" si="87"/>
        <v>125-150%</v>
      </c>
      <c r="O543" s="9">
        <f>MIN($H543,$I543)*INDEX('2018_commission_structure'!$A$1:$I$4,MATCH($E543,'2018_commission_structure'!$A$1:$A$4,0),MATCH(O$1,'2018_commission_structure'!$A$1:$I$1,0))</f>
        <v>78000</v>
      </c>
      <c r="P543" s="9">
        <f>IF(H543&gt;I543, MIN(H543-I543, J543-I543)*INDEX('2018_commission_structure'!$A$1:$I$4,MATCH($E543,'2018_commission_structure'!$A$1:$A$4,0),MATCH(P$1,'2018_commission_structure'!$A$1:$I$1,0)),0)</f>
        <v>25500.000000000004</v>
      </c>
      <c r="Q543" s="9">
        <f>IF($H543&gt;J543, MIN($H543-J543, K543-J543)*INDEX('2018_commission_structure'!$A$1:$I$4,MATCH($E543,'2018_commission_structure'!$A$1:$A$4,0),MATCH(Q$1,'2018_commission_structure'!$A$1:$I$1,0)),0)</f>
        <v>25106.34</v>
      </c>
      <c r="R543" s="9">
        <f>IF($H543&gt;K543, MIN($H543-K543, L543-K543)*INDEX('2018_commission_structure'!$A$1:$I$4,MATCH($E543,'2018_commission_structure'!$A$1:$A$4,0),MATCH(R$1,'2018_commission_structure'!$A$1:$I$1,0)),0)</f>
        <v>0</v>
      </c>
      <c r="S543" s="9">
        <f>IF(H543&gt;L543,(H543-L543)*INDEX('2018_commission_structure'!$A$1:$I$4,MATCH($E543,'2018_commission_structure'!$A$1:$A$4,0),MATCH(S$1,'2018_commission_structure'!$A$1:$I$1,0)),0)</f>
        <v>0</v>
      </c>
      <c r="T543" s="9">
        <f t="shared" si="88"/>
        <v>128606.34</v>
      </c>
      <c r="U543" s="9">
        <f t="shared" si="80"/>
        <v>202716.34</v>
      </c>
      <c r="V543" s="9">
        <f>MIN($I543,$H543)*INDEX('Key Metrics'!$E$16:$N$19,MATCH($E543,'Key Metrics'!$E$16:$E$19,0),MATCH(V$1,'Key Metrics'!$E$16:$M$16,0))</f>
        <v>90000</v>
      </c>
      <c r="W543" s="9">
        <f>IF($H543&gt;I543, MIN($H543-I543, J543-I543)*INDEX('Key Metrics'!$E$16:$N$19,MATCH($E543,'Key Metrics'!$E$16:$E$19,0),MATCH(W$1,'Key Metrics'!$E$16:$M$16,0)),0)</f>
        <v>27000</v>
      </c>
      <c r="X543" s="9">
        <f>IF($H543&gt;J543, MIN($H543-J543, K543-J543)*INDEX('Key Metrics'!$E$16:$N$19,MATCH($E543,'Key Metrics'!$E$16:$E$19,0),MATCH(X$1,'Key Metrics'!$E$16:$M$16,0)),0)</f>
        <v>29888.5</v>
      </c>
      <c r="Y543" s="9">
        <f>IF($H543&gt;K543, MIN($H543-K543, L543-K543)*INDEX('Key Metrics'!$E$16:$N$19,MATCH($E543,'Key Metrics'!$E$16:$E$19,0),MATCH(Y$1,'Key Metrics'!$E$16:$M$16,0)),0)</f>
        <v>0</v>
      </c>
      <c r="Z543" s="9">
        <f>IF($H543&gt;L543,($H543-L543)*INDEX('Key Metrics'!$E$16:$N$19,MATCH($E543,'Key Metrics'!$E$16:$E$19,0),MATCH(Z$1,'Key Metrics'!$E$16:$M$16,0)),0)</f>
        <v>0</v>
      </c>
      <c r="AA543" s="9">
        <f t="shared" si="89"/>
        <v>146888.5</v>
      </c>
      <c r="AB543" s="9">
        <f t="shared" si="81"/>
        <v>146889.94925666667</v>
      </c>
    </row>
    <row r="544" spans="1:28" x14ac:dyDescent="0.55000000000000004">
      <c r="A544" t="str">
        <f t="shared" si="82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COUNTIF(deals_closed!$D$2:$D$20001,Calculations!B400)</f>
        <v>23</v>
      </c>
      <c r="H544" s="7">
        <f>SUMIF(deals_closed!$D:$D,Calculations!B400,deals_closed!$C:$C)</f>
        <v>787765</v>
      </c>
      <c r="I544" s="5">
        <f>VLOOKUP(E544,'2018_commission_structure'!$A$1:$I$4,9,FALSE)</f>
        <v>600000</v>
      </c>
      <c r="J544" s="9">
        <f t="shared" si="83"/>
        <v>750000</v>
      </c>
      <c r="K544" s="10">
        <f t="shared" si="84"/>
        <v>900000</v>
      </c>
      <c r="L544" s="9">
        <f t="shared" si="85"/>
        <v>1200000</v>
      </c>
      <c r="M544" s="8">
        <f t="shared" si="86"/>
        <v>1.3129416666666667</v>
      </c>
      <c r="N544" t="str">
        <f t="shared" si="87"/>
        <v>125-150%</v>
      </c>
      <c r="O544" s="9">
        <f>MIN($H544,$I544)*INDEX('2018_commission_structure'!$A$1:$I$4,MATCH($E544,'2018_commission_structure'!$A$1:$A$4,0),MATCH(O$1,'2018_commission_structure'!$A$1:$I$1,0))</f>
        <v>78000</v>
      </c>
      <c r="P544" s="9">
        <f>IF(H544&gt;I544, MIN(H544-I544, J544-I544)*INDEX('2018_commission_structure'!$A$1:$I$4,MATCH($E544,'2018_commission_structure'!$A$1:$A$4,0),MATCH(P$1,'2018_commission_structure'!$A$1:$I$1,0)),0)</f>
        <v>25500.000000000004</v>
      </c>
      <c r="Q544" s="9">
        <f>IF($H544&gt;J544, MIN($H544-J544, K544-J544)*INDEX('2018_commission_structure'!$A$1:$I$4,MATCH($E544,'2018_commission_structure'!$A$1:$A$4,0),MATCH(Q$1,'2018_commission_structure'!$A$1:$I$1,0)),0)</f>
        <v>7930.65</v>
      </c>
      <c r="R544" s="9">
        <f>IF($H544&gt;K544, MIN($H544-K544, L544-K544)*INDEX('2018_commission_structure'!$A$1:$I$4,MATCH($E544,'2018_commission_structure'!$A$1:$A$4,0),MATCH(R$1,'2018_commission_structure'!$A$1:$I$1,0)),0)</f>
        <v>0</v>
      </c>
      <c r="S544" s="9">
        <f>IF(H544&gt;L544,(H544-L544)*INDEX('2018_commission_structure'!$A$1:$I$4,MATCH($E544,'2018_commission_structure'!$A$1:$A$4,0),MATCH(S$1,'2018_commission_structure'!$A$1:$I$1,0)),0)</f>
        <v>0</v>
      </c>
      <c r="T544" s="9">
        <f t="shared" si="88"/>
        <v>111430.65</v>
      </c>
      <c r="U544" s="9">
        <f t="shared" si="80"/>
        <v>176162.65</v>
      </c>
      <c r="V544" s="9">
        <f>MIN($I544,$H544)*INDEX('Key Metrics'!$E$16:$N$19,MATCH($E544,'Key Metrics'!$E$16:$E$19,0),MATCH(V$1,'Key Metrics'!$E$16:$M$16,0))</f>
        <v>90000</v>
      </c>
      <c r="W544" s="9">
        <f>IF($H544&gt;I544, MIN($H544-I544, J544-I544)*INDEX('Key Metrics'!$E$16:$N$19,MATCH($E544,'Key Metrics'!$E$16:$E$19,0),MATCH(W$1,'Key Metrics'!$E$16:$M$16,0)),0)</f>
        <v>27000</v>
      </c>
      <c r="X544" s="9">
        <f>IF($H544&gt;J544, MIN($H544-J544, K544-J544)*INDEX('Key Metrics'!$E$16:$N$19,MATCH($E544,'Key Metrics'!$E$16:$E$19,0),MATCH(X$1,'Key Metrics'!$E$16:$M$16,0)),0)</f>
        <v>9441.25</v>
      </c>
      <c r="Y544" s="9">
        <f>IF($H544&gt;K544, MIN($H544-K544, L544-K544)*INDEX('Key Metrics'!$E$16:$N$19,MATCH($E544,'Key Metrics'!$E$16:$E$19,0),MATCH(Y$1,'Key Metrics'!$E$16:$M$16,0)),0)</f>
        <v>0</v>
      </c>
      <c r="Z544" s="9">
        <f>IF($H544&gt;L544,($H544-L544)*INDEX('Key Metrics'!$E$16:$N$19,MATCH($E544,'Key Metrics'!$E$16:$E$19,0),MATCH(Z$1,'Key Metrics'!$E$16:$M$16,0)),0)</f>
        <v>0</v>
      </c>
      <c r="AA544" s="9">
        <f t="shared" si="89"/>
        <v>126441.25</v>
      </c>
      <c r="AB544" s="9">
        <f t="shared" si="81"/>
        <v>126442.56294166666</v>
      </c>
    </row>
    <row r="545" spans="1:28" x14ac:dyDescent="0.55000000000000004">
      <c r="A545" t="str">
        <f t="shared" si="82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COUNTIF(deals_closed!$D$2:$D$20001,Calculations!B562)</f>
        <v>28</v>
      </c>
      <c r="H545" s="7">
        <f>SUMIF(deals_closed!$D:$D,Calculations!B562,deals_closed!$C:$C)</f>
        <v>988078</v>
      </c>
      <c r="I545" s="5">
        <f>VLOOKUP(E545,'2018_commission_structure'!$A$1:$I$4,9,FALSE)</f>
        <v>500000</v>
      </c>
      <c r="J545" s="9">
        <f t="shared" si="83"/>
        <v>625000</v>
      </c>
      <c r="K545" s="10">
        <f t="shared" si="84"/>
        <v>750000</v>
      </c>
      <c r="L545" s="9">
        <f t="shared" si="85"/>
        <v>1000000</v>
      </c>
      <c r="M545" s="8">
        <f t="shared" si="86"/>
        <v>1.976156</v>
      </c>
      <c r="N545" t="str">
        <f t="shared" si="87"/>
        <v>150-200%</v>
      </c>
      <c r="O545" s="9">
        <f>MIN($H545,$I545)*INDEX('2018_commission_structure'!$A$1:$I$4,MATCH($E545,'2018_commission_structure'!$A$1:$A$4,0),MATCH(O$1,'2018_commission_structure'!$A$1:$I$1,0))</f>
        <v>50000</v>
      </c>
      <c r="P545" s="9">
        <f>IF(H545&gt;I545, MIN(H545-I545, J545-I545)*INDEX('2018_commission_structure'!$A$1:$I$4,MATCH($E545,'2018_commission_structure'!$A$1:$A$4,0),MATCH(P$1,'2018_commission_structure'!$A$1:$I$1,0)),0)</f>
        <v>18750</v>
      </c>
      <c r="Q545" s="9">
        <f>IF($H545&gt;J545, MIN($H545-J545, K545-J545)*INDEX('2018_commission_structure'!$A$1:$I$4,MATCH($E545,'2018_commission_structure'!$A$1:$A$4,0),MATCH(Q$1,'2018_commission_structure'!$A$1:$I$1,0)),0)</f>
        <v>22500</v>
      </c>
      <c r="R545" s="9">
        <f>IF($H545&gt;K545, MIN($H545-K545, L545-K545)*INDEX('2018_commission_structure'!$A$1:$I$4,MATCH($E545,'2018_commission_structure'!$A$1:$A$4,0),MATCH(R$1,'2018_commission_structure'!$A$1:$I$1,0)),0)</f>
        <v>52377.16</v>
      </c>
      <c r="S545" s="9">
        <f>IF(H545&gt;L545,(H545-L545)*INDEX('2018_commission_structure'!$A$1:$I$4,MATCH($E545,'2018_commission_structure'!$A$1:$A$4,0),MATCH(S$1,'2018_commission_structure'!$A$1:$I$1,0)),0)</f>
        <v>0</v>
      </c>
      <c r="T545" s="9">
        <f t="shared" si="88"/>
        <v>143627.16</v>
      </c>
      <c r="U545" s="9">
        <f t="shared" si="80"/>
        <v>177203.16</v>
      </c>
      <c r="V545" s="9">
        <f>MIN($I545,$H545)*INDEX('Key Metrics'!$E$16:$N$19,MATCH($E545,'Key Metrics'!$E$16:$E$19,0),MATCH(V$1,'Key Metrics'!$E$16:$M$16,0))</f>
        <v>60000</v>
      </c>
      <c r="W545" s="9">
        <f>IF($H545&gt;I545, MIN($H545-I545, J545-I545)*INDEX('Key Metrics'!$E$16:$N$19,MATCH($E545,'Key Metrics'!$E$16:$E$19,0),MATCH(W$1,'Key Metrics'!$E$16:$M$16,0)),0)</f>
        <v>21250</v>
      </c>
      <c r="X545" s="9">
        <f>IF($H545&gt;J545, MIN($H545-J545, K545-J545)*INDEX('Key Metrics'!$E$16:$N$19,MATCH($E545,'Key Metrics'!$E$16:$E$19,0),MATCH(X$1,'Key Metrics'!$E$16:$M$16,0)),0)</f>
        <v>25000</v>
      </c>
      <c r="Y545" s="9">
        <f>IF($H545&gt;K545, MIN($H545-K545, L545-K545)*INDEX('Key Metrics'!$E$16:$N$19,MATCH($E545,'Key Metrics'!$E$16:$E$19,0),MATCH(Y$1,'Key Metrics'!$E$16:$M$16,0)),0)</f>
        <v>52377.16</v>
      </c>
      <c r="Z545" s="9">
        <f>IF($H545&gt;L545,($H545-L545)*INDEX('Key Metrics'!$E$16:$N$19,MATCH($E545,'Key Metrics'!$E$16:$E$19,0),MATCH(Z$1,'Key Metrics'!$E$16:$M$16,0)),0)</f>
        <v>0</v>
      </c>
      <c r="AA545" s="9">
        <f t="shared" si="89"/>
        <v>158627.16</v>
      </c>
      <c r="AB545" s="9">
        <f t="shared" si="81"/>
        <v>158629.13615599999</v>
      </c>
    </row>
    <row r="546" spans="1:28" x14ac:dyDescent="0.55000000000000004">
      <c r="A546" t="str">
        <f t="shared" si="82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COUNTIF(deals_closed!$D$2:$D$20001,Calculations!B509)</f>
        <v>18</v>
      </c>
      <c r="H546" s="7">
        <f>SUMIF(deals_closed!$D:$D,Calculations!B509,deals_closed!$C:$C)</f>
        <v>720527</v>
      </c>
      <c r="I546" s="5">
        <f>VLOOKUP(E546,'2018_commission_structure'!$A$1:$I$4,9,FALSE)</f>
        <v>600000</v>
      </c>
      <c r="J546" s="9">
        <f t="shared" si="83"/>
        <v>750000</v>
      </c>
      <c r="K546" s="10">
        <f t="shared" si="84"/>
        <v>900000</v>
      </c>
      <c r="L546" s="9">
        <f t="shared" si="85"/>
        <v>1200000</v>
      </c>
      <c r="M546" s="8">
        <f t="shared" si="86"/>
        <v>1.2008783333333333</v>
      </c>
      <c r="N546" t="str">
        <f t="shared" si="87"/>
        <v>100-125%</v>
      </c>
      <c r="O546" s="9">
        <f>MIN($H546,$I546)*INDEX('2018_commission_structure'!$A$1:$I$4,MATCH($E546,'2018_commission_structure'!$A$1:$A$4,0),MATCH(O$1,'2018_commission_structure'!$A$1:$I$1,0))</f>
        <v>78000</v>
      </c>
      <c r="P546" s="9">
        <f>IF(H546&gt;I546, MIN(H546-I546, J546-I546)*INDEX('2018_commission_structure'!$A$1:$I$4,MATCH($E546,'2018_commission_structure'!$A$1:$A$4,0),MATCH(P$1,'2018_commission_structure'!$A$1:$I$1,0)),0)</f>
        <v>20489.59</v>
      </c>
      <c r="Q546" s="9">
        <f>IF($H546&gt;J546, MIN($H546-J546, K546-J546)*INDEX('2018_commission_structure'!$A$1:$I$4,MATCH($E546,'2018_commission_structure'!$A$1:$A$4,0),MATCH(Q$1,'2018_commission_structure'!$A$1:$I$1,0)),0)</f>
        <v>0</v>
      </c>
      <c r="R546" s="9">
        <f>IF($H546&gt;K546, MIN($H546-K546, L546-K546)*INDEX('2018_commission_structure'!$A$1:$I$4,MATCH($E546,'2018_commission_structure'!$A$1:$A$4,0),MATCH(R$1,'2018_commission_structure'!$A$1:$I$1,0)),0)</f>
        <v>0</v>
      </c>
      <c r="S546" s="9">
        <f>IF(H546&gt;L546,(H546-L546)*INDEX('2018_commission_structure'!$A$1:$I$4,MATCH($E546,'2018_commission_structure'!$A$1:$A$4,0),MATCH(S$1,'2018_commission_structure'!$A$1:$I$1,0)),0)</f>
        <v>0</v>
      </c>
      <c r="T546" s="9">
        <f t="shared" si="88"/>
        <v>98489.59</v>
      </c>
      <c r="U546" s="9">
        <f t="shared" ref="U546:U609" si="90">F546+T546</f>
        <v>161287.59</v>
      </c>
      <c r="V546" s="9">
        <f>MIN($I546,$H546)*INDEX('Key Metrics'!$E$16:$N$19,MATCH($E546,'Key Metrics'!$E$16:$E$19,0),MATCH(V$1,'Key Metrics'!$E$16:$M$16,0))</f>
        <v>90000</v>
      </c>
      <c r="W546" s="9">
        <f>IF($H546&gt;I546, MIN($H546-I546, J546-I546)*INDEX('Key Metrics'!$E$16:$N$19,MATCH($E546,'Key Metrics'!$E$16:$E$19,0),MATCH(W$1,'Key Metrics'!$E$16:$M$16,0)),0)</f>
        <v>21694.86</v>
      </c>
      <c r="X546" s="9">
        <f>IF($H546&gt;J546, MIN($H546-J546, K546-J546)*INDEX('Key Metrics'!$E$16:$N$19,MATCH($E546,'Key Metrics'!$E$16:$E$19,0),MATCH(X$1,'Key Metrics'!$E$16:$M$16,0)),0)</f>
        <v>0</v>
      </c>
      <c r="Y546" s="9">
        <f>IF($H546&gt;K546, MIN($H546-K546, L546-K546)*INDEX('Key Metrics'!$E$16:$N$19,MATCH($E546,'Key Metrics'!$E$16:$E$19,0),MATCH(Y$1,'Key Metrics'!$E$16:$M$16,0)),0)</f>
        <v>0</v>
      </c>
      <c r="Z546" s="9">
        <f>IF($H546&gt;L546,($H546-L546)*INDEX('Key Metrics'!$E$16:$N$19,MATCH($E546,'Key Metrics'!$E$16:$E$19,0),MATCH(Z$1,'Key Metrics'!$E$16:$M$16,0)),0)</f>
        <v>0</v>
      </c>
      <c r="AA546" s="9">
        <f t="shared" si="89"/>
        <v>111694.86</v>
      </c>
      <c r="AB546" s="9">
        <f t="shared" ref="AB546:AB609" si="91">M546+AA546</f>
        <v>111696.06087833333</v>
      </c>
    </row>
    <row r="547" spans="1:28" x14ac:dyDescent="0.55000000000000004">
      <c r="A547" t="str">
        <f t="shared" si="82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COUNTIF(deals_closed!$D$2:$D$20001,Calculations!B342)</f>
        <v>25</v>
      </c>
      <c r="H547" s="7">
        <f>SUMIF(deals_closed!$D:$D,Calculations!B342,deals_closed!$C:$C)</f>
        <v>944716</v>
      </c>
      <c r="I547" s="5">
        <f>VLOOKUP(E547,'2018_commission_structure'!$A$1:$I$4,9,FALSE)</f>
        <v>600000</v>
      </c>
      <c r="J547" s="9">
        <f t="shared" si="83"/>
        <v>750000</v>
      </c>
      <c r="K547" s="10">
        <f t="shared" si="84"/>
        <v>900000</v>
      </c>
      <c r="L547" s="9">
        <f t="shared" si="85"/>
        <v>1200000</v>
      </c>
      <c r="M547" s="8">
        <f t="shared" si="86"/>
        <v>1.5745266666666666</v>
      </c>
      <c r="N547" t="str">
        <f t="shared" si="87"/>
        <v>150-200%</v>
      </c>
      <c r="O547" s="9">
        <f>MIN($H547,$I547)*INDEX('2018_commission_structure'!$A$1:$I$4,MATCH($E547,'2018_commission_structure'!$A$1:$A$4,0),MATCH(O$1,'2018_commission_structure'!$A$1:$I$1,0))</f>
        <v>78000</v>
      </c>
      <c r="P547" s="9">
        <f>IF(H547&gt;I547, MIN(H547-I547, J547-I547)*INDEX('2018_commission_structure'!$A$1:$I$4,MATCH($E547,'2018_commission_structure'!$A$1:$A$4,0),MATCH(P$1,'2018_commission_structure'!$A$1:$I$1,0)),0)</f>
        <v>25500.000000000004</v>
      </c>
      <c r="Q547" s="9">
        <f>IF($H547&gt;J547, MIN($H547-J547, K547-J547)*INDEX('2018_commission_structure'!$A$1:$I$4,MATCH($E547,'2018_commission_structure'!$A$1:$A$4,0),MATCH(Q$1,'2018_commission_structure'!$A$1:$I$1,0)),0)</f>
        <v>31500</v>
      </c>
      <c r="R547" s="9">
        <f>IF($H547&gt;K547, MIN($H547-K547, L547-K547)*INDEX('2018_commission_structure'!$A$1:$I$4,MATCH($E547,'2018_commission_structure'!$A$1:$A$4,0),MATCH(R$1,'2018_commission_structure'!$A$1:$I$1,0)),0)</f>
        <v>11626.16</v>
      </c>
      <c r="S547" s="9">
        <f>IF(H547&gt;L547,(H547-L547)*INDEX('2018_commission_structure'!$A$1:$I$4,MATCH($E547,'2018_commission_structure'!$A$1:$A$4,0),MATCH(S$1,'2018_commission_structure'!$A$1:$I$1,0)),0)</f>
        <v>0</v>
      </c>
      <c r="T547" s="9">
        <f t="shared" si="88"/>
        <v>146626.16</v>
      </c>
      <c r="U547" s="9">
        <f t="shared" si="90"/>
        <v>197626.16</v>
      </c>
      <c r="V547" s="9">
        <f>MIN($I547,$H547)*INDEX('Key Metrics'!$E$16:$N$19,MATCH($E547,'Key Metrics'!$E$16:$E$19,0),MATCH(V$1,'Key Metrics'!$E$16:$M$16,0))</f>
        <v>90000</v>
      </c>
      <c r="W547" s="9">
        <f>IF($H547&gt;I547, MIN($H547-I547, J547-I547)*INDEX('Key Metrics'!$E$16:$N$19,MATCH($E547,'Key Metrics'!$E$16:$E$19,0),MATCH(W$1,'Key Metrics'!$E$16:$M$16,0)),0)</f>
        <v>27000</v>
      </c>
      <c r="X547" s="9">
        <f>IF($H547&gt;J547, MIN($H547-J547, K547-J547)*INDEX('Key Metrics'!$E$16:$N$19,MATCH($E547,'Key Metrics'!$E$16:$E$19,0),MATCH(X$1,'Key Metrics'!$E$16:$M$16,0)),0)</f>
        <v>37500</v>
      </c>
      <c r="Y547" s="9">
        <f>IF($H547&gt;K547, MIN($H547-K547, L547-K547)*INDEX('Key Metrics'!$E$16:$N$19,MATCH($E547,'Key Metrics'!$E$16:$E$19,0),MATCH(Y$1,'Key Metrics'!$E$16:$M$16,0)),0)</f>
        <v>13414.8</v>
      </c>
      <c r="Z547" s="9">
        <f>IF($H547&gt;L547,($H547-L547)*INDEX('Key Metrics'!$E$16:$N$19,MATCH($E547,'Key Metrics'!$E$16:$E$19,0),MATCH(Z$1,'Key Metrics'!$E$16:$M$16,0)),0)</f>
        <v>0</v>
      </c>
      <c r="AA547" s="9">
        <f t="shared" si="89"/>
        <v>167914.8</v>
      </c>
      <c r="AB547" s="9">
        <f t="shared" si="91"/>
        <v>167916.37452666665</v>
      </c>
    </row>
    <row r="548" spans="1:28" x14ac:dyDescent="0.55000000000000004">
      <c r="A548" t="str">
        <f t="shared" si="82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COUNTIF(deals_closed!$D$2:$D$20001,Calculations!B196)</f>
        <v>20</v>
      </c>
      <c r="H548" s="7">
        <f>SUMIF(deals_closed!$D:$D,Calculations!B196,deals_closed!$C:$C)</f>
        <v>729594</v>
      </c>
      <c r="I548" s="5">
        <f>VLOOKUP(E548,'2018_commission_structure'!$A$1:$I$4,9,FALSE)</f>
        <v>600000</v>
      </c>
      <c r="J548" s="9">
        <f t="shared" si="83"/>
        <v>750000</v>
      </c>
      <c r="K548" s="10">
        <f t="shared" si="84"/>
        <v>900000</v>
      </c>
      <c r="L548" s="9">
        <f t="shared" si="85"/>
        <v>1200000</v>
      </c>
      <c r="M548" s="8">
        <f t="shared" si="86"/>
        <v>1.2159899999999999</v>
      </c>
      <c r="N548" t="str">
        <f t="shared" si="87"/>
        <v>100-125%</v>
      </c>
      <c r="O548" s="9">
        <f>MIN($H548,$I548)*INDEX('2018_commission_structure'!$A$1:$I$4,MATCH($E548,'2018_commission_structure'!$A$1:$A$4,0),MATCH(O$1,'2018_commission_structure'!$A$1:$I$1,0))</f>
        <v>78000</v>
      </c>
      <c r="P548" s="9">
        <f>IF(H548&gt;I548, MIN(H548-I548, J548-I548)*INDEX('2018_commission_structure'!$A$1:$I$4,MATCH($E548,'2018_commission_structure'!$A$1:$A$4,0),MATCH(P$1,'2018_commission_structure'!$A$1:$I$1,0)),0)</f>
        <v>22030.980000000003</v>
      </c>
      <c r="Q548" s="9">
        <f>IF($H548&gt;J548, MIN($H548-J548, K548-J548)*INDEX('2018_commission_structure'!$A$1:$I$4,MATCH($E548,'2018_commission_structure'!$A$1:$A$4,0),MATCH(Q$1,'2018_commission_structure'!$A$1:$I$1,0)),0)</f>
        <v>0</v>
      </c>
      <c r="R548" s="9">
        <f>IF($H548&gt;K548, MIN($H548-K548, L548-K548)*INDEX('2018_commission_structure'!$A$1:$I$4,MATCH($E548,'2018_commission_structure'!$A$1:$A$4,0),MATCH(R$1,'2018_commission_structure'!$A$1:$I$1,0)),0)</f>
        <v>0</v>
      </c>
      <c r="S548" s="9">
        <f>IF(H548&gt;L548,(H548-L548)*INDEX('2018_commission_structure'!$A$1:$I$4,MATCH($E548,'2018_commission_structure'!$A$1:$A$4,0),MATCH(S$1,'2018_commission_structure'!$A$1:$I$1,0)),0)</f>
        <v>0</v>
      </c>
      <c r="T548" s="9">
        <f t="shared" si="88"/>
        <v>100030.98000000001</v>
      </c>
      <c r="U548" s="9">
        <f t="shared" si="90"/>
        <v>174535.98</v>
      </c>
      <c r="V548" s="9">
        <f>MIN($I548,$H548)*INDEX('Key Metrics'!$E$16:$N$19,MATCH($E548,'Key Metrics'!$E$16:$E$19,0),MATCH(V$1,'Key Metrics'!$E$16:$M$16,0))</f>
        <v>90000</v>
      </c>
      <c r="W548" s="9">
        <f>IF($H548&gt;I548, MIN($H548-I548, J548-I548)*INDEX('Key Metrics'!$E$16:$N$19,MATCH($E548,'Key Metrics'!$E$16:$E$19,0),MATCH(W$1,'Key Metrics'!$E$16:$M$16,0)),0)</f>
        <v>23326.92</v>
      </c>
      <c r="X548" s="9">
        <f>IF($H548&gt;J548, MIN($H548-J548, K548-J548)*INDEX('Key Metrics'!$E$16:$N$19,MATCH($E548,'Key Metrics'!$E$16:$E$19,0),MATCH(X$1,'Key Metrics'!$E$16:$M$16,0)),0)</f>
        <v>0</v>
      </c>
      <c r="Y548" s="9">
        <f>IF($H548&gt;K548, MIN($H548-K548, L548-K548)*INDEX('Key Metrics'!$E$16:$N$19,MATCH($E548,'Key Metrics'!$E$16:$E$19,0),MATCH(Y$1,'Key Metrics'!$E$16:$M$16,0)),0)</f>
        <v>0</v>
      </c>
      <c r="Z548" s="9">
        <f>IF($H548&gt;L548,($H548-L548)*INDEX('Key Metrics'!$E$16:$N$19,MATCH($E548,'Key Metrics'!$E$16:$E$19,0),MATCH(Z$1,'Key Metrics'!$E$16:$M$16,0)),0)</f>
        <v>0</v>
      </c>
      <c r="AA548" s="9">
        <f t="shared" si="89"/>
        <v>113326.92</v>
      </c>
      <c r="AB548" s="9">
        <f t="shared" si="91"/>
        <v>113328.13599</v>
      </c>
    </row>
    <row r="549" spans="1:28" x14ac:dyDescent="0.55000000000000004">
      <c r="A549" t="str">
        <f t="shared" si="82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COUNTIF(deals_closed!$D$2:$D$20001,Calculations!B667)</f>
        <v>22</v>
      </c>
      <c r="H549" s="7">
        <f>SUMIF(deals_closed!$D:$D,Calculations!B667,deals_closed!$C:$C)</f>
        <v>679046</v>
      </c>
      <c r="I549" s="5">
        <f>VLOOKUP(E549,'2018_commission_structure'!$A$1:$I$4,9,FALSE)</f>
        <v>500000</v>
      </c>
      <c r="J549" s="9">
        <f t="shared" si="83"/>
        <v>625000</v>
      </c>
      <c r="K549" s="10">
        <f t="shared" si="84"/>
        <v>750000</v>
      </c>
      <c r="L549" s="9">
        <f t="shared" si="85"/>
        <v>1000000</v>
      </c>
      <c r="M549" s="8">
        <f t="shared" si="86"/>
        <v>1.3580920000000001</v>
      </c>
      <c r="N549" t="str">
        <f t="shared" si="87"/>
        <v>125-150%</v>
      </c>
      <c r="O549" s="9">
        <f>MIN($H549,$I549)*INDEX('2018_commission_structure'!$A$1:$I$4,MATCH($E549,'2018_commission_structure'!$A$1:$A$4,0),MATCH(O$1,'2018_commission_structure'!$A$1:$I$1,0))</f>
        <v>50000</v>
      </c>
      <c r="P549" s="9">
        <f>IF(H549&gt;I549, MIN(H549-I549, J549-I549)*INDEX('2018_commission_structure'!$A$1:$I$4,MATCH($E549,'2018_commission_structure'!$A$1:$A$4,0),MATCH(P$1,'2018_commission_structure'!$A$1:$I$1,0)),0)</f>
        <v>18750</v>
      </c>
      <c r="Q549" s="9">
        <f>IF($H549&gt;J549, MIN($H549-J549, K549-J549)*INDEX('2018_commission_structure'!$A$1:$I$4,MATCH($E549,'2018_commission_structure'!$A$1:$A$4,0),MATCH(Q$1,'2018_commission_structure'!$A$1:$I$1,0)),0)</f>
        <v>9728.2799999999988</v>
      </c>
      <c r="R549" s="9">
        <f>IF($H549&gt;K549, MIN($H549-K549, L549-K549)*INDEX('2018_commission_structure'!$A$1:$I$4,MATCH($E549,'2018_commission_structure'!$A$1:$A$4,0),MATCH(R$1,'2018_commission_structure'!$A$1:$I$1,0)),0)</f>
        <v>0</v>
      </c>
      <c r="S549" s="9">
        <f>IF(H549&gt;L549,(H549-L549)*INDEX('2018_commission_structure'!$A$1:$I$4,MATCH($E549,'2018_commission_structure'!$A$1:$A$4,0),MATCH(S$1,'2018_commission_structure'!$A$1:$I$1,0)),0)</f>
        <v>0</v>
      </c>
      <c r="T549" s="9">
        <f t="shared" si="88"/>
        <v>78478.28</v>
      </c>
      <c r="U549" s="9">
        <f t="shared" si="90"/>
        <v>134875.28</v>
      </c>
      <c r="V549" s="9">
        <f>MIN($I549,$H549)*INDEX('Key Metrics'!$E$16:$N$19,MATCH($E549,'Key Metrics'!$E$16:$E$19,0),MATCH(V$1,'Key Metrics'!$E$16:$M$16,0))</f>
        <v>60000</v>
      </c>
      <c r="W549" s="9">
        <f>IF($H549&gt;I549, MIN($H549-I549, J549-I549)*INDEX('Key Metrics'!$E$16:$N$19,MATCH($E549,'Key Metrics'!$E$16:$E$19,0),MATCH(W$1,'Key Metrics'!$E$16:$M$16,0)),0)</f>
        <v>21250</v>
      </c>
      <c r="X549" s="9">
        <f>IF($H549&gt;J549, MIN($H549-J549, K549-J549)*INDEX('Key Metrics'!$E$16:$N$19,MATCH($E549,'Key Metrics'!$E$16:$E$19,0),MATCH(X$1,'Key Metrics'!$E$16:$M$16,0)),0)</f>
        <v>10809.2</v>
      </c>
      <c r="Y549" s="9">
        <f>IF($H549&gt;K549, MIN($H549-K549, L549-K549)*INDEX('Key Metrics'!$E$16:$N$19,MATCH($E549,'Key Metrics'!$E$16:$E$19,0),MATCH(Y$1,'Key Metrics'!$E$16:$M$16,0)),0)</f>
        <v>0</v>
      </c>
      <c r="Z549" s="9">
        <f>IF($H549&gt;L549,($H549-L549)*INDEX('Key Metrics'!$E$16:$N$19,MATCH($E549,'Key Metrics'!$E$16:$E$19,0),MATCH(Z$1,'Key Metrics'!$E$16:$M$16,0)),0)</f>
        <v>0</v>
      </c>
      <c r="AA549" s="9">
        <f t="shared" si="89"/>
        <v>92059.199999999997</v>
      </c>
      <c r="AB549" s="9">
        <f t="shared" si="91"/>
        <v>92060.558091999992</v>
      </c>
    </row>
    <row r="550" spans="1:28" x14ac:dyDescent="0.55000000000000004">
      <c r="A550" t="str">
        <f t="shared" si="82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COUNTIF(deals_closed!$D$2:$D$20001,Calculations!B817)</f>
        <v>25</v>
      </c>
      <c r="H550" s="7">
        <f>SUMIF(deals_closed!$D:$D,Calculations!B817,deals_closed!$C:$C)</f>
        <v>847244</v>
      </c>
      <c r="I550" s="5">
        <f>VLOOKUP(E550,'2018_commission_structure'!$A$1:$I$4,9,FALSE)</f>
        <v>500000</v>
      </c>
      <c r="J550" s="9">
        <f t="shared" si="83"/>
        <v>625000</v>
      </c>
      <c r="K550" s="10">
        <f t="shared" si="84"/>
        <v>750000</v>
      </c>
      <c r="L550" s="9">
        <f t="shared" si="85"/>
        <v>1000000</v>
      </c>
      <c r="M550" s="8">
        <f t="shared" si="86"/>
        <v>1.694488</v>
      </c>
      <c r="N550" t="str">
        <f t="shared" si="87"/>
        <v>150-200%</v>
      </c>
      <c r="O550" s="9">
        <f>MIN($H550,$I550)*INDEX('2018_commission_structure'!$A$1:$I$4,MATCH($E550,'2018_commission_structure'!$A$1:$A$4,0),MATCH(O$1,'2018_commission_structure'!$A$1:$I$1,0))</f>
        <v>50000</v>
      </c>
      <c r="P550" s="9">
        <f>IF(H550&gt;I550, MIN(H550-I550, J550-I550)*INDEX('2018_commission_structure'!$A$1:$I$4,MATCH($E550,'2018_commission_structure'!$A$1:$A$4,0),MATCH(P$1,'2018_commission_structure'!$A$1:$I$1,0)),0)</f>
        <v>18750</v>
      </c>
      <c r="Q550" s="9">
        <f>IF($H550&gt;J550, MIN($H550-J550, K550-J550)*INDEX('2018_commission_structure'!$A$1:$I$4,MATCH($E550,'2018_commission_structure'!$A$1:$A$4,0),MATCH(Q$1,'2018_commission_structure'!$A$1:$I$1,0)),0)</f>
        <v>22500</v>
      </c>
      <c r="R550" s="9">
        <f>IF($H550&gt;K550, MIN($H550-K550, L550-K550)*INDEX('2018_commission_structure'!$A$1:$I$4,MATCH($E550,'2018_commission_structure'!$A$1:$A$4,0),MATCH(R$1,'2018_commission_structure'!$A$1:$I$1,0)),0)</f>
        <v>21393.68</v>
      </c>
      <c r="S550" s="9">
        <f>IF(H550&gt;L550,(H550-L550)*INDEX('2018_commission_structure'!$A$1:$I$4,MATCH($E550,'2018_commission_structure'!$A$1:$A$4,0),MATCH(S$1,'2018_commission_structure'!$A$1:$I$1,0)),0)</f>
        <v>0</v>
      </c>
      <c r="T550" s="9">
        <f t="shared" si="88"/>
        <v>112643.68</v>
      </c>
      <c r="U550" s="9">
        <f t="shared" si="90"/>
        <v>163180.68</v>
      </c>
      <c r="V550" s="9">
        <f>MIN($I550,$H550)*INDEX('Key Metrics'!$E$16:$N$19,MATCH($E550,'Key Metrics'!$E$16:$E$19,0),MATCH(V$1,'Key Metrics'!$E$16:$M$16,0))</f>
        <v>60000</v>
      </c>
      <c r="W550" s="9">
        <f>IF($H550&gt;I550, MIN($H550-I550, J550-I550)*INDEX('Key Metrics'!$E$16:$N$19,MATCH($E550,'Key Metrics'!$E$16:$E$19,0),MATCH(W$1,'Key Metrics'!$E$16:$M$16,0)),0)</f>
        <v>21250</v>
      </c>
      <c r="X550" s="9">
        <f>IF($H550&gt;J550, MIN($H550-J550, K550-J550)*INDEX('Key Metrics'!$E$16:$N$19,MATCH($E550,'Key Metrics'!$E$16:$E$19,0),MATCH(X$1,'Key Metrics'!$E$16:$M$16,0)),0)</f>
        <v>25000</v>
      </c>
      <c r="Y550" s="9">
        <f>IF($H550&gt;K550, MIN($H550-K550, L550-K550)*INDEX('Key Metrics'!$E$16:$N$19,MATCH($E550,'Key Metrics'!$E$16:$E$19,0),MATCH(Y$1,'Key Metrics'!$E$16:$M$16,0)),0)</f>
        <v>21393.68</v>
      </c>
      <c r="Z550" s="9">
        <f>IF($H550&gt;L550,($H550-L550)*INDEX('Key Metrics'!$E$16:$N$19,MATCH($E550,'Key Metrics'!$E$16:$E$19,0),MATCH(Z$1,'Key Metrics'!$E$16:$M$16,0)),0)</f>
        <v>0</v>
      </c>
      <c r="AA550" s="9">
        <f t="shared" si="89"/>
        <v>127643.68</v>
      </c>
      <c r="AB550" s="9">
        <f t="shared" si="91"/>
        <v>127645.37448799999</v>
      </c>
    </row>
    <row r="551" spans="1:28" x14ac:dyDescent="0.55000000000000004">
      <c r="A551" t="str">
        <f t="shared" si="82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COUNTIF(deals_closed!$D$2:$D$20001,Calculations!B993)</f>
        <v>20</v>
      </c>
      <c r="H551" s="7">
        <f>SUMIF(deals_closed!$D:$D,Calculations!B993,deals_closed!$C:$C)</f>
        <v>595273</v>
      </c>
      <c r="I551" s="5">
        <f>VLOOKUP(E551,'2018_commission_structure'!$A$1:$I$4,9,FALSE)</f>
        <v>750000</v>
      </c>
      <c r="J551" s="9">
        <f t="shared" si="83"/>
        <v>937500</v>
      </c>
      <c r="K551" s="10">
        <f t="shared" si="84"/>
        <v>1125000</v>
      </c>
      <c r="L551" s="9">
        <f t="shared" si="85"/>
        <v>1500000</v>
      </c>
      <c r="M551" s="8">
        <f t="shared" si="86"/>
        <v>0.79369733333333337</v>
      </c>
      <c r="N551" t="str">
        <f t="shared" si="87"/>
        <v>0-100%</v>
      </c>
      <c r="O551" s="9">
        <f>MIN($H551,$I551)*INDEX('2018_commission_structure'!$A$1:$I$4,MATCH($E551,'2018_commission_structure'!$A$1:$A$4,0),MATCH(O$1,'2018_commission_structure'!$A$1:$I$1,0))</f>
        <v>89290.95</v>
      </c>
      <c r="P551" s="9">
        <f>IF(H551&gt;I551, MIN(H551-I551, J551-I551)*INDEX('2018_commission_structure'!$A$1:$I$4,MATCH($E551,'2018_commission_structure'!$A$1:$A$4,0),MATCH(P$1,'2018_commission_structure'!$A$1:$I$1,0)),0)</f>
        <v>0</v>
      </c>
      <c r="Q551" s="9">
        <f>IF($H551&gt;J551, MIN($H551-J551, K551-J551)*INDEX('2018_commission_structure'!$A$1:$I$4,MATCH($E551,'2018_commission_structure'!$A$1:$A$4,0),MATCH(Q$1,'2018_commission_structure'!$A$1:$I$1,0)),0)</f>
        <v>0</v>
      </c>
      <c r="R551" s="9">
        <f>IF($H551&gt;K551, MIN($H551-K551, L551-K551)*INDEX('2018_commission_structure'!$A$1:$I$4,MATCH($E551,'2018_commission_structure'!$A$1:$A$4,0),MATCH(R$1,'2018_commission_structure'!$A$1:$I$1,0)),0)</f>
        <v>0</v>
      </c>
      <c r="S551" s="9">
        <f>IF(H551&gt;L551,(H551-L551)*INDEX('2018_commission_structure'!$A$1:$I$4,MATCH($E551,'2018_commission_structure'!$A$1:$A$4,0),MATCH(S$1,'2018_commission_structure'!$A$1:$I$1,0)),0)</f>
        <v>0</v>
      </c>
      <c r="T551" s="9">
        <f t="shared" si="88"/>
        <v>89290.95</v>
      </c>
      <c r="U551" s="9">
        <f t="shared" si="90"/>
        <v>205859.95</v>
      </c>
      <c r="V551" s="9">
        <f>MIN($I551,$H551)*INDEX('Key Metrics'!$E$16:$N$19,MATCH($E551,'Key Metrics'!$E$16:$E$19,0),MATCH(V$1,'Key Metrics'!$E$16:$M$16,0))</f>
        <v>89290.95</v>
      </c>
      <c r="W551" s="9">
        <f>IF($H551&gt;I551, MIN($H551-I551, J551-I551)*INDEX('Key Metrics'!$E$16:$N$19,MATCH($E551,'Key Metrics'!$E$16:$E$19,0),MATCH(W$1,'Key Metrics'!$E$16:$M$16,0)),0)</f>
        <v>0</v>
      </c>
      <c r="X551" s="9">
        <f>IF($H551&gt;J551, MIN($H551-J551, K551-J551)*INDEX('Key Metrics'!$E$16:$N$19,MATCH($E551,'Key Metrics'!$E$16:$E$19,0),MATCH(X$1,'Key Metrics'!$E$16:$M$16,0)),0)</f>
        <v>0</v>
      </c>
      <c r="Y551" s="9">
        <f>IF($H551&gt;K551, MIN($H551-K551, L551-K551)*INDEX('Key Metrics'!$E$16:$N$19,MATCH($E551,'Key Metrics'!$E$16:$E$19,0),MATCH(Y$1,'Key Metrics'!$E$16:$M$16,0)),0)</f>
        <v>0</v>
      </c>
      <c r="Z551" s="9">
        <f>IF($H551&gt;L551,($H551-L551)*INDEX('Key Metrics'!$E$16:$N$19,MATCH($E551,'Key Metrics'!$E$16:$E$19,0),MATCH(Z$1,'Key Metrics'!$E$16:$M$16,0)),0)</f>
        <v>0</v>
      </c>
      <c r="AA551" s="9">
        <f t="shared" si="89"/>
        <v>89290.95</v>
      </c>
      <c r="AB551" s="9">
        <f t="shared" si="91"/>
        <v>89291.743697333324</v>
      </c>
    </row>
    <row r="552" spans="1:28" x14ac:dyDescent="0.55000000000000004">
      <c r="A552" t="str">
        <f t="shared" si="82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COUNTIF(deals_closed!$D$2:$D$20001,Calculations!B860)</f>
        <v>18</v>
      </c>
      <c r="H552" s="7">
        <f>SUMIF(deals_closed!$D:$D,Calculations!B860,deals_closed!$C:$C)</f>
        <v>646149</v>
      </c>
      <c r="I552" s="5">
        <f>VLOOKUP(E552,'2018_commission_structure'!$A$1:$I$4,9,FALSE)</f>
        <v>600000</v>
      </c>
      <c r="J552" s="9">
        <f t="shared" si="83"/>
        <v>750000</v>
      </c>
      <c r="K552" s="10">
        <f t="shared" si="84"/>
        <v>900000</v>
      </c>
      <c r="L552" s="9">
        <f t="shared" si="85"/>
        <v>1200000</v>
      </c>
      <c r="M552" s="8">
        <f t="shared" si="86"/>
        <v>1.0769150000000001</v>
      </c>
      <c r="N552" t="str">
        <f t="shared" si="87"/>
        <v>100-125%</v>
      </c>
      <c r="O552" s="9">
        <f>MIN($H552,$I552)*INDEX('2018_commission_structure'!$A$1:$I$4,MATCH($E552,'2018_commission_structure'!$A$1:$A$4,0),MATCH(O$1,'2018_commission_structure'!$A$1:$I$1,0))</f>
        <v>78000</v>
      </c>
      <c r="P552" s="9">
        <f>IF(H552&gt;I552, MIN(H552-I552, J552-I552)*INDEX('2018_commission_structure'!$A$1:$I$4,MATCH($E552,'2018_commission_structure'!$A$1:$A$4,0),MATCH(P$1,'2018_commission_structure'!$A$1:$I$1,0)),0)</f>
        <v>7845.3300000000008</v>
      </c>
      <c r="Q552" s="9">
        <f>IF($H552&gt;J552, MIN($H552-J552, K552-J552)*INDEX('2018_commission_structure'!$A$1:$I$4,MATCH($E552,'2018_commission_structure'!$A$1:$A$4,0),MATCH(Q$1,'2018_commission_structure'!$A$1:$I$1,0)),0)</f>
        <v>0</v>
      </c>
      <c r="R552" s="9">
        <f>IF($H552&gt;K552, MIN($H552-K552, L552-K552)*INDEX('2018_commission_structure'!$A$1:$I$4,MATCH($E552,'2018_commission_structure'!$A$1:$A$4,0),MATCH(R$1,'2018_commission_structure'!$A$1:$I$1,0)),0)</f>
        <v>0</v>
      </c>
      <c r="S552" s="9">
        <f>IF(H552&gt;L552,(H552-L552)*INDEX('2018_commission_structure'!$A$1:$I$4,MATCH($E552,'2018_commission_structure'!$A$1:$A$4,0),MATCH(S$1,'2018_commission_structure'!$A$1:$I$1,0)),0)</f>
        <v>0</v>
      </c>
      <c r="T552" s="9">
        <f t="shared" si="88"/>
        <v>85845.33</v>
      </c>
      <c r="U552" s="9">
        <f t="shared" si="90"/>
        <v>156965.33000000002</v>
      </c>
      <c r="V552" s="9">
        <f>MIN($I552,$H552)*INDEX('Key Metrics'!$E$16:$N$19,MATCH($E552,'Key Metrics'!$E$16:$E$19,0),MATCH(V$1,'Key Metrics'!$E$16:$M$16,0))</f>
        <v>90000</v>
      </c>
      <c r="W552" s="9">
        <f>IF($H552&gt;I552, MIN($H552-I552, J552-I552)*INDEX('Key Metrics'!$E$16:$N$19,MATCH($E552,'Key Metrics'!$E$16:$E$19,0),MATCH(W$1,'Key Metrics'!$E$16:$M$16,0)),0)</f>
        <v>8306.82</v>
      </c>
      <c r="X552" s="9">
        <f>IF($H552&gt;J552, MIN($H552-J552, K552-J552)*INDEX('Key Metrics'!$E$16:$N$19,MATCH($E552,'Key Metrics'!$E$16:$E$19,0),MATCH(X$1,'Key Metrics'!$E$16:$M$16,0)),0)</f>
        <v>0</v>
      </c>
      <c r="Y552" s="9">
        <f>IF($H552&gt;K552, MIN($H552-K552, L552-K552)*INDEX('Key Metrics'!$E$16:$N$19,MATCH($E552,'Key Metrics'!$E$16:$E$19,0),MATCH(Y$1,'Key Metrics'!$E$16:$M$16,0)),0)</f>
        <v>0</v>
      </c>
      <c r="Z552" s="9">
        <f>IF($H552&gt;L552,($H552-L552)*INDEX('Key Metrics'!$E$16:$N$19,MATCH($E552,'Key Metrics'!$E$16:$E$19,0),MATCH(Z$1,'Key Metrics'!$E$16:$M$16,0)),0)</f>
        <v>0</v>
      </c>
      <c r="AA552" s="9">
        <f t="shared" si="89"/>
        <v>98306.82</v>
      </c>
      <c r="AB552" s="9">
        <f t="shared" si="91"/>
        <v>98307.896915000005</v>
      </c>
    </row>
    <row r="553" spans="1:28" x14ac:dyDescent="0.55000000000000004">
      <c r="A553" t="str">
        <f t="shared" si="82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COUNTIF(deals_closed!$D$2:$D$20001,Calculations!B395)</f>
        <v>35</v>
      </c>
      <c r="H553" s="7">
        <f>SUMIF(deals_closed!$D:$D,Calculations!B395,deals_closed!$C:$C)</f>
        <v>1196909</v>
      </c>
      <c r="I553" s="5">
        <f>VLOOKUP(E553,'2018_commission_structure'!$A$1:$I$4,9,FALSE)</f>
        <v>600000</v>
      </c>
      <c r="J553" s="9">
        <f t="shared" si="83"/>
        <v>750000</v>
      </c>
      <c r="K553" s="10">
        <f t="shared" si="84"/>
        <v>900000</v>
      </c>
      <c r="L553" s="9">
        <f t="shared" si="85"/>
        <v>1200000</v>
      </c>
      <c r="M553" s="8">
        <f t="shared" si="86"/>
        <v>1.9948483333333333</v>
      </c>
      <c r="N553" t="str">
        <f t="shared" si="87"/>
        <v>150-200%</v>
      </c>
      <c r="O553" s="9">
        <f>MIN($H553,$I553)*INDEX('2018_commission_structure'!$A$1:$I$4,MATCH($E553,'2018_commission_structure'!$A$1:$A$4,0),MATCH(O$1,'2018_commission_structure'!$A$1:$I$1,0))</f>
        <v>78000</v>
      </c>
      <c r="P553" s="9">
        <f>IF(H553&gt;I553, MIN(H553-I553, J553-I553)*INDEX('2018_commission_structure'!$A$1:$I$4,MATCH($E553,'2018_commission_structure'!$A$1:$A$4,0),MATCH(P$1,'2018_commission_structure'!$A$1:$I$1,0)),0)</f>
        <v>25500.000000000004</v>
      </c>
      <c r="Q553" s="9">
        <f>IF($H553&gt;J553, MIN($H553-J553, K553-J553)*INDEX('2018_commission_structure'!$A$1:$I$4,MATCH($E553,'2018_commission_structure'!$A$1:$A$4,0),MATCH(Q$1,'2018_commission_structure'!$A$1:$I$1,0)),0)</f>
        <v>31500</v>
      </c>
      <c r="R553" s="9">
        <f>IF($H553&gt;K553, MIN($H553-K553, L553-K553)*INDEX('2018_commission_structure'!$A$1:$I$4,MATCH($E553,'2018_commission_structure'!$A$1:$A$4,0),MATCH(R$1,'2018_commission_structure'!$A$1:$I$1,0)),0)</f>
        <v>77196.34</v>
      </c>
      <c r="S553" s="9">
        <f>IF(H553&gt;L553,(H553-L553)*INDEX('2018_commission_structure'!$A$1:$I$4,MATCH($E553,'2018_commission_structure'!$A$1:$A$4,0),MATCH(S$1,'2018_commission_structure'!$A$1:$I$1,0)),0)</f>
        <v>0</v>
      </c>
      <c r="T553" s="9">
        <f t="shared" si="88"/>
        <v>212196.34</v>
      </c>
      <c r="U553" s="9">
        <f t="shared" si="90"/>
        <v>276452.33999999997</v>
      </c>
      <c r="V553" s="9">
        <f>MIN($I553,$H553)*INDEX('Key Metrics'!$E$16:$N$19,MATCH($E553,'Key Metrics'!$E$16:$E$19,0),MATCH(V$1,'Key Metrics'!$E$16:$M$16,0))</f>
        <v>90000</v>
      </c>
      <c r="W553" s="9">
        <f>IF($H553&gt;I553, MIN($H553-I553, J553-I553)*INDEX('Key Metrics'!$E$16:$N$19,MATCH($E553,'Key Metrics'!$E$16:$E$19,0),MATCH(W$1,'Key Metrics'!$E$16:$M$16,0)),0)</f>
        <v>27000</v>
      </c>
      <c r="X553" s="9">
        <f>IF($H553&gt;J553, MIN($H553-J553, K553-J553)*INDEX('Key Metrics'!$E$16:$N$19,MATCH($E553,'Key Metrics'!$E$16:$E$19,0),MATCH(X$1,'Key Metrics'!$E$16:$M$16,0)),0)</f>
        <v>37500</v>
      </c>
      <c r="Y553" s="9">
        <f>IF($H553&gt;K553, MIN($H553-K553, L553-K553)*INDEX('Key Metrics'!$E$16:$N$19,MATCH($E553,'Key Metrics'!$E$16:$E$19,0),MATCH(Y$1,'Key Metrics'!$E$16:$M$16,0)),0)</f>
        <v>89072.7</v>
      </c>
      <c r="Z553" s="9">
        <f>IF($H553&gt;L553,($H553-L553)*INDEX('Key Metrics'!$E$16:$N$19,MATCH($E553,'Key Metrics'!$E$16:$E$19,0),MATCH(Z$1,'Key Metrics'!$E$16:$M$16,0)),0)</f>
        <v>0</v>
      </c>
      <c r="AA553" s="9">
        <f t="shared" si="89"/>
        <v>243572.7</v>
      </c>
      <c r="AB553" s="9">
        <f t="shared" si="91"/>
        <v>243574.69484833334</v>
      </c>
    </row>
    <row r="554" spans="1:28" x14ac:dyDescent="0.55000000000000004">
      <c r="A554" t="str">
        <f t="shared" si="82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COUNTIF(deals_closed!$D$2:$D$20001,Calculations!B939)</f>
        <v>22</v>
      </c>
      <c r="H554" s="7">
        <f>SUMIF(deals_closed!$D:$D,Calculations!B939,deals_closed!$C:$C)</f>
        <v>878793</v>
      </c>
      <c r="I554" s="5">
        <f>VLOOKUP(E554,'2018_commission_structure'!$A$1:$I$4,9,FALSE)</f>
        <v>600000</v>
      </c>
      <c r="J554" s="9">
        <f t="shared" si="83"/>
        <v>750000</v>
      </c>
      <c r="K554" s="10">
        <f t="shared" si="84"/>
        <v>900000</v>
      </c>
      <c r="L554" s="9">
        <f t="shared" si="85"/>
        <v>1200000</v>
      </c>
      <c r="M554" s="8">
        <f t="shared" si="86"/>
        <v>1.464655</v>
      </c>
      <c r="N554" t="str">
        <f t="shared" si="87"/>
        <v>125-150%</v>
      </c>
      <c r="O554" s="9">
        <f>MIN($H554,$I554)*INDEX('2018_commission_structure'!$A$1:$I$4,MATCH($E554,'2018_commission_structure'!$A$1:$A$4,0),MATCH(O$1,'2018_commission_structure'!$A$1:$I$1,0))</f>
        <v>78000</v>
      </c>
      <c r="P554" s="9">
        <f>IF(H554&gt;I554, MIN(H554-I554, J554-I554)*INDEX('2018_commission_structure'!$A$1:$I$4,MATCH($E554,'2018_commission_structure'!$A$1:$A$4,0),MATCH(P$1,'2018_commission_structure'!$A$1:$I$1,0)),0)</f>
        <v>25500.000000000004</v>
      </c>
      <c r="Q554" s="9">
        <f>IF($H554&gt;J554, MIN($H554-J554, K554-J554)*INDEX('2018_commission_structure'!$A$1:$I$4,MATCH($E554,'2018_commission_structure'!$A$1:$A$4,0),MATCH(Q$1,'2018_commission_structure'!$A$1:$I$1,0)),0)</f>
        <v>27046.53</v>
      </c>
      <c r="R554" s="9">
        <f>IF($H554&gt;K554, MIN($H554-K554, L554-K554)*INDEX('2018_commission_structure'!$A$1:$I$4,MATCH($E554,'2018_commission_structure'!$A$1:$A$4,0),MATCH(R$1,'2018_commission_structure'!$A$1:$I$1,0)),0)</f>
        <v>0</v>
      </c>
      <c r="S554" s="9">
        <f>IF(H554&gt;L554,(H554-L554)*INDEX('2018_commission_structure'!$A$1:$I$4,MATCH($E554,'2018_commission_structure'!$A$1:$A$4,0),MATCH(S$1,'2018_commission_structure'!$A$1:$I$1,0)),0)</f>
        <v>0</v>
      </c>
      <c r="T554" s="9">
        <f t="shared" si="88"/>
        <v>130546.53</v>
      </c>
      <c r="U554" s="9">
        <f t="shared" si="90"/>
        <v>195766.53</v>
      </c>
      <c r="V554" s="9">
        <f>MIN($I554,$H554)*INDEX('Key Metrics'!$E$16:$N$19,MATCH($E554,'Key Metrics'!$E$16:$E$19,0),MATCH(V$1,'Key Metrics'!$E$16:$M$16,0))</f>
        <v>90000</v>
      </c>
      <c r="W554" s="9">
        <f>IF($H554&gt;I554, MIN($H554-I554, J554-I554)*INDEX('Key Metrics'!$E$16:$N$19,MATCH($E554,'Key Metrics'!$E$16:$E$19,0),MATCH(W$1,'Key Metrics'!$E$16:$M$16,0)),0)</f>
        <v>27000</v>
      </c>
      <c r="X554" s="9">
        <f>IF($H554&gt;J554, MIN($H554-J554, K554-J554)*INDEX('Key Metrics'!$E$16:$N$19,MATCH($E554,'Key Metrics'!$E$16:$E$19,0),MATCH(X$1,'Key Metrics'!$E$16:$M$16,0)),0)</f>
        <v>32198.25</v>
      </c>
      <c r="Y554" s="9">
        <f>IF($H554&gt;K554, MIN($H554-K554, L554-K554)*INDEX('Key Metrics'!$E$16:$N$19,MATCH($E554,'Key Metrics'!$E$16:$E$19,0),MATCH(Y$1,'Key Metrics'!$E$16:$M$16,0)),0)</f>
        <v>0</v>
      </c>
      <c r="Z554" s="9">
        <f>IF($H554&gt;L554,($H554-L554)*INDEX('Key Metrics'!$E$16:$N$19,MATCH($E554,'Key Metrics'!$E$16:$E$19,0),MATCH(Z$1,'Key Metrics'!$E$16:$M$16,0)),0)</f>
        <v>0</v>
      </c>
      <c r="AA554" s="9">
        <f t="shared" si="89"/>
        <v>149198.25</v>
      </c>
      <c r="AB554" s="9">
        <f t="shared" si="91"/>
        <v>149199.71465499999</v>
      </c>
    </row>
    <row r="555" spans="1:28" x14ac:dyDescent="0.55000000000000004">
      <c r="A555" t="str">
        <f t="shared" si="82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COUNTIF(deals_closed!$D$2:$D$20001,Calculations!B516)</f>
        <v>27</v>
      </c>
      <c r="H555" s="7">
        <f>SUMIF(deals_closed!$D:$D,Calculations!B516,deals_closed!$C:$C)</f>
        <v>993865</v>
      </c>
      <c r="I555" s="5">
        <f>VLOOKUP(E555,'2018_commission_structure'!$A$1:$I$4,9,FALSE)</f>
        <v>600000</v>
      </c>
      <c r="J555" s="9">
        <f t="shared" si="83"/>
        <v>750000</v>
      </c>
      <c r="K555" s="10">
        <f t="shared" si="84"/>
        <v>900000</v>
      </c>
      <c r="L555" s="9">
        <f t="shared" si="85"/>
        <v>1200000</v>
      </c>
      <c r="M555" s="8">
        <f t="shared" si="86"/>
        <v>1.6564416666666666</v>
      </c>
      <c r="N555" t="str">
        <f t="shared" si="87"/>
        <v>150-200%</v>
      </c>
      <c r="O555" s="9">
        <f>MIN($H555,$I555)*INDEX('2018_commission_structure'!$A$1:$I$4,MATCH($E555,'2018_commission_structure'!$A$1:$A$4,0),MATCH(O$1,'2018_commission_structure'!$A$1:$I$1,0))</f>
        <v>78000</v>
      </c>
      <c r="P555" s="9">
        <f>IF(H555&gt;I555, MIN(H555-I555, J555-I555)*INDEX('2018_commission_structure'!$A$1:$I$4,MATCH($E555,'2018_commission_structure'!$A$1:$A$4,0),MATCH(P$1,'2018_commission_structure'!$A$1:$I$1,0)),0)</f>
        <v>25500.000000000004</v>
      </c>
      <c r="Q555" s="9">
        <f>IF($H555&gt;J555, MIN($H555-J555, K555-J555)*INDEX('2018_commission_structure'!$A$1:$I$4,MATCH($E555,'2018_commission_structure'!$A$1:$A$4,0),MATCH(Q$1,'2018_commission_structure'!$A$1:$I$1,0)),0)</f>
        <v>31500</v>
      </c>
      <c r="R555" s="9">
        <f>IF($H555&gt;K555, MIN($H555-K555, L555-K555)*INDEX('2018_commission_structure'!$A$1:$I$4,MATCH($E555,'2018_commission_structure'!$A$1:$A$4,0),MATCH(R$1,'2018_commission_structure'!$A$1:$I$1,0)),0)</f>
        <v>24404.9</v>
      </c>
      <c r="S555" s="9">
        <f>IF(H555&gt;L555,(H555-L555)*INDEX('2018_commission_structure'!$A$1:$I$4,MATCH($E555,'2018_commission_structure'!$A$1:$A$4,0),MATCH(S$1,'2018_commission_structure'!$A$1:$I$1,0)),0)</f>
        <v>0</v>
      </c>
      <c r="T555" s="9">
        <f t="shared" si="88"/>
        <v>159404.9</v>
      </c>
      <c r="U555" s="9">
        <f t="shared" si="90"/>
        <v>210627.9</v>
      </c>
      <c r="V555" s="9">
        <f>MIN($I555,$H555)*INDEX('Key Metrics'!$E$16:$N$19,MATCH($E555,'Key Metrics'!$E$16:$E$19,0),MATCH(V$1,'Key Metrics'!$E$16:$M$16,0))</f>
        <v>90000</v>
      </c>
      <c r="W555" s="9">
        <f>IF($H555&gt;I555, MIN($H555-I555, J555-I555)*INDEX('Key Metrics'!$E$16:$N$19,MATCH($E555,'Key Metrics'!$E$16:$E$19,0),MATCH(W$1,'Key Metrics'!$E$16:$M$16,0)),0)</f>
        <v>27000</v>
      </c>
      <c r="X555" s="9">
        <f>IF($H555&gt;J555, MIN($H555-J555, K555-J555)*INDEX('Key Metrics'!$E$16:$N$19,MATCH($E555,'Key Metrics'!$E$16:$E$19,0),MATCH(X$1,'Key Metrics'!$E$16:$M$16,0)),0)</f>
        <v>37500</v>
      </c>
      <c r="Y555" s="9">
        <f>IF($H555&gt;K555, MIN($H555-K555, L555-K555)*INDEX('Key Metrics'!$E$16:$N$19,MATCH($E555,'Key Metrics'!$E$16:$E$19,0),MATCH(Y$1,'Key Metrics'!$E$16:$M$16,0)),0)</f>
        <v>28159.5</v>
      </c>
      <c r="Z555" s="9">
        <f>IF($H555&gt;L555,($H555-L555)*INDEX('Key Metrics'!$E$16:$N$19,MATCH($E555,'Key Metrics'!$E$16:$E$19,0),MATCH(Z$1,'Key Metrics'!$E$16:$M$16,0)),0)</f>
        <v>0</v>
      </c>
      <c r="AA555" s="9">
        <f t="shared" si="89"/>
        <v>182659.5</v>
      </c>
      <c r="AB555" s="9">
        <f t="shared" si="91"/>
        <v>182661.15644166668</v>
      </c>
    </row>
    <row r="556" spans="1:28" x14ac:dyDescent="0.55000000000000004">
      <c r="A556" t="str">
        <f t="shared" si="82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COUNTIF(deals_closed!$D$2:$D$20001,Calculations!B14)</f>
        <v>19</v>
      </c>
      <c r="H556" s="7">
        <f>SUMIF(deals_closed!$D:$D,Calculations!B14,deals_closed!$C:$C)</f>
        <v>563960</v>
      </c>
      <c r="I556" s="5">
        <f>VLOOKUP(E556,'2018_commission_structure'!$A$1:$I$4,9,FALSE)</f>
        <v>750000</v>
      </c>
      <c r="J556" s="9">
        <f t="shared" si="83"/>
        <v>937500</v>
      </c>
      <c r="K556" s="10">
        <f t="shared" si="84"/>
        <v>1125000</v>
      </c>
      <c r="L556" s="9">
        <f t="shared" si="85"/>
        <v>1500000</v>
      </c>
      <c r="M556" s="8">
        <f t="shared" si="86"/>
        <v>0.75194666666666665</v>
      </c>
      <c r="N556" t="str">
        <f t="shared" si="87"/>
        <v>0-100%</v>
      </c>
      <c r="O556" s="9">
        <f>MIN($H556,$I556)*INDEX('2018_commission_structure'!$A$1:$I$4,MATCH($E556,'2018_commission_structure'!$A$1:$A$4,0),MATCH(O$1,'2018_commission_structure'!$A$1:$I$1,0))</f>
        <v>84594</v>
      </c>
      <c r="P556" s="9">
        <f>IF(H556&gt;I556, MIN(H556-I556, J556-I556)*INDEX('2018_commission_structure'!$A$1:$I$4,MATCH($E556,'2018_commission_structure'!$A$1:$A$4,0),MATCH(P$1,'2018_commission_structure'!$A$1:$I$1,0)),0)</f>
        <v>0</v>
      </c>
      <c r="Q556" s="9">
        <f>IF($H556&gt;J556, MIN($H556-J556, K556-J556)*INDEX('2018_commission_structure'!$A$1:$I$4,MATCH($E556,'2018_commission_structure'!$A$1:$A$4,0),MATCH(Q$1,'2018_commission_structure'!$A$1:$I$1,0)),0)</f>
        <v>0</v>
      </c>
      <c r="R556" s="9">
        <f>IF($H556&gt;K556, MIN($H556-K556, L556-K556)*INDEX('2018_commission_structure'!$A$1:$I$4,MATCH($E556,'2018_commission_structure'!$A$1:$A$4,0),MATCH(R$1,'2018_commission_structure'!$A$1:$I$1,0)),0)</f>
        <v>0</v>
      </c>
      <c r="S556" s="9">
        <f>IF(H556&gt;L556,(H556-L556)*INDEX('2018_commission_structure'!$A$1:$I$4,MATCH($E556,'2018_commission_structure'!$A$1:$A$4,0),MATCH(S$1,'2018_commission_structure'!$A$1:$I$1,0)),0)</f>
        <v>0</v>
      </c>
      <c r="T556" s="9">
        <f t="shared" si="88"/>
        <v>84594</v>
      </c>
      <c r="U556" s="9">
        <f t="shared" si="90"/>
        <v>160476</v>
      </c>
      <c r="V556" s="9">
        <f>MIN($I556,$H556)*INDEX('Key Metrics'!$E$16:$N$19,MATCH($E556,'Key Metrics'!$E$16:$E$19,0),MATCH(V$1,'Key Metrics'!$E$16:$M$16,0))</f>
        <v>84594</v>
      </c>
      <c r="W556" s="9">
        <f>IF($H556&gt;I556, MIN($H556-I556, J556-I556)*INDEX('Key Metrics'!$E$16:$N$19,MATCH($E556,'Key Metrics'!$E$16:$E$19,0),MATCH(W$1,'Key Metrics'!$E$16:$M$16,0)),0)</f>
        <v>0</v>
      </c>
      <c r="X556" s="9">
        <f>IF($H556&gt;J556, MIN($H556-J556, K556-J556)*INDEX('Key Metrics'!$E$16:$N$19,MATCH($E556,'Key Metrics'!$E$16:$E$19,0),MATCH(X$1,'Key Metrics'!$E$16:$M$16,0)),0)</f>
        <v>0</v>
      </c>
      <c r="Y556" s="9">
        <f>IF($H556&gt;K556, MIN($H556-K556, L556-K556)*INDEX('Key Metrics'!$E$16:$N$19,MATCH($E556,'Key Metrics'!$E$16:$E$19,0),MATCH(Y$1,'Key Metrics'!$E$16:$M$16,0)),0)</f>
        <v>0</v>
      </c>
      <c r="Z556" s="9">
        <f>IF($H556&gt;L556,($H556-L556)*INDEX('Key Metrics'!$E$16:$N$19,MATCH($E556,'Key Metrics'!$E$16:$E$19,0),MATCH(Z$1,'Key Metrics'!$E$16:$M$16,0)),0)</f>
        <v>0</v>
      </c>
      <c r="AA556" s="9">
        <f t="shared" si="89"/>
        <v>84594</v>
      </c>
      <c r="AB556" s="9">
        <f t="shared" si="91"/>
        <v>84594.751946666671</v>
      </c>
    </row>
    <row r="557" spans="1:28" x14ac:dyDescent="0.55000000000000004">
      <c r="A557" t="str">
        <f t="shared" si="82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COUNTIF(deals_closed!$D$2:$D$20001,Calculations!B834)</f>
        <v>19</v>
      </c>
      <c r="H557" s="7">
        <f>SUMIF(deals_closed!$D:$D,Calculations!B834,deals_closed!$C:$C)</f>
        <v>604575</v>
      </c>
      <c r="I557" s="5">
        <f>VLOOKUP(E557,'2018_commission_structure'!$A$1:$I$4,9,FALSE)</f>
        <v>500000</v>
      </c>
      <c r="J557" s="9">
        <f t="shared" si="83"/>
        <v>625000</v>
      </c>
      <c r="K557" s="10">
        <f t="shared" si="84"/>
        <v>750000</v>
      </c>
      <c r="L557" s="9">
        <f t="shared" si="85"/>
        <v>1000000</v>
      </c>
      <c r="M557" s="8">
        <f t="shared" si="86"/>
        <v>1.2091499999999999</v>
      </c>
      <c r="N557" t="str">
        <f t="shared" si="87"/>
        <v>100-125%</v>
      </c>
      <c r="O557" s="9">
        <f>MIN($H557,$I557)*INDEX('2018_commission_structure'!$A$1:$I$4,MATCH($E557,'2018_commission_structure'!$A$1:$A$4,0),MATCH(O$1,'2018_commission_structure'!$A$1:$I$1,0))</f>
        <v>50000</v>
      </c>
      <c r="P557" s="9">
        <f>IF(H557&gt;I557, MIN(H557-I557, J557-I557)*INDEX('2018_commission_structure'!$A$1:$I$4,MATCH($E557,'2018_commission_structure'!$A$1:$A$4,0),MATCH(P$1,'2018_commission_structure'!$A$1:$I$1,0)),0)</f>
        <v>15686.25</v>
      </c>
      <c r="Q557" s="9">
        <f>IF($H557&gt;J557, MIN($H557-J557, K557-J557)*INDEX('2018_commission_structure'!$A$1:$I$4,MATCH($E557,'2018_commission_structure'!$A$1:$A$4,0),MATCH(Q$1,'2018_commission_structure'!$A$1:$I$1,0)),0)</f>
        <v>0</v>
      </c>
      <c r="R557" s="9">
        <f>IF($H557&gt;K557, MIN($H557-K557, L557-K557)*INDEX('2018_commission_structure'!$A$1:$I$4,MATCH($E557,'2018_commission_structure'!$A$1:$A$4,0),MATCH(R$1,'2018_commission_structure'!$A$1:$I$1,0)),0)</f>
        <v>0</v>
      </c>
      <c r="S557" s="9">
        <f>IF(H557&gt;L557,(H557-L557)*INDEX('2018_commission_structure'!$A$1:$I$4,MATCH($E557,'2018_commission_structure'!$A$1:$A$4,0),MATCH(S$1,'2018_commission_structure'!$A$1:$I$1,0)),0)</f>
        <v>0</v>
      </c>
      <c r="T557" s="9">
        <f t="shared" si="88"/>
        <v>65686.25</v>
      </c>
      <c r="U557" s="9">
        <f t="shared" si="90"/>
        <v>126705.25</v>
      </c>
      <c r="V557" s="9">
        <f>MIN($I557,$H557)*INDEX('Key Metrics'!$E$16:$N$19,MATCH($E557,'Key Metrics'!$E$16:$E$19,0),MATCH(V$1,'Key Metrics'!$E$16:$M$16,0))</f>
        <v>60000</v>
      </c>
      <c r="W557" s="9">
        <f>IF($H557&gt;I557, MIN($H557-I557, J557-I557)*INDEX('Key Metrics'!$E$16:$N$19,MATCH($E557,'Key Metrics'!$E$16:$E$19,0),MATCH(W$1,'Key Metrics'!$E$16:$M$16,0)),0)</f>
        <v>17777.75</v>
      </c>
      <c r="X557" s="9">
        <f>IF($H557&gt;J557, MIN($H557-J557, K557-J557)*INDEX('Key Metrics'!$E$16:$N$19,MATCH($E557,'Key Metrics'!$E$16:$E$19,0),MATCH(X$1,'Key Metrics'!$E$16:$M$16,0)),0)</f>
        <v>0</v>
      </c>
      <c r="Y557" s="9">
        <f>IF($H557&gt;K557, MIN($H557-K557, L557-K557)*INDEX('Key Metrics'!$E$16:$N$19,MATCH($E557,'Key Metrics'!$E$16:$E$19,0),MATCH(Y$1,'Key Metrics'!$E$16:$M$16,0)),0)</f>
        <v>0</v>
      </c>
      <c r="Z557" s="9">
        <f>IF($H557&gt;L557,($H557-L557)*INDEX('Key Metrics'!$E$16:$N$19,MATCH($E557,'Key Metrics'!$E$16:$E$19,0),MATCH(Z$1,'Key Metrics'!$E$16:$M$16,0)),0)</f>
        <v>0</v>
      </c>
      <c r="AA557" s="9">
        <f t="shared" si="89"/>
        <v>77777.75</v>
      </c>
      <c r="AB557" s="9">
        <f t="shared" si="91"/>
        <v>77778.959149999995</v>
      </c>
    </row>
    <row r="558" spans="1:28" x14ac:dyDescent="0.55000000000000004">
      <c r="A558" t="str">
        <f t="shared" si="82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COUNTIF(deals_closed!$D$2:$D$20001,Calculations!B750)</f>
        <v>24</v>
      </c>
      <c r="H558" s="7">
        <f>SUMIF(deals_closed!$D:$D,Calculations!B750,deals_closed!$C:$C)</f>
        <v>800249</v>
      </c>
      <c r="I558" s="5">
        <f>VLOOKUP(E558,'2018_commission_structure'!$A$1:$I$4,9,FALSE)</f>
        <v>500000</v>
      </c>
      <c r="J558" s="9">
        <f t="shared" si="83"/>
        <v>625000</v>
      </c>
      <c r="K558" s="10">
        <f t="shared" si="84"/>
        <v>750000</v>
      </c>
      <c r="L558" s="9">
        <f t="shared" si="85"/>
        <v>1000000</v>
      </c>
      <c r="M558" s="8">
        <f t="shared" si="86"/>
        <v>1.600498</v>
      </c>
      <c r="N558" t="str">
        <f t="shared" si="87"/>
        <v>150-200%</v>
      </c>
      <c r="O558" s="9">
        <f>MIN($H558,$I558)*INDEX('2018_commission_structure'!$A$1:$I$4,MATCH($E558,'2018_commission_structure'!$A$1:$A$4,0),MATCH(O$1,'2018_commission_structure'!$A$1:$I$1,0))</f>
        <v>50000</v>
      </c>
      <c r="P558" s="9">
        <f>IF(H558&gt;I558, MIN(H558-I558, J558-I558)*INDEX('2018_commission_structure'!$A$1:$I$4,MATCH($E558,'2018_commission_structure'!$A$1:$A$4,0),MATCH(P$1,'2018_commission_structure'!$A$1:$I$1,0)),0)</f>
        <v>18750</v>
      </c>
      <c r="Q558" s="9">
        <f>IF($H558&gt;J558, MIN($H558-J558, K558-J558)*INDEX('2018_commission_structure'!$A$1:$I$4,MATCH($E558,'2018_commission_structure'!$A$1:$A$4,0),MATCH(Q$1,'2018_commission_structure'!$A$1:$I$1,0)),0)</f>
        <v>22500</v>
      </c>
      <c r="R558" s="9">
        <f>IF($H558&gt;K558, MIN($H558-K558, L558-K558)*INDEX('2018_commission_structure'!$A$1:$I$4,MATCH($E558,'2018_commission_structure'!$A$1:$A$4,0),MATCH(R$1,'2018_commission_structure'!$A$1:$I$1,0)),0)</f>
        <v>11054.78</v>
      </c>
      <c r="S558" s="9">
        <f>IF(H558&gt;L558,(H558-L558)*INDEX('2018_commission_structure'!$A$1:$I$4,MATCH($E558,'2018_commission_structure'!$A$1:$A$4,0),MATCH(S$1,'2018_commission_structure'!$A$1:$I$1,0)),0)</f>
        <v>0</v>
      </c>
      <c r="T558" s="9">
        <f t="shared" si="88"/>
        <v>102304.78</v>
      </c>
      <c r="U558" s="9">
        <f t="shared" si="90"/>
        <v>162937.78</v>
      </c>
      <c r="V558" s="9">
        <f>MIN($I558,$H558)*INDEX('Key Metrics'!$E$16:$N$19,MATCH($E558,'Key Metrics'!$E$16:$E$19,0),MATCH(V$1,'Key Metrics'!$E$16:$M$16,0))</f>
        <v>60000</v>
      </c>
      <c r="W558" s="9">
        <f>IF($H558&gt;I558, MIN($H558-I558, J558-I558)*INDEX('Key Metrics'!$E$16:$N$19,MATCH($E558,'Key Metrics'!$E$16:$E$19,0),MATCH(W$1,'Key Metrics'!$E$16:$M$16,0)),0)</f>
        <v>21250</v>
      </c>
      <c r="X558" s="9">
        <f>IF($H558&gt;J558, MIN($H558-J558, K558-J558)*INDEX('Key Metrics'!$E$16:$N$19,MATCH($E558,'Key Metrics'!$E$16:$E$19,0),MATCH(X$1,'Key Metrics'!$E$16:$M$16,0)),0)</f>
        <v>25000</v>
      </c>
      <c r="Y558" s="9">
        <f>IF($H558&gt;K558, MIN($H558-K558, L558-K558)*INDEX('Key Metrics'!$E$16:$N$19,MATCH($E558,'Key Metrics'!$E$16:$E$19,0),MATCH(Y$1,'Key Metrics'!$E$16:$M$16,0)),0)</f>
        <v>11054.78</v>
      </c>
      <c r="Z558" s="9">
        <f>IF($H558&gt;L558,($H558-L558)*INDEX('Key Metrics'!$E$16:$N$19,MATCH($E558,'Key Metrics'!$E$16:$E$19,0),MATCH(Z$1,'Key Metrics'!$E$16:$M$16,0)),0)</f>
        <v>0</v>
      </c>
      <c r="AA558" s="9">
        <f t="shared" si="89"/>
        <v>117304.78</v>
      </c>
      <c r="AB558" s="9">
        <f t="shared" si="91"/>
        <v>117306.380498</v>
      </c>
    </row>
    <row r="559" spans="1:28" x14ac:dyDescent="0.55000000000000004">
      <c r="A559" t="str">
        <f t="shared" si="82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COUNTIF(deals_closed!$D$2:$D$20001,Calculations!B910)</f>
        <v>13</v>
      </c>
      <c r="H559" s="7">
        <f>SUMIF(deals_closed!$D:$D,Calculations!B910,deals_closed!$C:$C)</f>
        <v>478069</v>
      </c>
      <c r="I559" s="5">
        <f>VLOOKUP(E559,'2018_commission_structure'!$A$1:$I$4,9,FALSE)</f>
        <v>600000</v>
      </c>
      <c r="J559" s="9">
        <f t="shared" si="83"/>
        <v>750000</v>
      </c>
      <c r="K559" s="10">
        <f t="shared" si="84"/>
        <v>900000</v>
      </c>
      <c r="L559" s="9">
        <f t="shared" si="85"/>
        <v>1200000</v>
      </c>
      <c r="M559" s="8">
        <f t="shared" si="86"/>
        <v>0.79678166666666672</v>
      </c>
      <c r="N559" t="str">
        <f t="shared" si="87"/>
        <v>0-100%</v>
      </c>
      <c r="O559" s="9">
        <f>MIN($H559,$I559)*INDEX('2018_commission_structure'!$A$1:$I$4,MATCH($E559,'2018_commission_structure'!$A$1:$A$4,0),MATCH(O$1,'2018_commission_structure'!$A$1:$I$1,0))</f>
        <v>62148.97</v>
      </c>
      <c r="P559" s="9">
        <f>IF(H559&gt;I559, MIN(H559-I559, J559-I559)*INDEX('2018_commission_structure'!$A$1:$I$4,MATCH($E559,'2018_commission_structure'!$A$1:$A$4,0),MATCH(P$1,'2018_commission_structure'!$A$1:$I$1,0)),0)</f>
        <v>0</v>
      </c>
      <c r="Q559" s="9">
        <f>IF($H559&gt;J559, MIN($H559-J559, K559-J559)*INDEX('2018_commission_structure'!$A$1:$I$4,MATCH($E559,'2018_commission_structure'!$A$1:$A$4,0),MATCH(Q$1,'2018_commission_structure'!$A$1:$I$1,0)),0)</f>
        <v>0</v>
      </c>
      <c r="R559" s="9">
        <f>IF($H559&gt;K559, MIN($H559-K559, L559-K559)*INDEX('2018_commission_structure'!$A$1:$I$4,MATCH($E559,'2018_commission_structure'!$A$1:$A$4,0),MATCH(R$1,'2018_commission_structure'!$A$1:$I$1,0)),0)</f>
        <v>0</v>
      </c>
      <c r="S559" s="9">
        <f>IF(H559&gt;L559,(H559-L559)*INDEX('2018_commission_structure'!$A$1:$I$4,MATCH($E559,'2018_commission_structure'!$A$1:$A$4,0),MATCH(S$1,'2018_commission_structure'!$A$1:$I$1,0)),0)</f>
        <v>0</v>
      </c>
      <c r="T559" s="9">
        <f t="shared" si="88"/>
        <v>62148.97</v>
      </c>
      <c r="U559" s="9">
        <f t="shared" si="90"/>
        <v>127684.97</v>
      </c>
      <c r="V559" s="9">
        <f>MIN($I559,$H559)*INDEX('Key Metrics'!$E$16:$N$19,MATCH($E559,'Key Metrics'!$E$16:$E$19,0),MATCH(V$1,'Key Metrics'!$E$16:$M$16,0))</f>
        <v>71710.349999999991</v>
      </c>
      <c r="W559" s="9">
        <f>IF($H559&gt;I559, MIN($H559-I559, J559-I559)*INDEX('Key Metrics'!$E$16:$N$19,MATCH($E559,'Key Metrics'!$E$16:$E$19,0),MATCH(W$1,'Key Metrics'!$E$16:$M$16,0)),0)</f>
        <v>0</v>
      </c>
      <c r="X559" s="9">
        <f>IF($H559&gt;J559, MIN($H559-J559, K559-J559)*INDEX('Key Metrics'!$E$16:$N$19,MATCH($E559,'Key Metrics'!$E$16:$E$19,0),MATCH(X$1,'Key Metrics'!$E$16:$M$16,0)),0)</f>
        <v>0</v>
      </c>
      <c r="Y559" s="9">
        <f>IF($H559&gt;K559, MIN($H559-K559, L559-K559)*INDEX('Key Metrics'!$E$16:$N$19,MATCH($E559,'Key Metrics'!$E$16:$E$19,0),MATCH(Y$1,'Key Metrics'!$E$16:$M$16,0)),0)</f>
        <v>0</v>
      </c>
      <c r="Z559" s="9">
        <f>IF($H559&gt;L559,($H559-L559)*INDEX('Key Metrics'!$E$16:$N$19,MATCH($E559,'Key Metrics'!$E$16:$E$19,0),MATCH(Z$1,'Key Metrics'!$E$16:$M$16,0)),0)</f>
        <v>0</v>
      </c>
      <c r="AA559" s="9">
        <f t="shared" si="89"/>
        <v>71710.349999999991</v>
      </c>
      <c r="AB559" s="9">
        <f t="shared" si="91"/>
        <v>71711.146781666655</v>
      </c>
    </row>
    <row r="560" spans="1:28" x14ac:dyDescent="0.55000000000000004">
      <c r="A560" t="str">
        <f t="shared" si="82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COUNTIF(deals_closed!$D$2:$D$20001,Calculations!B491)</f>
        <v>18</v>
      </c>
      <c r="H560" s="7">
        <f>SUMIF(deals_closed!$D:$D,Calculations!B491,deals_closed!$C:$C)</f>
        <v>553683</v>
      </c>
      <c r="I560" s="5">
        <f>VLOOKUP(E560,'2018_commission_structure'!$A$1:$I$4,9,FALSE)</f>
        <v>750000</v>
      </c>
      <c r="J560" s="9">
        <f t="shared" si="83"/>
        <v>937500</v>
      </c>
      <c r="K560" s="10">
        <f t="shared" si="84"/>
        <v>1125000</v>
      </c>
      <c r="L560" s="9">
        <f t="shared" si="85"/>
        <v>1500000</v>
      </c>
      <c r="M560" s="8">
        <f t="shared" si="86"/>
        <v>0.73824400000000001</v>
      </c>
      <c r="N560" t="str">
        <f t="shared" si="87"/>
        <v>0-100%</v>
      </c>
      <c r="O560" s="9">
        <f>MIN($H560,$I560)*INDEX('2018_commission_structure'!$A$1:$I$4,MATCH($E560,'2018_commission_structure'!$A$1:$A$4,0),MATCH(O$1,'2018_commission_structure'!$A$1:$I$1,0))</f>
        <v>83052.45</v>
      </c>
      <c r="P560" s="9">
        <f>IF(H560&gt;I560, MIN(H560-I560, J560-I560)*INDEX('2018_commission_structure'!$A$1:$I$4,MATCH($E560,'2018_commission_structure'!$A$1:$A$4,0),MATCH(P$1,'2018_commission_structure'!$A$1:$I$1,0)),0)</f>
        <v>0</v>
      </c>
      <c r="Q560" s="9">
        <f>IF($H560&gt;J560, MIN($H560-J560, K560-J560)*INDEX('2018_commission_structure'!$A$1:$I$4,MATCH($E560,'2018_commission_structure'!$A$1:$A$4,0),MATCH(Q$1,'2018_commission_structure'!$A$1:$I$1,0)),0)</f>
        <v>0</v>
      </c>
      <c r="R560" s="9">
        <f>IF($H560&gt;K560, MIN($H560-K560, L560-K560)*INDEX('2018_commission_structure'!$A$1:$I$4,MATCH($E560,'2018_commission_structure'!$A$1:$A$4,0),MATCH(R$1,'2018_commission_structure'!$A$1:$I$1,0)),0)</f>
        <v>0</v>
      </c>
      <c r="S560" s="9">
        <f>IF(H560&gt;L560,(H560-L560)*INDEX('2018_commission_structure'!$A$1:$I$4,MATCH($E560,'2018_commission_structure'!$A$1:$A$4,0),MATCH(S$1,'2018_commission_structure'!$A$1:$I$1,0)),0)</f>
        <v>0</v>
      </c>
      <c r="T560" s="9">
        <f t="shared" si="88"/>
        <v>83052.45</v>
      </c>
      <c r="U560" s="9">
        <f t="shared" si="90"/>
        <v>170471.45</v>
      </c>
      <c r="V560" s="9">
        <f>MIN($I560,$H560)*INDEX('Key Metrics'!$E$16:$N$19,MATCH($E560,'Key Metrics'!$E$16:$E$19,0),MATCH(V$1,'Key Metrics'!$E$16:$M$16,0))</f>
        <v>83052.45</v>
      </c>
      <c r="W560" s="9">
        <f>IF($H560&gt;I560, MIN($H560-I560, J560-I560)*INDEX('Key Metrics'!$E$16:$N$19,MATCH($E560,'Key Metrics'!$E$16:$E$19,0),MATCH(W$1,'Key Metrics'!$E$16:$M$16,0)),0)</f>
        <v>0</v>
      </c>
      <c r="X560" s="9">
        <f>IF($H560&gt;J560, MIN($H560-J560, K560-J560)*INDEX('Key Metrics'!$E$16:$N$19,MATCH($E560,'Key Metrics'!$E$16:$E$19,0),MATCH(X$1,'Key Metrics'!$E$16:$M$16,0)),0)</f>
        <v>0</v>
      </c>
      <c r="Y560" s="9">
        <f>IF($H560&gt;K560, MIN($H560-K560, L560-K560)*INDEX('Key Metrics'!$E$16:$N$19,MATCH($E560,'Key Metrics'!$E$16:$E$19,0),MATCH(Y$1,'Key Metrics'!$E$16:$M$16,0)),0)</f>
        <v>0</v>
      </c>
      <c r="Z560" s="9">
        <f>IF($H560&gt;L560,($H560-L560)*INDEX('Key Metrics'!$E$16:$N$19,MATCH($E560,'Key Metrics'!$E$16:$E$19,0),MATCH(Z$1,'Key Metrics'!$E$16:$M$16,0)),0)</f>
        <v>0</v>
      </c>
      <c r="AA560" s="9">
        <f t="shared" si="89"/>
        <v>83052.45</v>
      </c>
      <c r="AB560" s="9">
        <f t="shared" si="91"/>
        <v>83053.18824399999</v>
      </c>
    </row>
    <row r="561" spans="1:28" x14ac:dyDescent="0.55000000000000004">
      <c r="A561" t="str">
        <f t="shared" si="82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COUNTIF(deals_closed!$D$2:$D$20001,Calculations!B655)</f>
        <v>25</v>
      </c>
      <c r="H561" s="7">
        <f>SUMIF(deals_closed!$D:$D,Calculations!B655,deals_closed!$C:$C)</f>
        <v>825812</v>
      </c>
      <c r="I561" s="5">
        <f>VLOOKUP(E561,'2018_commission_structure'!$A$1:$I$4,9,FALSE)</f>
        <v>600000</v>
      </c>
      <c r="J561" s="9">
        <f t="shared" si="83"/>
        <v>750000</v>
      </c>
      <c r="K561" s="10">
        <f t="shared" si="84"/>
        <v>900000</v>
      </c>
      <c r="L561" s="9">
        <f t="shared" si="85"/>
        <v>1200000</v>
      </c>
      <c r="M561" s="8">
        <f t="shared" si="86"/>
        <v>1.3763533333333333</v>
      </c>
      <c r="N561" t="str">
        <f t="shared" si="87"/>
        <v>125-150%</v>
      </c>
      <c r="O561" s="9">
        <f>MIN($H561,$I561)*INDEX('2018_commission_structure'!$A$1:$I$4,MATCH($E561,'2018_commission_structure'!$A$1:$A$4,0),MATCH(O$1,'2018_commission_structure'!$A$1:$I$1,0))</f>
        <v>78000</v>
      </c>
      <c r="P561" s="9">
        <f>IF(H561&gt;I561, MIN(H561-I561, J561-I561)*INDEX('2018_commission_structure'!$A$1:$I$4,MATCH($E561,'2018_commission_structure'!$A$1:$A$4,0),MATCH(P$1,'2018_commission_structure'!$A$1:$I$1,0)),0)</f>
        <v>25500.000000000004</v>
      </c>
      <c r="Q561" s="9">
        <f>IF($H561&gt;J561, MIN($H561-J561, K561-J561)*INDEX('2018_commission_structure'!$A$1:$I$4,MATCH($E561,'2018_commission_structure'!$A$1:$A$4,0),MATCH(Q$1,'2018_commission_structure'!$A$1:$I$1,0)),0)</f>
        <v>15920.519999999999</v>
      </c>
      <c r="R561" s="9">
        <f>IF($H561&gt;K561, MIN($H561-K561, L561-K561)*INDEX('2018_commission_structure'!$A$1:$I$4,MATCH($E561,'2018_commission_structure'!$A$1:$A$4,0),MATCH(R$1,'2018_commission_structure'!$A$1:$I$1,0)),0)</f>
        <v>0</v>
      </c>
      <c r="S561" s="9">
        <f>IF(H561&gt;L561,(H561-L561)*INDEX('2018_commission_structure'!$A$1:$I$4,MATCH($E561,'2018_commission_structure'!$A$1:$A$4,0),MATCH(S$1,'2018_commission_structure'!$A$1:$I$1,0)),0)</f>
        <v>0</v>
      </c>
      <c r="T561" s="9">
        <f t="shared" si="88"/>
        <v>119420.52</v>
      </c>
      <c r="U561" s="9">
        <f t="shared" si="90"/>
        <v>181563.52000000002</v>
      </c>
      <c r="V561" s="9">
        <f>MIN($I561,$H561)*INDEX('Key Metrics'!$E$16:$N$19,MATCH($E561,'Key Metrics'!$E$16:$E$19,0),MATCH(V$1,'Key Metrics'!$E$16:$M$16,0))</f>
        <v>90000</v>
      </c>
      <c r="W561" s="9">
        <f>IF($H561&gt;I561, MIN($H561-I561, J561-I561)*INDEX('Key Metrics'!$E$16:$N$19,MATCH($E561,'Key Metrics'!$E$16:$E$19,0),MATCH(W$1,'Key Metrics'!$E$16:$M$16,0)),0)</f>
        <v>27000</v>
      </c>
      <c r="X561" s="9">
        <f>IF($H561&gt;J561, MIN($H561-J561, K561-J561)*INDEX('Key Metrics'!$E$16:$N$19,MATCH($E561,'Key Metrics'!$E$16:$E$19,0),MATCH(X$1,'Key Metrics'!$E$16:$M$16,0)),0)</f>
        <v>18953</v>
      </c>
      <c r="Y561" s="9">
        <f>IF($H561&gt;K561, MIN($H561-K561, L561-K561)*INDEX('Key Metrics'!$E$16:$N$19,MATCH($E561,'Key Metrics'!$E$16:$E$19,0),MATCH(Y$1,'Key Metrics'!$E$16:$M$16,0)),0)</f>
        <v>0</v>
      </c>
      <c r="Z561" s="9">
        <f>IF($H561&gt;L561,($H561-L561)*INDEX('Key Metrics'!$E$16:$N$19,MATCH($E561,'Key Metrics'!$E$16:$E$19,0),MATCH(Z$1,'Key Metrics'!$E$16:$M$16,0)),0)</f>
        <v>0</v>
      </c>
      <c r="AA561" s="9">
        <f t="shared" si="89"/>
        <v>135953</v>
      </c>
      <c r="AB561" s="9">
        <f t="shared" si="91"/>
        <v>135954.37635333333</v>
      </c>
    </row>
    <row r="562" spans="1:28" x14ac:dyDescent="0.55000000000000004">
      <c r="A562" t="str">
        <f t="shared" si="82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COUNTIF(deals_closed!$D$2:$D$20001,Calculations!B497)</f>
        <v>20</v>
      </c>
      <c r="H562" s="7">
        <f>SUMIF(deals_closed!$D:$D,Calculations!B497,deals_closed!$C:$C)</f>
        <v>727326</v>
      </c>
      <c r="I562" s="5">
        <f>VLOOKUP(E562,'2018_commission_structure'!$A$1:$I$4,9,FALSE)</f>
        <v>500000</v>
      </c>
      <c r="J562" s="9">
        <f t="shared" si="83"/>
        <v>625000</v>
      </c>
      <c r="K562" s="10">
        <f t="shared" si="84"/>
        <v>750000</v>
      </c>
      <c r="L562" s="9">
        <f t="shared" si="85"/>
        <v>1000000</v>
      </c>
      <c r="M562" s="8">
        <f t="shared" si="86"/>
        <v>1.4546520000000001</v>
      </c>
      <c r="N562" t="str">
        <f t="shared" si="87"/>
        <v>125-150%</v>
      </c>
      <c r="O562" s="9">
        <f>MIN($H562,$I562)*INDEX('2018_commission_structure'!$A$1:$I$4,MATCH($E562,'2018_commission_structure'!$A$1:$A$4,0),MATCH(O$1,'2018_commission_structure'!$A$1:$I$1,0))</f>
        <v>50000</v>
      </c>
      <c r="P562" s="9">
        <f>IF(H562&gt;I562, MIN(H562-I562, J562-I562)*INDEX('2018_commission_structure'!$A$1:$I$4,MATCH($E562,'2018_commission_structure'!$A$1:$A$4,0),MATCH(P$1,'2018_commission_structure'!$A$1:$I$1,0)),0)</f>
        <v>18750</v>
      </c>
      <c r="Q562" s="9">
        <f>IF($H562&gt;J562, MIN($H562-J562, K562-J562)*INDEX('2018_commission_structure'!$A$1:$I$4,MATCH($E562,'2018_commission_structure'!$A$1:$A$4,0),MATCH(Q$1,'2018_commission_structure'!$A$1:$I$1,0)),0)</f>
        <v>18418.68</v>
      </c>
      <c r="R562" s="9">
        <f>IF($H562&gt;K562, MIN($H562-K562, L562-K562)*INDEX('2018_commission_structure'!$A$1:$I$4,MATCH($E562,'2018_commission_structure'!$A$1:$A$4,0),MATCH(R$1,'2018_commission_structure'!$A$1:$I$1,0)),0)</f>
        <v>0</v>
      </c>
      <c r="S562" s="9">
        <f>IF(H562&gt;L562,(H562-L562)*INDEX('2018_commission_structure'!$A$1:$I$4,MATCH($E562,'2018_commission_structure'!$A$1:$A$4,0),MATCH(S$1,'2018_commission_structure'!$A$1:$I$1,0)),0)</f>
        <v>0</v>
      </c>
      <c r="T562" s="9">
        <f t="shared" si="88"/>
        <v>87168.68</v>
      </c>
      <c r="U562" s="9">
        <f t="shared" si="90"/>
        <v>119024.68</v>
      </c>
      <c r="V562" s="9">
        <f>MIN($I562,$H562)*INDEX('Key Metrics'!$E$16:$N$19,MATCH($E562,'Key Metrics'!$E$16:$E$19,0),MATCH(V$1,'Key Metrics'!$E$16:$M$16,0))</f>
        <v>60000</v>
      </c>
      <c r="W562" s="9">
        <f>IF($H562&gt;I562, MIN($H562-I562, J562-I562)*INDEX('Key Metrics'!$E$16:$N$19,MATCH($E562,'Key Metrics'!$E$16:$E$19,0),MATCH(W$1,'Key Metrics'!$E$16:$M$16,0)),0)</f>
        <v>21250</v>
      </c>
      <c r="X562" s="9">
        <f>IF($H562&gt;J562, MIN($H562-J562, K562-J562)*INDEX('Key Metrics'!$E$16:$N$19,MATCH($E562,'Key Metrics'!$E$16:$E$19,0),MATCH(X$1,'Key Metrics'!$E$16:$M$16,0)),0)</f>
        <v>20465.2</v>
      </c>
      <c r="Y562" s="9">
        <f>IF($H562&gt;K562, MIN($H562-K562, L562-K562)*INDEX('Key Metrics'!$E$16:$N$19,MATCH($E562,'Key Metrics'!$E$16:$E$19,0),MATCH(Y$1,'Key Metrics'!$E$16:$M$16,0)),0)</f>
        <v>0</v>
      </c>
      <c r="Z562" s="9">
        <f>IF($H562&gt;L562,($H562-L562)*INDEX('Key Metrics'!$E$16:$N$19,MATCH($E562,'Key Metrics'!$E$16:$E$19,0),MATCH(Z$1,'Key Metrics'!$E$16:$M$16,0)),0)</f>
        <v>0</v>
      </c>
      <c r="AA562" s="9">
        <f t="shared" si="89"/>
        <v>101715.2</v>
      </c>
      <c r="AB562" s="9">
        <f t="shared" si="91"/>
        <v>101716.654652</v>
      </c>
    </row>
    <row r="563" spans="1:28" x14ac:dyDescent="0.55000000000000004">
      <c r="A563" t="str">
        <f t="shared" si="82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COUNTIF(deals_closed!$D$2:$D$20001,Calculations!B849)</f>
        <v>23</v>
      </c>
      <c r="H563" s="7">
        <f>SUMIF(deals_closed!$D:$D,Calculations!B849,deals_closed!$C:$C)</f>
        <v>852910</v>
      </c>
      <c r="I563" s="5">
        <f>VLOOKUP(E563,'2018_commission_structure'!$A$1:$I$4,9,FALSE)</f>
        <v>500000</v>
      </c>
      <c r="J563" s="9">
        <f t="shared" si="83"/>
        <v>625000</v>
      </c>
      <c r="K563" s="10">
        <f t="shared" si="84"/>
        <v>750000</v>
      </c>
      <c r="L563" s="9">
        <f t="shared" si="85"/>
        <v>1000000</v>
      </c>
      <c r="M563" s="8">
        <f t="shared" si="86"/>
        <v>1.7058199999999999</v>
      </c>
      <c r="N563" t="str">
        <f t="shared" si="87"/>
        <v>150-200%</v>
      </c>
      <c r="O563" s="9">
        <f>MIN($H563,$I563)*INDEX('2018_commission_structure'!$A$1:$I$4,MATCH($E563,'2018_commission_structure'!$A$1:$A$4,0),MATCH(O$1,'2018_commission_structure'!$A$1:$I$1,0))</f>
        <v>50000</v>
      </c>
      <c r="P563" s="9">
        <f>IF(H563&gt;I563, MIN(H563-I563, J563-I563)*INDEX('2018_commission_structure'!$A$1:$I$4,MATCH($E563,'2018_commission_structure'!$A$1:$A$4,0),MATCH(P$1,'2018_commission_structure'!$A$1:$I$1,0)),0)</f>
        <v>18750</v>
      </c>
      <c r="Q563" s="9">
        <f>IF($H563&gt;J563, MIN($H563-J563, K563-J563)*INDEX('2018_commission_structure'!$A$1:$I$4,MATCH($E563,'2018_commission_structure'!$A$1:$A$4,0),MATCH(Q$1,'2018_commission_structure'!$A$1:$I$1,0)),0)</f>
        <v>22500</v>
      </c>
      <c r="R563" s="9">
        <f>IF($H563&gt;K563, MIN($H563-K563, L563-K563)*INDEX('2018_commission_structure'!$A$1:$I$4,MATCH($E563,'2018_commission_structure'!$A$1:$A$4,0),MATCH(R$1,'2018_commission_structure'!$A$1:$I$1,0)),0)</f>
        <v>22640.2</v>
      </c>
      <c r="S563" s="9">
        <f>IF(H563&gt;L563,(H563-L563)*INDEX('2018_commission_structure'!$A$1:$I$4,MATCH($E563,'2018_commission_structure'!$A$1:$A$4,0),MATCH(S$1,'2018_commission_structure'!$A$1:$I$1,0)),0)</f>
        <v>0</v>
      </c>
      <c r="T563" s="9">
        <f t="shared" si="88"/>
        <v>113890.2</v>
      </c>
      <c r="U563" s="9">
        <f t="shared" si="90"/>
        <v>153506.20000000001</v>
      </c>
      <c r="V563" s="9">
        <f>MIN($I563,$H563)*INDEX('Key Metrics'!$E$16:$N$19,MATCH($E563,'Key Metrics'!$E$16:$E$19,0),MATCH(V$1,'Key Metrics'!$E$16:$M$16,0))</f>
        <v>60000</v>
      </c>
      <c r="W563" s="9">
        <f>IF($H563&gt;I563, MIN($H563-I563, J563-I563)*INDEX('Key Metrics'!$E$16:$N$19,MATCH($E563,'Key Metrics'!$E$16:$E$19,0),MATCH(W$1,'Key Metrics'!$E$16:$M$16,0)),0)</f>
        <v>21250</v>
      </c>
      <c r="X563" s="9">
        <f>IF($H563&gt;J563, MIN($H563-J563, K563-J563)*INDEX('Key Metrics'!$E$16:$N$19,MATCH($E563,'Key Metrics'!$E$16:$E$19,0),MATCH(X$1,'Key Metrics'!$E$16:$M$16,0)),0)</f>
        <v>25000</v>
      </c>
      <c r="Y563" s="9">
        <f>IF($H563&gt;K563, MIN($H563-K563, L563-K563)*INDEX('Key Metrics'!$E$16:$N$19,MATCH($E563,'Key Metrics'!$E$16:$E$19,0),MATCH(Y$1,'Key Metrics'!$E$16:$M$16,0)),0)</f>
        <v>22640.2</v>
      </c>
      <c r="Z563" s="9">
        <f>IF($H563&gt;L563,($H563-L563)*INDEX('Key Metrics'!$E$16:$N$19,MATCH($E563,'Key Metrics'!$E$16:$E$19,0),MATCH(Z$1,'Key Metrics'!$E$16:$M$16,0)),0)</f>
        <v>0</v>
      </c>
      <c r="AA563" s="9">
        <f t="shared" si="89"/>
        <v>128890.2</v>
      </c>
      <c r="AB563" s="9">
        <f t="shared" si="91"/>
        <v>128891.90582</v>
      </c>
    </row>
    <row r="564" spans="1:28" x14ac:dyDescent="0.55000000000000004">
      <c r="A564" t="str">
        <f t="shared" si="82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COUNTIF(deals_closed!$D$2:$D$20001,Calculations!B103)</f>
        <v>17</v>
      </c>
      <c r="H564" s="7">
        <f>SUMIF(deals_closed!$D:$D,Calculations!B103,deals_closed!$C:$C)</f>
        <v>661373</v>
      </c>
      <c r="I564" s="5">
        <f>VLOOKUP(E564,'2018_commission_structure'!$A$1:$I$4,9,FALSE)</f>
        <v>500000</v>
      </c>
      <c r="J564" s="9">
        <f t="shared" si="83"/>
        <v>625000</v>
      </c>
      <c r="K564" s="10">
        <f t="shared" si="84"/>
        <v>750000</v>
      </c>
      <c r="L564" s="9">
        <f t="shared" si="85"/>
        <v>1000000</v>
      </c>
      <c r="M564" s="8">
        <f t="shared" si="86"/>
        <v>1.322746</v>
      </c>
      <c r="N564" t="str">
        <f t="shared" si="87"/>
        <v>125-150%</v>
      </c>
      <c r="O564" s="9">
        <f>MIN($H564,$I564)*INDEX('2018_commission_structure'!$A$1:$I$4,MATCH($E564,'2018_commission_structure'!$A$1:$A$4,0),MATCH(O$1,'2018_commission_structure'!$A$1:$I$1,0))</f>
        <v>50000</v>
      </c>
      <c r="P564" s="9">
        <f>IF(H564&gt;I564, MIN(H564-I564, J564-I564)*INDEX('2018_commission_structure'!$A$1:$I$4,MATCH($E564,'2018_commission_structure'!$A$1:$A$4,0),MATCH(P$1,'2018_commission_structure'!$A$1:$I$1,0)),0)</f>
        <v>18750</v>
      </c>
      <c r="Q564" s="9">
        <f>IF($H564&gt;J564, MIN($H564-J564, K564-J564)*INDEX('2018_commission_structure'!$A$1:$I$4,MATCH($E564,'2018_commission_structure'!$A$1:$A$4,0),MATCH(Q$1,'2018_commission_structure'!$A$1:$I$1,0)),0)</f>
        <v>6547.1399999999994</v>
      </c>
      <c r="R564" s="9">
        <f>IF($H564&gt;K564, MIN($H564-K564, L564-K564)*INDEX('2018_commission_structure'!$A$1:$I$4,MATCH($E564,'2018_commission_structure'!$A$1:$A$4,0),MATCH(R$1,'2018_commission_structure'!$A$1:$I$1,0)),0)</f>
        <v>0</v>
      </c>
      <c r="S564" s="9">
        <f>IF(H564&gt;L564,(H564-L564)*INDEX('2018_commission_structure'!$A$1:$I$4,MATCH($E564,'2018_commission_structure'!$A$1:$A$4,0),MATCH(S$1,'2018_commission_structure'!$A$1:$I$1,0)),0)</f>
        <v>0</v>
      </c>
      <c r="T564" s="9">
        <f t="shared" si="88"/>
        <v>75297.14</v>
      </c>
      <c r="U564" s="9">
        <f t="shared" si="90"/>
        <v>118459.14</v>
      </c>
      <c r="V564" s="9">
        <f>MIN($I564,$H564)*INDEX('Key Metrics'!$E$16:$N$19,MATCH($E564,'Key Metrics'!$E$16:$E$19,0),MATCH(V$1,'Key Metrics'!$E$16:$M$16,0))</f>
        <v>60000</v>
      </c>
      <c r="W564" s="9">
        <f>IF($H564&gt;I564, MIN($H564-I564, J564-I564)*INDEX('Key Metrics'!$E$16:$N$19,MATCH($E564,'Key Metrics'!$E$16:$E$19,0),MATCH(W$1,'Key Metrics'!$E$16:$M$16,0)),0)</f>
        <v>21250</v>
      </c>
      <c r="X564" s="9">
        <f>IF($H564&gt;J564, MIN($H564-J564, K564-J564)*INDEX('Key Metrics'!$E$16:$N$19,MATCH($E564,'Key Metrics'!$E$16:$E$19,0),MATCH(X$1,'Key Metrics'!$E$16:$M$16,0)),0)</f>
        <v>7274.6</v>
      </c>
      <c r="Y564" s="9">
        <f>IF($H564&gt;K564, MIN($H564-K564, L564-K564)*INDEX('Key Metrics'!$E$16:$N$19,MATCH($E564,'Key Metrics'!$E$16:$E$19,0),MATCH(Y$1,'Key Metrics'!$E$16:$M$16,0)),0)</f>
        <v>0</v>
      </c>
      <c r="Z564" s="9">
        <f>IF($H564&gt;L564,($H564-L564)*INDEX('Key Metrics'!$E$16:$N$19,MATCH($E564,'Key Metrics'!$E$16:$E$19,0),MATCH(Z$1,'Key Metrics'!$E$16:$M$16,0)),0)</f>
        <v>0</v>
      </c>
      <c r="AA564" s="9">
        <f t="shared" si="89"/>
        <v>88524.6</v>
      </c>
      <c r="AB564" s="9">
        <f t="shared" si="91"/>
        <v>88525.922746000011</v>
      </c>
    </row>
    <row r="565" spans="1:28" x14ac:dyDescent="0.55000000000000004">
      <c r="A565" t="str">
        <f t="shared" si="82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COUNTIF(deals_closed!$D$2:$D$20001,Calculations!B702)</f>
        <v>21</v>
      </c>
      <c r="H565" s="7">
        <f>SUMIF(deals_closed!$D:$D,Calculations!B702,deals_closed!$C:$C)</f>
        <v>716444</v>
      </c>
      <c r="I565" s="5">
        <f>VLOOKUP(E565,'2018_commission_structure'!$A$1:$I$4,9,FALSE)</f>
        <v>600000</v>
      </c>
      <c r="J565" s="9">
        <f t="shared" si="83"/>
        <v>750000</v>
      </c>
      <c r="K565" s="10">
        <f t="shared" si="84"/>
        <v>900000</v>
      </c>
      <c r="L565" s="9">
        <f t="shared" si="85"/>
        <v>1200000</v>
      </c>
      <c r="M565" s="8">
        <f t="shared" si="86"/>
        <v>1.1940733333333333</v>
      </c>
      <c r="N565" t="str">
        <f t="shared" si="87"/>
        <v>100-125%</v>
      </c>
      <c r="O565" s="9">
        <f>MIN($H565,$I565)*INDEX('2018_commission_structure'!$A$1:$I$4,MATCH($E565,'2018_commission_structure'!$A$1:$A$4,0),MATCH(O$1,'2018_commission_structure'!$A$1:$I$1,0))</f>
        <v>78000</v>
      </c>
      <c r="P565" s="9">
        <f>IF(H565&gt;I565, MIN(H565-I565, J565-I565)*INDEX('2018_commission_structure'!$A$1:$I$4,MATCH($E565,'2018_commission_structure'!$A$1:$A$4,0),MATCH(P$1,'2018_commission_structure'!$A$1:$I$1,0)),0)</f>
        <v>19795.480000000003</v>
      </c>
      <c r="Q565" s="9">
        <f>IF($H565&gt;J565, MIN($H565-J565, K565-J565)*INDEX('2018_commission_structure'!$A$1:$I$4,MATCH($E565,'2018_commission_structure'!$A$1:$A$4,0),MATCH(Q$1,'2018_commission_structure'!$A$1:$I$1,0)),0)</f>
        <v>0</v>
      </c>
      <c r="R565" s="9">
        <f>IF($H565&gt;K565, MIN($H565-K565, L565-K565)*INDEX('2018_commission_structure'!$A$1:$I$4,MATCH($E565,'2018_commission_structure'!$A$1:$A$4,0),MATCH(R$1,'2018_commission_structure'!$A$1:$I$1,0)),0)</f>
        <v>0</v>
      </c>
      <c r="S565" s="9">
        <f>IF(H565&gt;L565,(H565-L565)*INDEX('2018_commission_structure'!$A$1:$I$4,MATCH($E565,'2018_commission_structure'!$A$1:$A$4,0),MATCH(S$1,'2018_commission_structure'!$A$1:$I$1,0)),0)</f>
        <v>0</v>
      </c>
      <c r="T565" s="9">
        <f t="shared" si="88"/>
        <v>97795.48000000001</v>
      </c>
      <c r="U565" s="9">
        <f t="shared" si="90"/>
        <v>152397.48000000001</v>
      </c>
      <c r="V565" s="9">
        <f>MIN($I565,$H565)*INDEX('Key Metrics'!$E$16:$N$19,MATCH($E565,'Key Metrics'!$E$16:$E$19,0),MATCH(V$1,'Key Metrics'!$E$16:$M$16,0))</f>
        <v>90000</v>
      </c>
      <c r="W565" s="9">
        <f>IF($H565&gt;I565, MIN($H565-I565, J565-I565)*INDEX('Key Metrics'!$E$16:$N$19,MATCH($E565,'Key Metrics'!$E$16:$E$19,0),MATCH(W$1,'Key Metrics'!$E$16:$M$16,0)),0)</f>
        <v>20959.919999999998</v>
      </c>
      <c r="X565" s="9">
        <f>IF($H565&gt;J565, MIN($H565-J565, K565-J565)*INDEX('Key Metrics'!$E$16:$N$19,MATCH($E565,'Key Metrics'!$E$16:$E$19,0),MATCH(X$1,'Key Metrics'!$E$16:$M$16,0)),0)</f>
        <v>0</v>
      </c>
      <c r="Y565" s="9">
        <f>IF($H565&gt;K565, MIN($H565-K565, L565-K565)*INDEX('Key Metrics'!$E$16:$N$19,MATCH($E565,'Key Metrics'!$E$16:$E$19,0),MATCH(Y$1,'Key Metrics'!$E$16:$M$16,0)),0)</f>
        <v>0</v>
      </c>
      <c r="Z565" s="9">
        <f>IF($H565&gt;L565,($H565-L565)*INDEX('Key Metrics'!$E$16:$N$19,MATCH($E565,'Key Metrics'!$E$16:$E$19,0),MATCH(Z$1,'Key Metrics'!$E$16:$M$16,0)),0)</f>
        <v>0</v>
      </c>
      <c r="AA565" s="9">
        <f t="shared" si="89"/>
        <v>110959.92</v>
      </c>
      <c r="AB565" s="9">
        <f t="shared" si="91"/>
        <v>110961.11407333333</v>
      </c>
    </row>
    <row r="566" spans="1:28" x14ac:dyDescent="0.55000000000000004">
      <c r="A566" t="str">
        <f t="shared" si="82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COUNTIF(deals_closed!$D$2:$D$20001,Calculations!B723)</f>
        <v>17</v>
      </c>
      <c r="H566" s="7">
        <f>SUMIF(deals_closed!$D:$D,Calculations!B723,deals_closed!$C:$C)</f>
        <v>695501</v>
      </c>
      <c r="I566" s="5">
        <f>VLOOKUP(E566,'2018_commission_structure'!$A$1:$I$4,9,FALSE)</f>
        <v>500000</v>
      </c>
      <c r="J566" s="9">
        <f t="shared" si="83"/>
        <v>625000</v>
      </c>
      <c r="K566" s="10">
        <f t="shared" si="84"/>
        <v>750000</v>
      </c>
      <c r="L566" s="9">
        <f t="shared" si="85"/>
        <v>1000000</v>
      </c>
      <c r="M566" s="8">
        <f t="shared" si="86"/>
        <v>1.3910020000000001</v>
      </c>
      <c r="N566" t="str">
        <f t="shared" si="87"/>
        <v>125-150%</v>
      </c>
      <c r="O566" s="9">
        <f>MIN($H566,$I566)*INDEX('2018_commission_structure'!$A$1:$I$4,MATCH($E566,'2018_commission_structure'!$A$1:$A$4,0),MATCH(O$1,'2018_commission_structure'!$A$1:$I$1,0))</f>
        <v>50000</v>
      </c>
      <c r="P566" s="9">
        <f>IF(H566&gt;I566, MIN(H566-I566, J566-I566)*INDEX('2018_commission_structure'!$A$1:$I$4,MATCH($E566,'2018_commission_structure'!$A$1:$A$4,0),MATCH(P$1,'2018_commission_structure'!$A$1:$I$1,0)),0)</f>
        <v>18750</v>
      </c>
      <c r="Q566" s="9">
        <f>IF($H566&gt;J566, MIN($H566-J566, K566-J566)*INDEX('2018_commission_structure'!$A$1:$I$4,MATCH($E566,'2018_commission_structure'!$A$1:$A$4,0),MATCH(Q$1,'2018_commission_structure'!$A$1:$I$1,0)),0)</f>
        <v>12690.18</v>
      </c>
      <c r="R566" s="9">
        <f>IF($H566&gt;K566, MIN($H566-K566, L566-K566)*INDEX('2018_commission_structure'!$A$1:$I$4,MATCH($E566,'2018_commission_structure'!$A$1:$A$4,0),MATCH(R$1,'2018_commission_structure'!$A$1:$I$1,0)),0)</f>
        <v>0</v>
      </c>
      <c r="S566" s="9">
        <f>IF(H566&gt;L566,(H566-L566)*INDEX('2018_commission_structure'!$A$1:$I$4,MATCH($E566,'2018_commission_structure'!$A$1:$A$4,0),MATCH(S$1,'2018_commission_structure'!$A$1:$I$1,0)),0)</f>
        <v>0</v>
      </c>
      <c r="T566" s="9">
        <f t="shared" si="88"/>
        <v>81440.179999999993</v>
      </c>
      <c r="U566" s="9">
        <f t="shared" si="90"/>
        <v>121396.18</v>
      </c>
      <c r="V566" s="9">
        <f>MIN($I566,$H566)*INDEX('Key Metrics'!$E$16:$N$19,MATCH($E566,'Key Metrics'!$E$16:$E$19,0),MATCH(V$1,'Key Metrics'!$E$16:$M$16,0))</f>
        <v>60000</v>
      </c>
      <c r="W566" s="9">
        <f>IF($H566&gt;I566, MIN($H566-I566, J566-I566)*INDEX('Key Metrics'!$E$16:$N$19,MATCH($E566,'Key Metrics'!$E$16:$E$19,0),MATCH(W$1,'Key Metrics'!$E$16:$M$16,0)),0)</f>
        <v>21250</v>
      </c>
      <c r="X566" s="9">
        <f>IF($H566&gt;J566, MIN($H566-J566, K566-J566)*INDEX('Key Metrics'!$E$16:$N$19,MATCH($E566,'Key Metrics'!$E$16:$E$19,0),MATCH(X$1,'Key Metrics'!$E$16:$M$16,0)),0)</f>
        <v>14100.2</v>
      </c>
      <c r="Y566" s="9">
        <f>IF($H566&gt;K566, MIN($H566-K566, L566-K566)*INDEX('Key Metrics'!$E$16:$N$19,MATCH($E566,'Key Metrics'!$E$16:$E$19,0),MATCH(Y$1,'Key Metrics'!$E$16:$M$16,0)),0)</f>
        <v>0</v>
      </c>
      <c r="Z566" s="9">
        <f>IF($H566&gt;L566,($H566-L566)*INDEX('Key Metrics'!$E$16:$N$19,MATCH($E566,'Key Metrics'!$E$16:$E$19,0),MATCH(Z$1,'Key Metrics'!$E$16:$M$16,0)),0)</f>
        <v>0</v>
      </c>
      <c r="AA566" s="9">
        <f t="shared" si="89"/>
        <v>95350.2</v>
      </c>
      <c r="AB566" s="9">
        <f t="shared" si="91"/>
        <v>95351.591002000001</v>
      </c>
    </row>
    <row r="567" spans="1:28" x14ac:dyDescent="0.55000000000000004">
      <c r="A567" t="str">
        <f t="shared" si="82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COUNTIF(deals_closed!$D$2:$D$20001,Calculations!B371)</f>
        <v>14</v>
      </c>
      <c r="H567" s="7">
        <f>SUMIF(deals_closed!$D:$D,Calculations!B371,deals_closed!$C:$C)</f>
        <v>480741</v>
      </c>
      <c r="I567" s="5">
        <f>VLOOKUP(E567,'2018_commission_structure'!$A$1:$I$4,9,FALSE)</f>
        <v>600000</v>
      </c>
      <c r="J567" s="9">
        <f t="shared" si="83"/>
        <v>750000</v>
      </c>
      <c r="K567" s="10">
        <f t="shared" si="84"/>
        <v>900000</v>
      </c>
      <c r="L567" s="9">
        <f t="shared" si="85"/>
        <v>1200000</v>
      </c>
      <c r="M567" s="8">
        <f t="shared" si="86"/>
        <v>0.80123500000000003</v>
      </c>
      <c r="N567" t="str">
        <f t="shared" si="87"/>
        <v>0-100%</v>
      </c>
      <c r="O567" s="9">
        <f>MIN($H567,$I567)*INDEX('2018_commission_structure'!$A$1:$I$4,MATCH($E567,'2018_commission_structure'!$A$1:$A$4,0),MATCH(O$1,'2018_commission_structure'!$A$1:$I$1,0))</f>
        <v>62496.33</v>
      </c>
      <c r="P567" s="9">
        <f>IF(H567&gt;I567, MIN(H567-I567, J567-I567)*INDEX('2018_commission_structure'!$A$1:$I$4,MATCH($E567,'2018_commission_structure'!$A$1:$A$4,0),MATCH(P$1,'2018_commission_structure'!$A$1:$I$1,0)),0)</f>
        <v>0</v>
      </c>
      <c r="Q567" s="9">
        <f>IF($H567&gt;J567, MIN($H567-J567, K567-J567)*INDEX('2018_commission_structure'!$A$1:$I$4,MATCH($E567,'2018_commission_structure'!$A$1:$A$4,0),MATCH(Q$1,'2018_commission_structure'!$A$1:$I$1,0)),0)</f>
        <v>0</v>
      </c>
      <c r="R567" s="9">
        <f>IF($H567&gt;K567, MIN($H567-K567, L567-K567)*INDEX('2018_commission_structure'!$A$1:$I$4,MATCH($E567,'2018_commission_structure'!$A$1:$A$4,0),MATCH(R$1,'2018_commission_structure'!$A$1:$I$1,0)),0)</f>
        <v>0</v>
      </c>
      <c r="S567" s="9">
        <f>IF(H567&gt;L567,(H567-L567)*INDEX('2018_commission_structure'!$A$1:$I$4,MATCH($E567,'2018_commission_structure'!$A$1:$A$4,0),MATCH(S$1,'2018_commission_structure'!$A$1:$I$1,0)),0)</f>
        <v>0</v>
      </c>
      <c r="T567" s="9">
        <f t="shared" si="88"/>
        <v>62496.33</v>
      </c>
      <c r="U567" s="9">
        <f t="shared" si="90"/>
        <v>126752.33</v>
      </c>
      <c r="V567" s="9">
        <f>MIN($I567,$H567)*INDEX('Key Metrics'!$E$16:$N$19,MATCH($E567,'Key Metrics'!$E$16:$E$19,0),MATCH(V$1,'Key Metrics'!$E$16:$M$16,0))</f>
        <v>72111.149999999994</v>
      </c>
      <c r="W567" s="9">
        <f>IF($H567&gt;I567, MIN($H567-I567, J567-I567)*INDEX('Key Metrics'!$E$16:$N$19,MATCH($E567,'Key Metrics'!$E$16:$E$19,0),MATCH(W$1,'Key Metrics'!$E$16:$M$16,0)),0)</f>
        <v>0</v>
      </c>
      <c r="X567" s="9">
        <f>IF($H567&gt;J567, MIN($H567-J567, K567-J567)*INDEX('Key Metrics'!$E$16:$N$19,MATCH($E567,'Key Metrics'!$E$16:$E$19,0),MATCH(X$1,'Key Metrics'!$E$16:$M$16,0)),0)</f>
        <v>0</v>
      </c>
      <c r="Y567" s="9">
        <f>IF($H567&gt;K567, MIN($H567-K567, L567-K567)*INDEX('Key Metrics'!$E$16:$N$19,MATCH($E567,'Key Metrics'!$E$16:$E$19,0),MATCH(Y$1,'Key Metrics'!$E$16:$M$16,0)),0)</f>
        <v>0</v>
      </c>
      <c r="Z567" s="9">
        <f>IF($H567&gt;L567,($H567-L567)*INDEX('Key Metrics'!$E$16:$N$19,MATCH($E567,'Key Metrics'!$E$16:$E$19,0),MATCH(Z$1,'Key Metrics'!$E$16:$M$16,0)),0)</f>
        <v>0</v>
      </c>
      <c r="AA567" s="9">
        <f t="shared" si="89"/>
        <v>72111.149999999994</v>
      </c>
      <c r="AB567" s="9">
        <f t="shared" si="91"/>
        <v>72111.951235</v>
      </c>
    </row>
    <row r="568" spans="1:28" x14ac:dyDescent="0.55000000000000004">
      <c r="A568" t="str">
        <f t="shared" si="82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COUNTIF(deals_closed!$D$2:$D$20001,Calculations!B792)</f>
        <v>14</v>
      </c>
      <c r="H568" s="7">
        <f>SUMIF(deals_closed!$D:$D,Calculations!B792,deals_closed!$C:$C)</f>
        <v>413843</v>
      </c>
      <c r="I568" s="5">
        <f>VLOOKUP(E568,'2018_commission_structure'!$A$1:$I$4,9,FALSE)</f>
        <v>600000</v>
      </c>
      <c r="J568" s="9">
        <f t="shared" si="83"/>
        <v>750000</v>
      </c>
      <c r="K568" s="10">
        <f t="shared" si="84"/>
        <v>900000</v>
      </c>
      <c r="L568" s="9">
        <f t="shared" si="85"/>
        <v>1200000</v>
      </c>
      <c r="M568" s="8">
        <f t="shared" si="86"/>
        <v>0.68973833333333334</v>
      </c>
      <c r="N568" t="str">
        <f t="shared" si="87"/>
        <v>0-100%</v>
      </c>
      <c r="O568" s="9">
        <f>MIN($H568,$I568)*INDEX('2018_commission_structure'!$A$1:$I$4,MATCH($E568,'2018_commission_structure'!$A$1:$A$4,0),MATCH(O$1,'2018_commission_structure'!$A$1:$I$1,0))</f>
        <v>53799.590000000004</v>
      </c>
      <c r="P568" s="9">
        <f>IF(H568&gt;I568, MIN(H568-I568, J568-I568)*INDEX('2018_commission_structure'!$A$1:$I$4,MATCH($E568,'2018_commission_structure'!$A$1:$A$4,0),MATCH(P$1,'2018_commission_structure'!$A$1:$I$1,0)),0)</f>
        <v>0</v>
      </c>
      <c r="Q568" s="9">
        <f>IF($H568&gt;J568, MIN($H568-J568, K568-J568)*INDEX('2018_commission_structure'!$A$1:$I$4,MATCH($E568,'2018_commission_structure'!$A$1:$A$4,0),MATCH(Q$1,'2018_commission_structure'!$A$1:$I$1,0)),0)</f>
        <v>0</v>
      </c>
      <c r="R568" s="9">
        <f>IF($H568&gt;K568, MIN($H568-K568, L568-K568)*INDEX('2018_commission_structure'!$A$1:$I$4,MATCH($E568,'2018_commission_structure'!$A$1:$A$4,0),MATCH(R$1,'2018_commission_structure'!$A$1:$I$1,0)),0)</f>
        <v>0</v>
      </c>
      <c r="S568" s="9">
        <f>IF(H568&gt;L568,(H568-L568)*INDEX('2018_commission_structure'!$A$1:$I$4,MATCH($E568,'2018_commission_structure'!$A$1:$A$4,0),MATCH(S$1,'2018_commission_structure'!$A$1:$I$1,0)),0)</f>
        <v>0</v>
      </c>
      <c r="T568" s="9">
        <f t="shared" si="88"/>
        <v>53799.590000000004</v>
      </c>
      <c r="U568" s="9">
        <f t="shared" si="90"/>
        <v>119774.59</v>
      </c>
      <c r="V568" s="9">
        <f>MIN($I568,$H568)*INDEX('Key Metrics'!$E$16:$N$19,MATCH($E568,'Key Metrics'!$E$16:$E$19,0),MATCH(V$1,'Key Metrics'!$E$16:$M$16,0))</f>
        <v>62076.45</v>
      </c>
      <c r="W568" s="9">
        <f>IF($H568&gt;I568, MIN($H568-I568, J568-I568)*INDEX('Key Metrics'!$E$16:$N$19,MATCH($E568,'Key Metrics'!$E$16:$E$19,0),MATCH(W$1,'Key Metrics'!$E$16:$M$16,0)),0)</f>
        <v>0</v>
      </c>
      <c r="X568" s="9">
        <f>IF($H568&gt;J568, MIN($H568-J568, K568-J568)*INDEX('Key Metrics'!$E$16:$N$19,MATCH($E568,'Key Metrics'!$E$16:$E$19,0),MATCH(X$1,'Key Metrics'!$E$16:$M$16,0)),0)</f>
        <v>0</v>
      </c>
      <c r="Y568" s="9">
        <f>IF($H568&gt;K568, MIN($H568-K568, L568-K568)*INDEX('Key Metrics'!$E$16:$N$19,MATCH($E568,'Key Metrics'!$E$16:$E$19,0),MATCH(Y$1,'Key Metrics'!$E$16:$M$16,0)),0)</f>
        <v>0</v>
      </c>
      <c r="Z568" s="9">
        <f>IF($H568&gt;L568,($H568-L568)*INDEX('Key Metrics'!$E$16:$N$19,MATCH($E568,'Key Metrics'!$E$16:$E$19,0),MATCH(Z$1,'Key Metrics'!$E$16:$M$16,0)),0)</f>
        <v>0</v>
      </c>
      <c r="AA568" s="9">
        <f t="shared" si="89"/>
        <v>62076.45</v>
      </c>
      <c r="AB568" s="9">
        <f t="shared" si="91"/>
        <v>62077.139738333331</v>
      </c>
    </row>
    <row r="569" spans="1:28" x14ac:dyDescent="0.55000000000000004">
      <c r="A569" t="str">
        <f t="shared" si="82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COUNTIF(deals_closed!$D$2:$D$20001,Calculations!B124)</f>
        <v>20</v>
      </c>
      <c r="H569" s="7">
        <f>SUMIF(deals_closed!$D:$D,Calculations!B124,deals_closed!$C:$C)</f>
        <v>704699</v>
      </c>
      <c r="I569" s="5">
        <f>VLOOKUP(E569,'2018_commission_structure'!$A$1:$I$4,9,FALSE)</f>
        <v>500000</v>
      </c>
      <c r="J569" s="9">
        <f t="shared" si="83"/>
        <v>625000</v>
      </c>
      <c r="K569" s="10">
        <f t="shared" si="84"/>
        <v>750000</v>
      </c>
      <c r="L569" s="9">
        <f t="shared" si="85"/>
        <v>1000000</v>
      </c>
      <c r="M569" s="8">
        <f t="shared" si="86"/>
        <v>1.4093979999999999</v>
      </c>
      <c r="N569" t="str">
        <f t="shared" si="87"/>
        <v>125-150%</v>
      </c>
      <c r="O569" s="9">
        <f>MIN($H569,$I569)*INDEX('2018_commission_structure'!$A$1:$I$4,MATCH($E569,'2018_commission_structure'!$A$1:$A$4,0),MATCH(O$1,'2018_commission_structure'!$A$1:$I$1,0))</f>
        <v>50000</v>
      </c>
      <c r="P569" s="9">
        <f>IF(H569&gt;I569, MIN(H569-I569, J569-I569)*INDEX('2018_commission_structure'!$A$1:$I$4,MATCH($E569,'2018_commission_structure'!$A$1:$A$4,0),MATCH(P$1,'2018_commission_structure'!$A$1:$I$1,0)),0)</f>
        <v>18750</v>
      </c>
      <c r="Q569" s="9">
        <f>IF($H569&gt;J569, MIN($H569-J569, K569-J569)*INDEX('2018_commission_structure'!$A$1:$I$4,MATCH($E569,'2018_commission_structure'!$A$1:$A$4,0),MATCH(Q$1,'2018_commission_structure'!$A$1:$I$1,0)),0)</f>
        <v>14345.82</v>
      </c>
      <c r="R569" s="9">
        <f>IF($H569&gt;K569, MIN($H569-K569, L569-K569)*INDEX('2018_commission_structure'!$A$1:$I$4,MATCH($E569,'2018_commission_structure'!$A$1:$A$4,0),MATCH(R$1,'2018_commission_structure'!$A$1:$I$1,0)),0)</f>
        <v>0</v>
      </c>
      <c r="S569" s="9">
        <f>IF(H569&gt;L569,(H569-L569)*INDEX('2018_commission_structure'!$A$1:$I$4,MATCH($E569,'2018_commission_structure'!$A$1:$A$4,0),MATCH(S$1,'2018_commission_structure'!$A$1:$I$1,0)),0)</f>
        <v>0</v>
      </c>
      <c r="T569" s="9">
        <f t="shared" si="88"/>
        <v>83095.820000000007</v>
      </c>
      <c r="U569" s="9">
        <f t="shared" si="90"/>
        <v>116211.82</v>
      </c>
      <c r="V569" s="9">
        <f>MIN($I569,$H569)*INDEX('Key Metrics'!$E$16:$N$19,MATCH($E569,'Key Metrics'!$E$16:$E$19,0),MATCH(V$1,'Key Metrics'!$E$16:$M$16,0))</f>
        <v>60000</v>
      </c>
      <c r="W569" s="9">
        <f>IF($H569&gt;I569, MIN($H569-I569, J569-I569)*INDEX('Key Metrics'!$E$16:$N$19,MATCH($E569,'Key Metrics'!$E$16:$E$19,0),MATCH(W$1,'Key Metrics'!$E$16:$M$16,0)),0)</f>
        <v>21250</v>
      </c>
      <c r="X569" s="9">
        <f>IF($H569&gt;J569, MIN($H569-J569, K569-J569)*INDEX('Key Metrics'!$E$16:$N$19,MATCH($E569,'Key Metrics'!$E$16:$E$19,0),MATCH(X$1,'Key Metrics'!$E$16:$M$16,0)),0)</f>
        <v>15939.800000000001</v>
      </c>
      <c r="Y569" s="9">
        <f>IF($H569&gt;K569, MIN($H569-K569, L569-K569)*INDEX('Key Metrics'!$E$16:$N$19,MATCH($E569,'Key Metrics'!$E$16:$E$19,0),MATCH(Y$1,'Key Metrics'!$E$16:$M$16,0)),0)</f>
        <v>0</v>
      </c>
      <c r="Z569" s="9">
        <f>IF($H569&gt;L569,($H569-L569)*INDEX('Key Metrics'!$E$16:$N$19,MATCH($E569,'Key Metrics'!$E$16:$E$19,0),MATCH(Z$1,'Key Metrics'!$E$16:$M$16,0)),0)</f>
        <v>0</v>
      </c>
      <c r="AA569" s="9">
        <f t="shared" si="89"/>
        <v>97189.8</v>
      </c>
      <c r="AB569" s="9">
        <f t="shared" si="91"/>
        <v>97191.209398000006</v>
      </c>
    </row>
    <row r="570" spans="1:28" x14ac:dyDescent="0.55000000000000004">
      <c r="A570" t="str">
        <f t="shared" si="82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COUNTIF(deals_closed!$D$2:$D$20001,Calculations!B303)</f>
        <v>26</v>
      </c>
      <c r="H570" s="7">
        <f>SUMIF(deals_closed!$D:$D,Calculations!B303,deals_closed!$C:$C)</f>
        <v>895549</v>
      </c>
      <c r="I570" s="5">
        <f>VLOOKUP(E570,'2018_commission_structure'!$A$1:$I$4,9,FALSE)</f>
        <v>600000</v>
      </c>
      <c r="J570" s="9">
        <f t="shared" si="83"/>
        <v>750000</v>
      </c>
      <c r="K570" s="10">
        <f t="shared" si="84"/>
        <v>900000</v>
      </c>
      <c r="L570" s="9">
        <f t="shared" si="85"/>
        <v>1200000</v>
      </c>
      <c r="M570" s="8">
        <f t="shared" si="86"/>
        <v>1.4925816666666667</v>
      </c>
      <c r="N570" t="str">
        <f t="shared" si="87"/>
        <v>125-150%</v>
      </c>
      <c r="O570" s="9">
        <f>MIN($H570,$I570)*INDEX('2018_commission_structure'!$A$1:$I$4,MATCH($E570,'2018_commission_structure'!$A$1:$A$4,0),MATCH(O$1,'2018_commission_structure'!$A$1:$I$1,0))</f>
        <v>78000</v>
      </c>
      <c r="P570" s="9">
        <f>IF(H570&gt;I570, MIN(H570-I570, J570-I570)*INDEX('2018_commission_structure'!$A$1:$I$4,MATCH($E570,'2018_commission_structure'!$A$1:$A$4,0),MATCH(P$1,'2018_commission_structure'!$A$1:$I$1,0)),0)</f>
        <v>25500.000000000004</v>
      </c>
      <c r="Q570" s="9">
        <f>IF($H570&gt;J570, MIN($H570-J570, K570-J570)*INDEX('2018_commission_structure'!$A$1:$I$4,MATCH($E570,'2018_commission_structure'!$A$1:$A$4,0),MATCH(Q$1,'2018_commission_structure'!$A$1:$I$1,0)),0)</f>
        <v>30565.289999999997</v>
      </c>
      <c r="R570" s="9">
        <f>IF($H570&gt;K570, MIN($H570-K570, L570-K570)*INDEX('2018_commission_structure'!$A$1:$I$4,MATCH($E570,'2018_commission_structure'!$A$1:$A$4,0),MATCH(R$1,'2018_commission_structure'!$A$1:$I$1,0)),0)</f>
        <v>0</v>
      </c>
      <c r="S570" s="9">
        <f>IF(H570&gt;L570,(H570-L570)*INDEX('2018_commission_structure'!$A$1:$I$4,MATCH($E570,'2018_commission_structure'!$A$1:$A$4,0),MATCH(S$1,'2018_commission_structure'!$A$1:$I$1,0)),0)</f>
        <v>0</v>
      </c>
      <c r="T570" s="9">
        <f t="shared" si="88"/>
        <v>134065.29</v>
      </c>
      <c r="U570" s="9">
        <f t="shared" si="90"/>
        <v>208776.29</v>
      </c>
      <c r="V570" s="9">
        <f>MIN($I570,$H570)*INDEX('Key Metrics'!$E$16:$N$19,MATCH($E570,'Key Metrics'!$E$16:$E$19,0),MATCH(V$1,'Key Metrics'!$E$16:$M$16,0))</f>
        <v>90000</v>
      </c>
      <c r="W570" s="9">
        <f>IF($H570&gt;I570, MIN($H570-I570, J570-I570)*INDEX('Key Metrics'!$E$16:$N$19,MATCH($E570,'Key Metrics'!$E$16:$E$19,0),MATCH(W$1,'Key Metrics'!$E$16:$M$16,0)),0)</f>
        <v>27000</v>
      </c>
      <c r="X570" s="9">
        <f>IF($H570&gt;J570, MIN($H570-J570, K570-J570)*INDEX('Key Metrics'!$E$16:$N$19,MATCH($E570,'Key Metrics'!$E$16:$E$19,0),MATCH(X$1,'Key Metrics'!$E$16:$M$16,0)),0)</f>
        <v>36387.25</v>
      </c>
      <c r="Y570" s="9">
        <f>IF($H570&gt;K570, MIN($H570-K570, L570-K570)*INDEX('Key Metrics'!$E$16:$N$19,MATCH($E570,'Key Metrics'!$E$16:$E$19,0),MATCH(Y$1,'Key Metrics'!$E$16:$M$16,0)),0)</f>
        <v>0</v>
      </c>
      <c r="Z570" s="9">
        <f>IF($H570&gt;L570,($H570-L570)*INDEX('Key Metrics'!$E$16:$N$19,MATCH($E570,'Key Metrics'!$E$16:$E$19,0),MATCH(Z$1,'Key Metrics'!$E$16:$M$16,0)),0)</f>
        <v>0</v>
      </c>
      <c r="AA570" s="9">
        <f t="shared" si="89"/>
        <v>153387.25</v>
      </c>
      <c r="AB570" s="9">
        <f t="shared" si="91"/>
        <v>153388.74258166668</v>
      </c>
    </row>
    <row r="571" spans="1:28" x14ac:dyDescent="0.55000000000000004">
      <c r="A571" t="str">
        <f t="shared" si="82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COUNTIF(deals_closed!$D$2:$D$20001,Calculations!B945)</f>
        <v>11</v>
      </c>
      <c r="H571" s="7">
        <f>SUMIF(deals_closed!$D:$D,Calculations!B945,deals_closed!$C:$C)</f>
        <v>431484</v>
      </c>
      <c r="I571" s="5">
        <f>VLOOKUP(E571,'2018_commission_structure'!$A$1:$I$4,9,FALSE)</f>
        <v>500000</v>
      </c>
      <c r="J571" s="9">
        <f t="shared" si="83"/>
        <v>625000</v>
      </c>
      <c r="K571" s="10">
        <f t="shared" si="84"/>
        <v>750000</v>
      </c>
      <c r="L571" s="9">
        <f t="shared" si="85"/>
        <v>1000000</v>
      </c>
      <c r="M571" s="8">
        <f t="shared" si="86"/>
        <v>0.86296799999999996</v>
      </c>
      <c r="N571" t="str">
        <f t="shared" si="87"/>
        <v>0-100%</v>
      </c>
      <c r="O571" s="9">
        <f>MIN($H571,$I571)*INDEX('2018_commission_structure'!$A$1:$I$4,MATCH($E571,'2018_commission_structure'!$A$1:$A$4,0),MATCH(O$1,'2018_commission_structure'!$A$1:$I$1,0))</f>
        <v>43148.4</v>
      </c>
      <c r="P571" s="9">
        <f>IF(H571&gt;I571, MIN(H571-I571, J571-I571)*INDEX('2018_commission_structure'!$A$1:$I$4,MATCH($E571,'2018_commission_structure'!$A$1:$A$4,0),MATCH(P$1,'2018_commission_structure'!$A$1:$I$1,0)),0)</f>
        <v>0</v>
      </c>
      <c r="Q571" s="9">
        <f>IF($H571&gt;J571, MIN($H571-J571, K571-J571)*INDEX('2018_commission_structure'!$A$1:$I$4,MATCH($E571,'2018_commission_structure'!$A$1:$A$4,0),MATCH(Q$1,'2018_commission_structure'!$A$1:$I$1,0)),0)</f>
        <v>0</v>
      </c>
      <c r="R571" s="9">
        <f>IF($H571&gt;K571, MIN($H571-K571, L571-K571)*INDEX('2018_commission_structure'!$A$1:$I$4,MATCH($E571,'2018_commission_structure'!$A$1:$A$4,0),MATCH(R$1,'2018_commission_structure'!$A$1:$I$1,0)),0)</f>
        <v>0</v>
      </c>
      <c r="S571" s="9">
        <f>IF(H571&gt;L571,(H571-L571)*INDEX('2018_commission_structure'!$A$1:$I$4,MATCH($E571,'2018_commission_structure'!$A$1:$A$4,0),MATCH(S$1,'2018_commission_structure'!$A$1:$I$1,0)),0)</f>
        <v>0</v>
      </c>
      <c r="T571" s="9">
        <f t="shared" si="88"/>
        <v>43148.4</v>
      </c>
      <c r="U571" s="9">
        <f t="shared" si="90"/>
        <v>87163.4</v>
      </c>
      <c r="V571" s="9">
        <f>MIN($I571,$H571)*INDEX('Key Metrics'!$E$16:$N$19,MATCH($E571,'Key Metrics'!$E$16:$E$19,0),MATCH(V$1,'Key Metrics'!$E$16:$M$16,0))</f>
        <v>51778.079999999994</v>
      </c>
      <c r="W571" s="9">
        <f>IF($H571&gt;I571, MIN($H571-I571, J571-I571)*INDEX('Key Metrics'!$E$16:$N$19,MATCH($E571,'Key Metrics'!$E$16:$E$19,0),MATCH(W$1,'Key Metrics'!$E$16:$M$16,0)),0)</f>
        <v>0</v>
      </c>
      <c r="X571" s="9">
        <f>IF($H571&gt;J571, MIN($H571-J571, K571-J571)*INDEX('Key Metrics'!$E$16:$N$19,MATCH($E571,'Key Metrics'!$E$16:$E$19,0),MATCH(X$1,'Key Metrics'!$E$16:$M$16,0)),0)</f>
        <v>0</v>
      </c>
      <c r="Y571" s="9">
        <f>IF($H571&gt;K571, MIN($H571-K571, L571-K571)*INDEX('Key Metrics'!$E$16:$N$19,MATCH($E571,'Key Metrics'!$E$16:$E$19,0),MATCH(Y$1,'Key Metrics'!$E$16:$M$16,0)),0)</f>
        <v>0</v>
      </c>
      <c r="Z571" s="9">
        <f>IF($H571&gt;L571,($H571-L571)*INDEX('Key Metrics'!$E$16:$N$19,MATCH($E571,'Key Metrics'!$E$16:$E$19,0),MATCH(Z$1,'Key Metrics'!$E$16:$M$16,0)),0)</f>
        <v>0</v>
      </c>
      <c r="AA571" s="9">
        <f t="shared" si="89"/>
        <v>51778.079999999994</v>
      </c>
      <c r="AB571" s="9">
        <f t="shared" si="91"/>
        <v>51778.942967999996</v>
      </c>
    </row>
    <row r="572" spans="1:28" x14ac:dyDescent="0.55000000000000004">
      <c r="A572" t="str">
        <f t="shared" si="82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COUNTIF(deals_closed!$D$2:$D$20001,Calculations!B963)</f>
        <v>22</v>
      </c>
      <c r="H572" s="7">
        <f>SUMIF(deals_closed!$D:$D,Calculations!B963,deals_closed!$C:$C)</f>
        <v>787252</v>
      </c>
      <c r="I572" s="5">
        <f>VLOOKUP(E572,'2018_commission_structure'!$A$1:$I$4,9,FALSE)</f>
        <v>750000</v>
      </c>
      <c r="J572" s="9">
        <f t="shared" si="83"/>
        <v>937500</v>
      </c>
      <c r="K572" s="10">
        <f t="shared" si="84"/>
        <v>1125000</v>
      </c>
      <c r="L572" s="9">
        <f t="shared" si="85"/>
        <v>1500000</v>
      </c>
      <c r="M572" s="8">
        <f t="shared" si="86"/>
        <v>1.0496693333333333</v>
      </c>
      <c r="N572" t="str">
        <f t="shared" si="87"/>
        <v>100-125%</v>
      </c>
      <c r="O572" s="9">
        <f>MIN($H572,$I572)*INDEX('2018_commission_structure'!$A$1:$I$4,MATCH($E572,'2018_commission_structure'!$A$1:$A$4,0),MATCH(O$1,'2018_commission_structure'!$A$1:$I$1,0))</f>
        <v>112500</v>
      </c>
      <c r="P572" s="9">
        <f>IF(H572&gt;I572, MIN(H572-I572, J572-I572)*INDEX('2018_commission_structure'!$A$1:$I$4,MATCH($E572,'2018_commission_structure'!$A$1:$A$4,0),MATCH(P$1,'2018_commission_structure'!$A$1:$I$1,0)),0)</f>
        <v>7077.88</v>
      </c>
      <c r="Q572" s="9">
        <f>IF($H572&gt;J572, MIN($H572-J572, K572-J572)*INDEX('2018_commission_structure'!$A$1:$I$4,MATCH($E572,'2018_commission_structure'!$A$1:$A$4,0),MATCH(Q$1,'2018_commission_structure'!$A$1:$I$1,0)),0)</f>
        <v>0</v>
      </c>
      <c r="R572" s="9">
        <f>IF($H572&gt;K572, MIN($H572-K572, L572-K572)*INDEX('2018_commission_structure'!$A$1:$I$4,MATCH($E572,'2018_commission_structure'!$A$1:$A$4,0),MATCH(R$1,'2018_commission_structure'!$A$1:$I$1,0)),0)</f>
        <v>0</v>
      </c>
      <c r="S572" s="9">
        <f>IF(H572&gt;L572,(H572-L572)*INDEX('2018_commission_structure'!$A$1:$I$4,MATCH($E572,'2018_commission_structure'!$A$1:$A$4,0),MATCH(S$1,'2018_commission_structure'!$A$1:$I$1,0)),0)</f>
        <v>0</v>
      </c>
      <c r="T572" s="9">
        <f t="shared" si="88"/>
        <v>119577.88</v>
      </c>
      <c r="U572" s="9">
        <f t="shared" si="90"/>
        <v>213070.88</v>
      </c>
      <c r="V572" s="9">
        <f>MIN($I572,$H572)*INDEX('Key Metrics'!$E$16:$N$19,MATCH($E572,'Key Metrics'!$E$16:$E$19,0),MATCH(V$1,'Key Metrics'!$E$16:$M$16,0))</f>
        <v>112500</v>
      </c>
      <c r="W572" s="9">
        <f>IF($H572&gt;I572, MIN($H572-I572, J572-I572)*INDEX('Key Metrics'!$E$16:$N$19,MATCH($E572,'Key Metrics'!$E$16:$E$19,0),MATCH(W$1,'Key Metrics'!$E$16:$M$16,0)),0)</f>
        <v>8195.44</v>
      </c>
      <c r="X572" s="9">
        <f>IF($H572&gt;J572, MIN($H572-J572, K572-J572)*INDEX('Key Metrics'!$E$16:$N$19,MATCH($E572,'Key Metrics'!$E$16:$E$19,0),MATCH(X$1,'Key Metrics'!$E$16:$M$16,0)),0)</f>
        <v>0</v>
      </c>
      <c r="Y572" s="9">
        <f>IF($H572&gt;K572, MIN($H572-K572, L572-K572)*INDEX('Key Metrics'!$E$16:$N$19,MATCH($E572,'Key Metrics'!$E$16:$E$19,0),MATCH(Y$1,'Key Metrics'!$E$16:$M$16,0)),0)</f>
        <v>0</v>
      </c>
      <c r="Z572" s="9">
        <f>IF($H572&gt;L572,($H572-L572)*INDEX('Key Metrics'!$E$16:$N$19,MATCH($E572,'Key Metrics'!$E$16:$E$19,0),MATCH(Z$1,'Key Metrics'!$E$16:$M$16,0)),0)</f>
        <v>0</v>
      </c>
      <c r="AA572" s="9">
        <f t="shared" si="89"/>
        <v>120695.44</v>
      </c>
      <c r="AB572" s="9">
        <f t="shared" si="91"/>
        <v>120696.48966933333</v>
      </c>
    </row>
    <row r="573" spans="1:28" x14ac:dyDescent="0.55000000000000004">
      <c r="A573" t="str">
        <f t="shared" si="82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COUNTIF(deals_closed!$D$2:$D$20001,Calculations!B62)</f>
        <v>19</v>
      </c>
      <c r="H573" s="7">
        <f>SUMIF(deals_closed!$D:$D,Calculations!B62,deals_closed!$C:$C)</f>
        <v>691543</v>
      </c>
      <c r="I573" s="5">
        <f>VLOOKUP(E573,'2018_commission_structure'!$A$1:$I$4,9,FALSE)</f>
        <v>500000</v>
      </c>
      <c r="J573" s="9">
        <f t="shared" si="83"/>
        <v>625000</v>
      </c>
      <c r="K573" s="10">
        <f t="shared" si="84"/>
        <v>750000</v>
      </c>
      <c r="L573" s="9">
        <f t="shared" si="85"/>
        <v>1000000</v>
      </c>
      <c r="M573" s="8">
        <f t="shared" si="86"/>
        <v>1.383086</v>
      </c>
      <c r="N573" t="str">
        <f t="shared" si="87"/>
        <v>125-150%</v>
      </c>
      <c r="O573" s="9">
        <f>MIN($H573,$I573)*INDEX('2018_commission_structure'!$A$1:$I$4,MATCH($E573,'2018_commission_structure'!$A$1:$A$4,0),MATCH(O$1,'2018_commission_structure'!$A$1:$I$1,0))</f>
        <v>50000</v>
      </c>
      <c r="P573" s="9">
        <f>IF(H573&gt;I573, MIN(H573-I573, J573-I573)*INDEX('2018_commission_structure'!$A$1:$I$4,MATCH($E573,'2018_commission_structure'!$A$1:$A$4,0),MATCH(P$1,'2018_commission_structure'!$A$1:$I$1,0)),0)</f>
        <v>18750</v>
      </c>
      <c r="Q573" s="9">
        <f>IF($H573&gt;J573, MIN($H573-J573, K573-J573)*INDEX('2018_commission_structure'!$A$1:$I$4,MATCH($E573,'2018_commission_structure'!$A$1:$A$4,0),MATCH(Q$1,'2018_commission_structure'!$A$1:$I$1,0)),0)</f>
        <v>11977.74</v>
      </c>
      <c r="R573" s="9">
        <f>IF($H573&gt;K573, MIN($H573-K573, L573-K573)*INDEX('2018_commission_structure'!$A$1:$I$4,MATCH($E573,'2018_commission_structure'!$A$1:$A$4,0),MATCH(R$1,'2018_commission_structure'!$A$1:$I$1,0)),0)</f>
        <v>0</v>
      </c>
      <c r="S573" s="9">
        <f>IF(H573&gt;L573,(H573-L573)*INDEX('2018_commission_structure'!$A$1:$I$4,MATCH($E573,'2018_commission_structure'!$A$1:$A$4,0),MATCH(S$1,'2018_commission_structure'!$A$1:$I$1,0)),0)</f>
        <v>0</v>
      </c>
      <c r="T573" s="9">
        <f t="shared" si="88"/>
        <v>80727.740000000005</v>
      </c>
      <c r="U573" s="9">
        <f t="shared" si="90"/>
        <v>121815.74</v>
      </c>
      <c r="V573" s="9">
        <f>MIN($I573,$H573)*INDEX('Key Metrics'!$E$16:$N$19,MATCH($E573,'Key Metrics'!$E$16:$E$19,0),MATCH(V$1,'Key Metrics'!$E$16:$M$16,0))</f>
        <v>60000</v>
      </c>
      <c r="W573" s="9">
        <f>IF($H573&gt;I573, MIN($H573-I573, J573-I573)*INDEX('Key Metrics'!$E$16:$N$19,MATCH($E573,'Key Metrics'!$E$16:$E$19,0),MATCH(W$1,'Key Metrics'!$E$16:$M$16,0)),0)</f>
        <v>21250</v>
      </c>
      <c r="X573" s="9">
        <f>IF($H573&gt;J573, MIN($H573-J573, K573-J573)*INDEX('Key Metrics'!$E$16:$N$19,MATCH($E573,'Key Metrics'!$E$16:$E$19,0),MATCH(X$1,'Key Metrics'!$E$16:$M$16,0)),0)</f>
        <v>13308.6</v>
      </c>
      <c r="Y573" s="9">
        <f>IF($H573&gt;K573, MIN($H573-K573, L573-K573)*INDEX('Key Metrics'!$E$16:$N$19,MATCH($E573,'Key Metrics'!$E$16:$E$19,0),MATCH(Y$1,'Key Metrics'!$E$16:$M$16,0)),0)</f>
        <v>0</v>
      </c>
      <c r="Z573" s="9">
        <f>IF($H573&gt;L573,($H573-L573)*INDEX('Key Metrics'!$E$16:$N$19,MATCH($E573,'Key Metrics'!$E$16:$E$19,0),MATCH(Z$1,'Key Metrics'!$E$16:$M$16,0)),0)</f>
        <v>0</v>
      </c>
      <c r="AA573" s="9">
        <f t="shared" si="89"/>
        <v>94558.6</v>
      </c>
      <c r="AB573" s="9">
        <f t="shared" si="91"/>
        <v>94559.983086000007</v>
      </c>
    </row>
    <row r="574" spans="1:28" x14ac:dyDescent="0.55000000000000004">
      <c r="A574" t="str">
        <f t="shared" si="82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COUNTIF(deals_closed!$D$2:$D$20001,Calculations!B297)</f>
        <v>23</v>
      </c>
      <c r="H574" s="7">
        <f>SUMIF(deals_closed!$D:$D,Calculations!B297,deals_closed!$C:$C)</f>
        <v>841032</v>
      </c>
      <c r="I574" s="5">
        <f>VLOOKUP(E574,'2018_commission_structure'!$A$1:$I$4,9,FALSE)</f>
        <v>500000</v>
      </c>
      <c r="J574" s="9">
        <f t="shared" si="83"/>
        <v>625000</v>
      </c>
      <c r="K574" s="10">
        <f t="shared" si="84"/>
        <v>750000</v>
      </c>
      <c r="L574" s="9">
        <f t="shared" si="85"/>
        <v>1000000</v>
      </c>
      <c r="M574" s="8">
        <f t="shared" si="86"/>
        <v>1.682064</v>
      </c>
      <c r="N574" t="str">
        <f t="shared" si="87"/>
        <v>150-200%</v>
      </c>
      <c r="O574" s="9">
        <f>MIN($H574,$I574)*INDEX('2018_commission_structure'!$A$1:$I$4,MATCH($E574,'2018_commission_structure'!$A$1:$A$4,0),MATCH(O$1,'2018_commission_structure'!$A$1:$I$1,0))</f>
        <v>50000</v>
      </c>
      <c r="P574" s="9">
        <f>IF(H574&gt;I574, MIN(H574-I574, J574-I574)*INDEX('2018_commission_structure'!$A$1:$I$4,MATCH($E574,'2018_commission_structure'!$A$1:$A$4,0),MATCH(P$1,'2018_commission_structure'!$A$1:$I$1,0)),0)</f>
        <v>18750</v>
      </c>
      <c r="Q574" s="9">
        <f>IF($H574&gt;J574, MIN($H574-J574, K574-J574)*INDEX('2018_commission_structure'!$A$1:$I$4,MATCH($E574,'2018_commission_structure'!$A$1:$A$4,0),MATCH(Q$1,'2018_commission_structure'!$A$1:$I$1,0)),0)</f>
        <v>22500</v>
      </c>
      <c r="R574" s="9">
        <f>IF($H574&gt;K574, MIN($H574-K574, L574-K574)*INDEX('2018_commission_structure'!$A$1:$I$4,MATCH($E574,'2018_commission_structure'!$A$1:$A$4,0),MATCH(R$1,'2018_commission_structure'!$A$1:$I$1,0)),0)</f>
        <v>20027.04</v>
      </c>
      <c r="S574" s="9">
        <f>IF(H574&gt;L574,(H574-L574)*INDEX('2018_commission_structure'!$A$1:$I$4,MATCH($E574,'2018_commission_structure'!$A$1:$A$4,0),MATCH(S$1,'2018_commission_structure'!$A$1:$I$1,0)),0)</f>
        <v>0</v>
      </c>
      <c r="T574" s="9">
        <f t="shared" si="88"/>
        <v>111277.04000000001</v>
      </c>
      <c r="U574" s="9">
        <f t="shared" si="90"/>
        <v>167645.04</v>
      </c>
      <c r="V574" s="9">
        <f>MIN($I574,$H574)*INDEX('Key Metrics'!$E$16:$N$19,MATCH($E574,'Key Metrics'!$E$16:$E$19,0),MATCH(V$1,'Key Metrics'!$E$16:$M$16,0))</f>
        <v>60000</v>
      </c>
      <c r="W574" s="9">
        <f>IF($H574&gt;I574, MIN($H574-I574, J574-I574)*INDEX('Key Metrics'!$E$16:$N$19,MATCH($E574,'Key Metrics'!$E$16:$E$19,0),MATCH(W$1,'Key Metrics'!$E$16:$M$16,0)),0)</f>
        <v>21250</v>
      </c>
      <c r="X574" s="9">
        <f>IF($H574&gt;J574, MIN($H574-J574, K574-J574)*INDEX('Key Metrics'!$E$16:$N$19,MATCH($E574,'Key Metrics'!$E$16:$E$19,0),MATCH(X$1,'Key Metrics'!$E$16:$M$16,0)),0)</f>
        <v>25000</v>
      </c>
      <c r="Y574" s="9">
        <f>IF($H574&gt;K574, MIN($H574-K574, L574-K574)*INDEX('Key Metrics'!$E$16:$N$19,MATCH($E574,'Key Metrics'!$E$16:$E$19,0),MATCH(Y$1,'Key Metrics'!$E$16:$M$16,0)),0)</f>
        <v>20027.04</v>
      </c>
      <c r="Z574" s="9">
        <f>IF($H574&gt;L574,($H574-L574)*INDEX('Key Metrics'!$E$16:$N$19,MATCH($E574,'Key Metrics'!$E$16:$E$19,0),MATCH(Z$1,'Key Metrics'!$E$16:$M$16,0)),0)</f>
        <v>0</v>
      </c>
      <c r="AA574" s="9">
        <f t="shared" si="89"/>
        <v>126277.04000000001</v>
      </c>
      <c r="AB574" s="9">
        <f t="shared" si="91"/>
        <v>126278.722064</v>
      </c>
    </row>
    <row r="575" spans="1:28" x14ac:dyDescent="0.55000000000000004">
      <c r="A575" t="str">
        <f t="shared" si="82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COUNTIF(deals_closed!$D$2:$D$20001,Calculations!B526)</f>
        <v>13</v>
      </c>
      <c r="H575" s="7">
        <f>SUMIF(deals_closed!$D:$D,Calculations!B526,deals_closed!$C:$C)</f>
        <v>416902</v>
      </c>
      <c r="I575" s="5">
        <f>VLOOKUP(E575,'2018_commission_structure'!$A$1:$I$4,9,FALSE)</f>
        <v>600000</v>
      </c>
      <c r="J575" s="9">
        <f t="shared" si="83"/>
        <v>750000</v>
      </c>
      <c r="K575" s="10">
        <f t="shared" si="84"/>
        <v>900000</v>
      </c>
      <c r="L575" s="9">
        <f t="shared" si="85"/>
        <v>1200000</v>
      </c>
      <c r="M575" s="8">
        <f t="shared" si="86"/>
        <v>0.69483666666666666</v>
      </c>
      <c r="N575" t="str">
        <f t="shared" si="87"/>
        <v>0-100%</v>
      </c>
      <c r="O575" s="9">
        <f>MIN($H575,$I575)*INDEX('2018_commission_structure'!$A$1:$I$4,MATCH($E575,'2018_commission_structure'!$A$1:$A$4,0),MATCH(O$1,'2018_commission_structure'!$A$1:$I$1,0))</f>
        <v>54197.26</v>
      </c>
      <c r="P575" s="9">
        <f>IF(H575&gt;I575, MIN(H575-I575, J575-I575)*INDEX('2018_commission_structure'!$A$1:$I$4,MATCH($E575,'2018_commission_structure'!$A$1:$A$4,0),MATCH(P$1,'2018_commission_structure'!$A$1:$I$1,0)),0)</f>
        <v>0</v>
      </c>
      <c r="Q575" s="9">
        <f>IF($H575&gt;J575, MIN($H575-J575, K575-J575)*INDEX('2018_commission_structure'!$A$1:$I$4,MATCH($E575,'2018_commission_structure'!$A$1:$A$4,0),MATCH(Q$1,'2018_commission_structure'!$A$1:$I$1,0)),0)</f>
        <v>0</v>
      </c>
      <c r="R575" s="9">
        <f>IF($H575&gt;K575, MIN($H575-K575, L575-K575)*INDEX('2018_commission_structure'!$A$1:$I$4,MATCH($E575,'2018_commission_structure'!$A$1:$A$4,0),MATCH(R$1,'2018_commission_structure'!$A$1:$I$1,0)),0)</f>
        <v>0</v>
      </c>
      <c r="S575" s="9">
        <f>IF(H575&gt;L575,(H575-L575)*INDEX('2018_commission_structure'!$A$1:$I$4,MATCH($E575,'2018_commission_structure'!$A$1:$A$4,0),MATCH(S$1,'2018_commission_structure'!$A$1:$I$1,0)),0)</f>
        <v>0</v>
      </c>
      <c r="T575" s="9">
        <f t="shared" si="88"/>
        <v>54197.26</v>
      </c>
      <c r="U575" s="9">
        <f t="shared" si="90"/>
        <v>133331.26</v>
      </c>
      <c r="V575" s="9">
        <f>MIN($I575,$H575)*INDEX('Key Metrics'!$E$16:$N$19,MATCH($E575,'Key Metrics'!$E$16:$E$19,0),MATCH(V$1,'Key Metrics'!$E$16:$M$16,0))</f>
        <v>62535.299999999996</v>
      </c>
      <c r="W575" s="9">
        <f>IF($H575&gt;I575, MIN($H575-I575, J575-I575)*INDEX('Key Metrics'!$E$16:$N$19,MATCH($E575,'Key Metrics'!$E$16:$E$19,0),MATCH(W$1,'Key Metrics'!$E$16:$M$16,0)),0)</f>
        <v>0</v>
      </c>
      <c r="X575" s="9">
        <f>IF($H575&gt;J575, MIN($H575-J575, K575-J575)*INDEX('Key Metrics'!$E$16:$N$19,MATCH($E575,'Key Metrics'!$E$16:$E$19,0),MATCH(X$1,'Key Metrics'!$E$16:$M$16,0)),0)</f>
        <v>0</v>
      </c>
      <c r="Y575" s="9">
        <f>IF($H575&gt;K575, MIN($H575-K575, L575-K575)*INDEX('Key Metrics'!$E$16:$N$19,MATCH($E575,'Key Metrics'!$E$16:$E$19,0),MATCH(Y$1,'Key Metrics'!$E$16:$M$16,0)),0)</f>
        <v>0</v>
      </c>
      <c r="Z575" s="9">
        <f>IF($H575&gt;L575,($H575-L575)*INDEX('Key Metrics'!$E$16:$N$19,MATCH($E575,'Key Metrics'!$E$16:$E$19,0),MATCH(Z$1,'Key Metrics'!$E$16:$M$16,0)),0)</f>
        <v>0</v>
      </c>
      <c r="AA575" s="9">
        <f t="shared" si="89"/>
        <v>62535.299999999996</v>
      </c>
      <c r="AB575" s="9">
        <f t="shared" si="91"/>
        <v>62535.994836666665</v>
      </c>
    </row>
    <row r="576" spans="1:28" x14ac:dyDescent="0.55000000000000004">
      <c r="A576" t="str">
        <f t="shared" si="82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COUNTIF(deals_closed!$D$2:$D$20001,Calculations!B193)</f>
        <v>30</v>
      </c>
      <c r="H576" s="7">
        <f>SUMIF(deals_closed!$D:$D,Calculations!B193,deals_closed!$C:$C)</f>
        <v>963557</v>
      </c>
      <c r="I576" s="5">
        <f>VLOOKUP(E576,'2018_commission_structure'!$A$1:$I$4,9,FALSE)</f>
        <v>500000</v>
      </c>
      <c r="J576" s="9">
        <f t="shared" si="83"/>
        <v>625000</v>
      </c>
      <c r="K576" s="10">
        <f t="shared" si="84"/>
        <v>750000</v>
      </c>
      <c r="L576" s="9">
        <f t="shared" si="85"/>
        <v>1000000</v>
      </c>
      <c r="M576" s="8">
        <f t="shared" si="86"/>
        <v>1.927114</v>
      </c>
      <c r="N576" t="str">
        <f t="shared" si="87"/>
        <v>150-200%</v>
      </c>
      <c r="O576" s="9">
        <f>MIN($H576,$I576)*INDEX('2018_commission_structure'!$A$1:$I$4,MATCH($E576,'2018_commission_structure'!$A$1:$A$4,0),MATCH(O$1,'2018_commission_structure'!$A$1:$I$1,0))</f>
        <v>50000</v>
      </c>
      <c r="P576" s="9">
        <f>IF(H576&gt;I576, MIN(H576-I576, J576-I576)*INDEX('2018_commission_structure'!$A$1:$I$4,MATCH($E576,'2018_commission_structure'!$A$1:$A$4,0),MATCH(P$1,'2018_commission_structure'!$A$1:$I$1,0)),0)</f>
        <v>18750</v>
      </c>
      <c r="Q576" s="9">
        <f>IF($H576&gt;J576, MIN($H576-J576, K576-J576)*INDEX('2018_commission_structure'!$A$1:$I$4,MATCH($E576,'2018_commission_structure'!$A$1:$A$4,0),MATCH(Q$1,'2018_commission_structure'!$A$1:$I$1,0)),0)</f>
        <v>22500</v>
      </c>
      <c r="R576" s="9">
        <f>IF($H576&gt;K576, MIN($H576-K576, L576-K576)*INDEX('2018_commission_structure'!$A$1:$I$4,MATCH($E576,'2018_commission_structure'!$A$1:$A$4,0),MATCH(R$1,'2018_commission_structure'!$A$1:$I$1,0)),0)</f>
        <v>46982.54</v>
      </c>
      <c r="S576" s="9">
        <f>IF(H576&gt;L576,(H576-L576)*INDEX('2018_commission_structure'!$A$1:$I$4,MATCH($E576,'2018_commission_structure'!$A$1:$A$4,0),MATCH(S$1,'2018_commission_structure'!$A$1:$I$1,0)),0)</f>
        <v>0</v>
      </c>
      <c r="T576" s="9">
        <f t="shared" si="88"/>
        <v>138232.54</v>
      </c>
      <c r="U576" s="9">
        <f t="shared" si="90"/>
        <v>183744.54</v>
      </c>
      <c r="V576" s="9">
        <f>MIN($I576,$H576)*INDEX('Key Metrics'!$E$16:$N$19,MATCH($E576,'Key Metrics'!$E$16:$E$19,0),MATCH(V$1,'Key Metrics'!$E$16:$M$16,0))</f>
        <v>60000</v>
      </c>
      <c r="W576" s="9">
        <f>IF($H576&gt;I576, MIN($H576-I576, J576-I576)*INDEX('Key Metrics'!$E$16:$N$19,MATCH($E576,'Key Metrics'!$E$16:$E$19,0),MATCH(W$1,'Key Metrics'!$E$16:$M$16,0)),0)</f>
        <v>21250</v>
      </c>
      <c r="X576" s="9">
        <f>IF($H576&gt;J576, MIN($H576-J576, K576-J576)*INDEX('Key Metrics'!$E$16:$N$19,MATCH($E576,'Key Metrics'!$E$16:$E$19,0),MATCH(X$1,'Key Metrics'!$E$16:$M$16,0)),0)</f>
        <v>25000</v>
      </c>
      <c r="Y576" s="9">
        <f>IF($H576&gt;K576, MIN($H576-K576, L576-K576)*INDEX('Key Metrics'!$E$16:$N$19,MATCH($E576,'Key Metrics'!$E$16:$E$19,0),MATCH(Y$1,'Key Metrics'!$E$16:$M$16,0)),0)</f>
        <v>46982.54</v>
      </c>
      <c r="Z576" s="9">
        <f>IF($H576&gt;L576,($H576-L576)*INDEX('Key Metrics'!$E$16:$N$19,MATCH($E576,'Key Metrics'!$E$16:$E$19,0),MATCH(Z$1,'Key Metrics'!$E$16:$M$16,0)),0)</f>
        <v>0</v>
      </c>
      <c r="AA576" s="9">
        <f t="shared" si="89"/>
        <v>153232.54</v>
      </c>
      <c r="AB576" s="9">
        <f t="shared" si="91"/>
        <v>153234.467114</v>
      </c>
    </row>
    <row r="577" spans="1:28" x14ac:dyDescent="0.55000000000000004">
      <c r="A577" t="str">
        <f t="shared" si="82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COUNTIF(deals_closed!$D$2:$D$20001,Calculations!B898)</f>
        <v>19</v>
      </c>
      <c r="H577" s="7">
        <f>SUMIF(deals_closed!$D:$D,Calculations!B898,deals_closed!$C:$C)</f>
        <v>672476</v>
      </c>
      <c r="I577" s="5">
        <f>VLOOKUP(E577,'2018_commission_structure'!$A$1:$I$4,9,FALSE)</f>
        <v>750000</v>
      </c>
      <c r="J577" s="9">
        <f t="shared" si="83"/>
        <v>937500</v>
      </c>
      <c r="K577" s="10">
        <f t="shared" si="84"/>
        <v>1125000</v>
      </c>
      <c r="L577" s="9">
        <f t="shared" si="85"/>
        <v>1500000</v>
      </c>
      <c r="M577" s="8">
        <f t="shared" si="86"/>
        <v>0.89663466666666669</v>
      </c>
      <c r="N577" t="str">
        <f t="shared" si="87"/>
        <v>0-100%</v>
      </c>
      <c r="O577" s="9">
        <f>MIN($H577,$I577)*INDEX('2018_commission_structure'!$A$1:$I$4,MATCH($E577,'2018_commission_structure'!$A$1:$A$4,0),MATCH(O$1,'2018_commission_structure'!$A$1:$I$1,0))</f>
        <v>100871.4</v>
      </c>
      <c r="P577" s="9">
        <f>IF(H577&gt;I577, MIN(H577-I577, J577-I577)*INDEX('2018_commission_structure'!$A$1:$I$4,MATCH($E577,'2018_commission_structure'!$A$1:$A$4,0),MATCH(P$1,'2018_commission_structure'!$A$1:$I$1,0)),0)</f>
        <v>0</v>
      </c>
      <c r="Q577" s="9">
        <f>IF($H577&gt;J577, MIN($H577-J577, K577-J577)*INDEX('2018_commission_structure'!$A$1:$I$4,MATCH($E577,'2018_commission_structure'!$A$1:$A$4,0),MATCH(Q$1,'2018_commission_structure'!$A$1:$I$1,0)),0)</f>
        <v>0</v>
      </c>
      <c r="R577" s="9">
        <f>IF($H577&gt;K577, MIN($H577-K577, L577-K577)*INDEX('2018_commission_structure'!$A$1:$I$4,MATCH($E577,'2018_commission_structure'!$A$1:$A$4,0),MATCH(R$1,'2018_commission_structure'!$A$1:$I$1,0)),0)</f>
        <v>0</v>
      </c>
      <c r="S577" s="9">
        <f>IF(H577&gt;L577,(H577-L577)*INDEX('2018_commission_structure'!$A$1:$I$4,MATCH($E577,'2018_commission_structure'!$A$1:$A$4,0),MATCH(S$1,'2018_commission_structure'!$A$1:$I$1,0)),0)</f>
        <v>0</v>
      </c>
      <c r="T577" s="9">
        <f t="shared" si="88"/>
        <v>100871.4</v>
      </c>
      <c r="U577" s="9">
        <f t="shared" si="90"/>
        <v>193625.4</v>
      </c>
      <c r="V577" s="9">
        <f>MIN($I577,$H577)*INDEX('Key Metrics'!$E$16:$N$19,MATCH($E577,'Key Metrics'!$E$16:$E$19,0),MATCH(V$1,'Key Metrics'!$E$16:$M$16,0))</f>
        <v>100871.4</v>
      </c>
      <c r="W577" s="9">
        <f>IF($H577&gt;I577, MIN($H577-I577, J577-I577)*INDEX('Key Metrics'!$E$16:$N$19,MATCH($E577,'Key Metrics'!$E$16:$E$19,0),MATCH(W$1,'Key Metrics'!$E$16:$M$16,0)),0)</f>
        <v>0</v>
      </c>
      <c r="X577" s="9">
        <f>IF($H577&gt;J577, MIN($H577-J577, K577-J577)*INDEX('Key Metrics'!$E$16:$N$19,MATCH($E577,'Key Metrics'!$E$16:$E$19,0),MATCH(X$1,'Key Metrics'!$E$16:$M$16,0)),0)</f>
        <v>0</v>
      </c>
      <c r="Y577" s="9">
        <f>IF($H577&gt;K577, MIN($H577-K577, L577-K577)*INDEX('Key Metrics'!$E$16:$N$19,MATCH($E577,'Key Metrics'!$E$16:$E$19,0),MATCH(Y$1,'Key Metrics'!$E$16:$M$16,0)),0)</f>
        <v>0</v>
      </c>
      <c r="Z577" s="9">
        <f>IF($H577&gt;L577,($H577-L577)*INDEX('Key Metrics'!$E$16:$N$19,MATCH($E577,'Key Metrics'!$E$16:$E$19,0),MATCH(Z$1,'Key Metrics'!$E$16:$M$16,0)),0)</f>
        <v>0</v>
      </c>
      <c r="AA577" s="9">
        <f t="shared" si="89"/>
        <v>100871.4</v>
      </c>
      <c r="AB577" s="9">
        <f t="shared" si="91"/>
        <v>100872.29663466667</v>
      </c>
    </row>
    <row r="578" spans="1:28" x14ac:dyDescent="0.55000000000000004">
      <c r="A578" t="str">
        <f t="shared" ref="A578:A641" si="92">CONCATENATE(C578," ",D578)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COUNTIF(deals_closed!$D$2:$D$20001,Calculations!B349)</f>
        <v>17</v>
      </c>
      <c r="H578" s="7">
        <f>SUMIF(deals_closed!$D:$D,Calculations!B349,deals_closed!$C:$C)</f>
        <v>543073</v>
      </c>
      <c r="I578" s="5">
        <f>VLOOKUP(E578,'2018_commission_structure'!$A$1:$I$4,9,FALSE)</f>
        <v>600000</v>
      </c>
      <c r="J578" s="9">
        <f t="shared" ref="J578:J641" si="93">I578*1.25</f>
        <v>750000</v>
      </c>
      <c r="K578" s="10">
        <f t="shared" ref="K578:K641" si="94">I578*1.5</f>
        <v>900000</v>
      </c>
      <c r="L578" s="9">
        <f t="shared" ref="L578:L641" si="95">I578*2</f>
        <v>1200000</v>
      </c>
      <c r="M578" s="8">
        <f t="shared" ref="M578:M641" si="96">H578/I578</f>
        <v>0.90512166666666671</v>
      </c>
      <c r="N578" t="str">
        <f t="shared" ref="N578:N641" si="97">IF(M578&lt;=100%,"0-100%",IF(M578&lt;=125%,"100-125%",IF(M578&lt;=150%,"125-150%",IF(M578&lt;=200%,"150-200%","&gt;200%"))))</f>
        <v>0-100%</v>
      </c>
      <c r="O578" s="9">
        <f>MIN($H578,$I578)*INDEX('2018_commission_structure'!$A$1:$I$4,MATCH($E578,'2018_commission_structure'!$A$1:$A$4,0),MATCH(O$1,'2018_commission_structure'!$A$1:$I$1,0))</f>
        <v>70599.490000000005</v>
      </c>
      <c r="P578" s="9">
        <f>IF(H578&gt;I578, MIN(H578-I578, J578-I578)*INDEX('2018_commission_structure'!$A$1:$I$4,MATCH($E578,'2018_commission_structure'!$A$1:$A$4,0),MATCH(P$1,'2018_commission_structure'!$A$1:$I$1,0)),0)</f>
        <v>0</v>
      </c>
      <c r="Q578" s="9">
        <f>IF($H578&gt;J578, MIN($H578-J578, K578-J578)*INDEX('2018_commission_structure'!$A$1:$I$4,MATCH($E578,'2018_commission_structure'!$A$1:$A$4,0),MATCH(Q$1,'2018_commission_structure'!$A$1:$I$1,0)),0)</f>
        <v>0</v>
      </c>
      <c r="R578" s="9">
        <f>IF($H578&gt;K578, MIN($H578-K578, L578-K578)*INDEX('2018_commission_structure'!$A$1:$I$4,MATCH($E578,'2018_commission_structure'!$A$1:$A$4,0),MATCH(R$1,'2018_commission_structure'!$A$1:$I$1,0)),0)</f>
        <v>0</v>
      </c>
      <c r="S578" s="9">
        <f>IF(H578&gt;L578,(H578-L578)*INDEX('2018_commission_structure'!$A$1:$I$4,MATCH($E578,'2018_commission_structure'!$A$1:$A$4,0),MATCH(S$1,'2018_commission_structure'!$A$1:$I$1,0)),0)</f>
        <v>0</v>
      </c>
      <c r="T578" s="9">
        <f t="shared" ref="T578:T641" si="98">SUM(O578:S578)</f>
        <v>70599.490000000005</v>
      </c>
      <c r="U578" s="9">
        <f t="shared" si="90"/>
        <v>146029.49</v>
      </c>
      <c r="V578" s="9">
        <f>MIN($I578,$H578)*INDEX('Key Metrics'!$E$16:$N$19,MATCH($E578,'Key Metrics'!$E$16:$E$19,0),MATCH(V$1,'Key Metrics'!$E$16:$M$16,0))</f>
        <v>81460.95</v>
      </c>
      <c r="W578" s="9">
        <f>IF($H578&gt;I578, MIN($H578-I578, J578-I578)*INDEX('Key Metrics'!$E$16:$N$19,MATCH($E578,'Key Metrics'!$E$16:$E$19,0),MATCH(W$1,'Key Metrics'!$E$16:$M$16,0)),0)</f>
        <v>0</v>
      </c>
      <c r="X578" s="9">
        <f>IF($H578&gt;J578, MIN($H578-J578, K578-J578)*INDEX('Key Metrics'!$E$16:$N$19,MATCH($E578,'Key Metrics'!$E$16:$E$19,0),MATCH(X$1,'Key Metrics'!$E$16:$M$16,0)),0)</f>
        <v>0</v>
      </c>
      <c r="Y578" s="9">
        <f>IF($H578&gt;K578, MIN($H578-K578, L578-K578)*INDEX('Key Metrics'!$E$16:$N$19,MATCH($E578,'Key Metrics'!$E$16:$E$19,0),MATCH(Y$1,'Key Metrics'!$E$16:$M$16,0)),0)</f>
        <v>0</v>
      </c>
      <c r="Z578" s="9">
        <f>IF($H578&gt;L578,($H578-L578)*INDEX('Key Metrics'!$E$16:$N$19,MATCH($E578,'Key Metrics'!$E$16:$E$19,0),MATCH(Z$1,'Key Metrics'!$E$16:$M$16,0)),0)</f>
        <v>0</v>
      </c>
      <c r="AA578" s="9">
        <f t="shared" ref="AA578:AA641" si="99">SUM(V578:Z578)</f>
        <v>81460.95</v>
      </c>
      <c r="AB578" s="9">
        <f t="shared" si="91"/>
        <v>81461.855121666667</v>
      </c>
    </row>
    <row r="579" spans="1:28" x14ac:dyDescent="0.55000000000000004">
      <c r="A579" t="str">
        <f t="shared" si="92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COUNTIF(deals_closed!$D$2:$D$20001,Calculations!B142)</f>
        <v>14</v>
      </c>
      <c r="H579" s="7">
        <f>SUMIF(deals_closed!$D:$D,Calculations!B142,deals_closed!$C:$C)</f>
        <v>471697</v>
      </c>
      <c r="I579" s="5">
        <f>VLOOKUP(E579,'2018_commission_structure'!$A$1:$I$4,9,FALSE)</f>
        <v>500000</v>
      </c>
      <c r="J579" s="9">
        <f t="shared" si="93"/>
        <v>625000</v>
      </c>
      <c r="K579" s="10">
        <f t="shared" si="94"/>
        <v>750000</v>
      </c>
      <c r="L579" s="9">
        <f t="shared" si="95"/>
        <v>1000000</v>
      </c>
      <c r="M579" s="8">
        <f t="shared" si="96"/>
        <v>0.94339399999999995</v>
      </c>
      <c r="N579" t="str">
        <f t="shared" si="97"/>
        <v>0-100%</v>
      </c>
      <c r="O579" s="9">
        <f>MIN($H579,$I579)*INDEX('2018_commission_structure'!$A$1:$I$4,MATCH($E579,'2018_commission_structure'!$A$1:$A$4,0),MATCH(O$1,'2018_commission_structure'!$A$1:$I$1,0))</f>
        <v>47169.700000000004</v>
      </c>
      <c r="P579" s="9">
        <f>IF(H579&gt;I579, MIN(H579-I579, J579-I579)*INDEX('2018_commission_structure'!$A$1:$I$4,MATCH($E579,'2018_commission_structure'!$A$1:$A$4,0),MATCH(P$1,'2018_commission_structure'!$A$1:$I$1,0)),0)</f>
        <v>0</v>
      </c>
      <c r="Q579" s="9">
        <f>IF($H579&gt;J579, MIN($H579-J579, K579-J579)*INDEX('2018_commission_structure'!$A$1:$I$4,MATCH($E579,'2018_commission_structure'!$A$1:$A$4,0),MATCH(Q$1,'2018_commission_structure'!$A$1:$I$1,0)),0)</f>
        <v>0</v>
      </c>
      <c r="R579" s="9">
        <f>IF($H579&gt;K579, MIN($H579-K579, L579-K579)*INDEX('2018_commission_structure'!$A$1:$I$4,MATCH($E579,'2018_commission_structure'!$A$1:$A$4,0),MATCH(R$1,'2018_commission_structure'!$A$1:$I$1,0)),0)</f>
        <v>0</v>
      </c>
      <c r="S579" s="9">
        <f>IF(H579&gt;L579,(H579-L579)*INDEX('2018_commission_structure'!$A$1:$I$4,MATCH($E579,'2018_commission_structure'!$A$1:$A$4,0),MATCH(S$1,'2018_commission_structure'!$A$1:$I$1,0)),0)</f>
        <v>0</v>
      </c>
      <c r="T579" s="9">
        <f t="shared" si="98"/>
        <v>47169.700000000004</v>
      </c>
      <c r="U579" s="9">
        <f t="shared" si="90"/>
        <v>99658.700000000012</v>
      </c>
      <c r="V579" s="9">
        <f>MIN($I579,$H579)*INDEX('Key Metrics'!$E$16:$N$19,MATCH($E579,'Key Metrics'!$E$16:$E$19,0),MATCH(V$1,'Key Metrics'!$E$16:$M$16,0))</f>
        <v>56603.64</v>
      </c>
      <c r="W579" s="9">
        <f>IF($H579&gt;I579, MIN($H579-I579, J579-I579)*INDEX('Key Metrics'!$E$16:$N$19,MATCH($E579,'Key Metrics'!$E$16:$E$19,0),MATCH(W$1,'Key Metrics'!$E$16:$M$16,0)),0)</f>
        <v>0</v>
      </c>
      <c r="X579" s="9">
        <f>IF($H579&gt;J579, MIN($H579-J579, K579-J579)*INDEX('Key Metrics'!$E$16:$N$19,MATCH($E579,'Key Metrics'!$E$16:$E$19,0),MATCH(X$1,'Key Metrics'!$E$16:$M$16,0)),0)</f>
        <v>0</v>
      </c>
      <c r="Y579" s="9">
        <f>IF($H579&gt;K579, MIN($H579-K579, L579-K579)*INDEX('Key Metrics'!$E$16:$N$19,MATCH($E579,'Key Metrics'!$E$16:$E$19,0),MATCH(Y$1,'Key Metrics'!$E$16:$M$16,0)),0)</f>
        <v>0</v>
      </c>
      <c r="Z579" s="9">
        <f>IF($H579&gt;L579,($H579-L579)*INDEX('Key Metrics'!$E$16:$N$19,MATCH($E579,'Key Metrics'!$E$16:$E$19,0),MATCH(Z$1,'Key Metrics'!$E$16:$M$16,0)),0)</f>
        <v>0</v>
      </c>
      <c r="AA579" s="9">
        <f t="shared" si="99"/>
        <v>56603.64</v>
      </c>
      <c r="AB579" s="9">
        <f t="shared" si="91"/>
        <v>56604.583394000001</v>
      </c>
    </row>
    <row r="580" spans="1:28" x14ac:dyDescent="0.55000000000000004">
      <c r="A580" t="str">
        <f t="shared" si="92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COUNTIF(deals_closed!$D$2:$D$20001,Calculations!B727)</f>
        <v>21</v>
      </c>
      <c r="H580" s="7">
        <f>SUMIF(deals_closed!$D:$D,Calculations!B727,deals_closed!$C:$C)</f>
        <v>692993</v>
      </c>
      <c r="I580" s="5">
        <f>VLOOKUP(E580,'2018_commission_structure'!$A$1:$I$4,9,FALSE)</f>
        <v>600000</v>
      </c>
      <c r="J580" s="9">
        <f t="shared" si="93"/>
        <v>750000</v>
      </c>
      <c r="K580" s="10">
        <f t="shared" si="94"/>
        <v>900000</v>
      </c>
      <c r="L580" s="9">
        <f t="shared" si="95"/>
        <v>1200000</v>
      </c>
      <c r="M580" s="8">
        <f t="shared" si="96"/>
        <v>1.1549883333333333</v>
      </c>
      <c r="N580" t="str">
        <f t="shared" si="97"/>
        <v>100-125%</v>
      </c>
      <c r="O580" s="9">
        <f>MIN($H580,$I580)*INDEX('2018_commission_structure'!$A$1:$I$4,MATCH($E580,'2018_commission_structure'!$A$1:$A$4,0),MATCH(O$1,'2018_commission_structure'!$A$1:$I$1,0))</f>
        <v>78000</v>
      </c>
      <c r="P580" s="9">
        <f>IF(H580&gt;I580, MIN(H580-I580, J580-I580)*INDEX('2018_commission_structure'!$A$1:$I$4,MATCH($E580,'2018_commission_structure'!$A$1:$A$4,0),MATCH(P$1,'2018_commission_structure'!$A$1:$I$1,0)),0)</f>
        <v>15808.810000000001</v>
      </c>
      <c r="Q580" s="9">
        <f>IF($H580&gt;J580, MIN($H580-J580, K580-J580)*INDEX('2018_commission_structure'!$A$1:$I$4,MATCH($E580,'2018_commission_structure'!$A$1:$A$4,0),MATCH(Q$1,'2018_commission_structure'!$A$1:$I$1,0)),0)</f>
        <v>0</v>
      </c>
      <c r="R580" s="9">
        <f>IF($H580&gt;K580, MIN($H580-K580, L580-K580)*INDEX('2018_commission_structure'!$A$1:$I$4,MATCH($E580,'2018_commission_structure'!$A$1:$A$4,0),MATCH(R$1,'2018_commission_structure'!$A$1:$I$1,0)),0)</f>
        <v>0</v>
      </c>
      <c r="S580" s="9">
        <f>IF(H580&gt;L580,(H580-L580)*INDEX('2018_commission_structure'!$A$1:$I$4,MATCH($E580,'2018_commission_structure'!$A$1:$A$4,0),MATCH(S$1,'2018_commission_structure'!$A$1:$I$1,0)),0)</f>
        <v>0</v>
      </c>
      <c r="T580" s="9">
        <f t="shared" si="98"/>
        <v>93808.81</v>
      </c>
      <c r="U580" s="9">
        <f t="shared" si="90"/>
        <v>160431.81</v>
      </c>
      <c r="V580" s="9">
        <f>MIN($I580,$H580)*INDEX('Key Metrics'!$E$16:$N$19,MATCH($E580,'Key Metrics'!$E$16:$E$19,0),MATCH(V$1,'Key Metrics'!$E$16:$M$16,0))</f>
        <v>90000</v>
      </c>
      <c r="W580" s="9">
        <f>IF($H580&gt;I580, MIN($H580-I580, J580-I580)*INDEX('Key Metrics'!$E$16:$N$19,MATCH($E580,'Key Metrics'!$E$16:$E$19,0),MATCH(W$1,'Key Metrics'!$E$16:$M$16,0)),0)</f>
        <v>16738.739999999998</v>
      </c>
      <c r="X580" s="9">
        <f>IF($H580&gt;J580, MIN($H580-J580, K580-J580)*INDEX('Key Metrics'!$E$16:$N$19,MATCH($E580,'Key Metrics'!$E$16:$E$19,0),MATCH(X$1,'Key Metrics'!$E$16:$M$16,0)),0)</f>
        <v>0</v>
      </c>
      <c r="Y580" s="9">
        <f>IF($H580&gt;K580, MIN($H580-K580, L580-K580)*INDEX('Key Metrics'!$E$16:$N$19,MATCH($E580,'Key Metrics'!$E$16:$E$19,0),MATCH(Y$1,'Key Metrics'!$E$16:$M$16,0)),0)</f>
        <v>0</v>
      </c>
      <c r="Z580" s="9">
        <f>IF($H580&gt;L580,($H580-L580)*INDEX('Key Metrics'!$E$16:$N$19,MATCH($E580,'Key Metrics'!$E$16:$E$19,0),MATCH(Z$1,'Key Metrics'!$E$16:$M$16,0)),0)</f>
        <v>0</v>
      </c>
      <c r="AA580" s="9">
        <f t="shared" si="99"/>
        <v>106738.73999999999</v>
      </c>
      <c r="AB580" s="9">
        <f t="shared" si="91"/>
        <v>106739.89498833333</v>
      </c>
    </row>
    <row r="581" spans="1:28" x14ac:dyDescent="0.55000000000000004">
      <c r="A581" t="str">
        <f t="shared" si="92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COUNTIF(deals_closed!$D$2:$D$20001,Calculations!B882)</f>
        <v>16</v>
      </c>
      <c r="H581" s="7">
        <f>SUMIF(deals_closed!$D:$D,Calculations!B882,deals_closed!$C:$C)</f>
        <v>625171</v>
      </c>
      <c r="I581" s="5">
        <f>VLOOKUP(E581,'2018_commission_structure'!$A$1:$I$4,9,FALSE)</f>
        <v>600000</v>
      </c>
      <c r="J581" s="9">
        <f t="shared" si="93"/>
        <v>750000</v>
      </c>
      <c r="K581" s="10">
        <f t="shared" si="94"/>
        <v>900000</v>
      </c>
      <c r="L581" s="9">
        <f t="shared" si="95"/>
        <v>1200000</v>
      </c>
      <c r="M581" s="8">
        <f t="shared" si="96"/>
        <v>1.0419516666666666</v>
      </c>
      <c r="N581" t="str">
        <f t="shared" si="97"/>
        <v>100-125%</v>
      </c>
      <c r="O581" s="9">
        <f>MIN($H581,$I581)*INDEX('2018_commission_structure'!$A$1:$I$4,MATCH($E581,'2018_commission_structure'!$A$1:$A$4,0),MATCH(O$1,'2018_commission_structure'!$A$1:$I$1,0))</f>
        <v>78000</v>
      </c>
      <c r="P581" s="9">
        <f>IF(H581&gt;I581, MIN(H581-I581, J581-I581)*INDEX('2018_commission_structure'!$A$1:$I$4,MATCH($E581,'2018_commission_structure'!$A$1:$A$4,0),MATCH(P$1,'2018_commission_structure'!$A$1:$I$1,0)),0)</f>
        <v>4279.0700000000006</v>
      </c>
      <c r="Q581" s="9">
        <f>IF($H581&gt;J581, MIN($H581-J581, K581-J581)*INDEX('2018_commission_structure'!$A$1:$I$4,MATCH($E581,'2018_commission_structure'!$A$1:$A$4,0),MATCH(Q$1,'2018_commission_structure'!$A$1:$I$1,0)),0)</f>
        <v>0</v>
      </c>
      <c r="R581" s="9">
        <f>IF($H581&gt;K581, MIN($H581-K581, L581-K581)*INDEX('2018_commission_structure'!$A$1:$I$4,MATCH($E581,'2018_commission_structure'!$A$1:$A$4,0),MATCH(R$1,'2018_commission_structure'!$A$1:$I$1,0)),0)</f>
        <v>0</v>
      </c>
      <c r="S581" s="9">
        <f>IF(H581&gt;L581,(H581-L581)*INDEX('2018_commission_structure'!$A$1:$I$4,MATCH($E581,'2018_commission_structure'!$A$1:$A$4,0),MATCH(S$1,'2018_commission_structure'!$A$1:$I$1,0)),0)</f>
        <v>0</v>
      </c>
      <c r="T581" s="9">
        <f t="shared" si="98"/>
        <v>82279.070000000007</v>
      </c>
      <c r="U581" s="9">
        <f t="shared" si="90"/>
        <v>141269.07</v>
      </c>
      <c r="V581" s="9">
        <f>MIN($I581,$H581)*INDEX('Key Metrics'!$E$16:$N$19,MATCH($E581,'Key Metrics'!$E$16:$E$19,0),MATCH(V$1,'Key Metrics'!$E$16:$M$16,0))</f>
        <v>90000</v>
      </c>
      <c r="W581" s="9">
        <f>IF($H581&gt;I581, MIN($H581-I581, J581-I581)*INDEX('Key Metrics'!$E$16:$N$19,MATCH($E581,'Key Metrics'!$E$16:$E$19,0),MATCH(W$1,'Key Metrics'!$E$16:$M$16,0)),0)</f>
        <v>4530.78</v>
      </c>
      <c r="X581" s="9">
        <f>IF($H581&gt;J581, MIN($H581-J581, K581-J581)*INDEX('Key Metrics'!$E$16:$N$19,MATCH($E581,'Key Metrics'!$E$16:$E$19,0),MATCH(X$1,'Key Metrics'!$E$16:$M$16,0)),0)</f>
        <v>0</v>
      </c>
      <c r="Y581" s="9">
        <f>IF($H581&gt;K581, MIN($H581-K581, L581-K581)*INDEX('Key Metrics'!$E$16:$N$19,MATCH($E581,'Key Metrics'!$E$16:$E$19,0),MATCH(Y$1,'Key Metrics'!$E$16:$M$16,0)),0)</f>
        <v>0</v>
      </c>
      <c r="Z581" s="9">
        <f>IF($H581&gt;L581,($H581-L581)*INDEX('Key Metrics'!$E$16:$N$19,MATCH($E581,'Key Metrics'!$E$16:$E$19,0),MATCH(Z$1,'Key Metrics'!$E$16:$M$16,0)),0)</f>
        <v>0</v>
      </c>
      <c r="AA581" s="9">
        <f t="shared" si="99"/>
        <v>94530.78</v>
      </c>
      <c r="AB581" s="9">
        <f t="shared" si="91"/>
        <v>94531.821951666672</v>
      </c>
    </row>
    <row r="582" spans="1:28" x14ac:dyDescent="0.55000000000000004">
      <c r="A582" t="str">
        <f t="shared" si="92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COUNTIF(deals_closed!$D$2:$D$20001,Calculations!B96)</f>
        <v>15</v>
      </c>
      <c r="H582" s="7">
        <f>SUMIF(deals_closed!$D:$D,Calculations!B96,deals_closed!$C:$C)</f>
        <v>573607</v>
      </c>
      <c r="I582" s="5">
        <f>VLOOKUP(E582,'2018_commission_structure'!$A$1:$I$4,9,FALSE)</f>
        <v>750000</v>
      </c>
      <c r="J582" s="9">
        <f t="shared" si="93"/>
        <v>937500</v>
      </c>
      <c r="K582" s="10">
        <f t="shared" si="94"/>
        <v>1125000</v>
      </c>
      <c r="L582" s="9">
        <f t="shared" si="95"/>
        <v>1500000</v>
      </c>
      <c r="M582" s="8">
        <f t="shared" si="96"/>
        <v>0.76480933333333334</v>
      </c>
      <c r="N582" t="str">
        <f t="shared" si="97"/>
        <v>0-100%</v>
      </c>
      <c r="O582" s="9">
        <f>MIN($H582,$I582)*INDEX('2018_commission_structure'!$A$1:$I$4,MATCH($E582,'2018_commission_structure'!$A$1:$A$4,0),MATCH(O$1,'2018_commission_structure'!$A$1:$I$1,0))</f>
        <v>86041.05</v>
      </c>
      <c r="P582" s="9">
        <f>IF(H582&gt;I582, MIN(H582-I582, J582-I582)*INDEX('2018_commission_structure'!$A$1:$I$4,MATCH($E582,'2018_commission_structure'!$A$1:$A$4,0),MATCH(P$1,'2018_commission_structure'!$A$1:$I$1,0)),0)</f>
        <v>0</v>
      </c>
      <c r="Q582" s="9">
        <f>IF($H582&gt;J582, MIN($H582-J582, K582-J582)*INDEX('2018_commission_structure'!$A$1:$I$4,MATCH($E582,'2018_commission_structure'!$A$1:$A$4,0),MATCH(Q$1,'2018_commission_structure'!$A$1:$I$1,0)),0)</f>
        <v>0</v>
      </c>
      <c r="R582" s="9">
        <f>IF($H582&gt;K582, MIN($H582-K582, L582-K582)*INDEX('2018_commission_structure'!$A$1:$I$4,MATCH($E582,'2018_commission_structure'!$A$1:$A$4,0),MATCH(R$1,'2018_commission_structure'!$A$1:$I$1,0)),0)</f>
        <v>0</v>
      </c>
      <c r="S582" s="9">
        <f>IF(H582&gt;L582,(H582-L582)*INDEX('2018_commission_structure'!$A$1:$I$4,MATCH($E582,'2018_commission_structure'!$A$1:$A$4,0),MATCH(S$1,'2018_commission_structure'!$A$1:$I$1,0)),0)</f>
        <v>0</v>
      </c>
      <c r="T582" s="9">
        <f t="shared" si="98"/>
        <v>86041.05</v>
      </c>
      <c r="U582" s="9">
        <f t="shared" si="90"/>
        <v>179398.05</v>
      </c>
      <c r="V582" s="9">
        <f>MIN($I582,$H582)*INDEX('Key Metrics'!$E$16:$N$19,MATCH($E582,'Key Metrics'!$E$16:$E$19,0),MATCH(V$1,'Key Metrics'!$E$16:$M$16,0))</f>
        <v>86041.05</v>
      </c>
      <c r="W582" s="9">
        <f>IF($H582&gt;I582, MIN($H582-I582, J582-I582)*INDEX('Key Metrics'!$E$16:$N$19,MATCH($E582,'Key Metrics'!$E$16:$E$19,0),MATCH(W$1,'Key Metrics'!$E$16:$M$16,0)),0)</f>
        <v>0</v>
      </c>
      <c r="X582" s="9">
        <f>IF($H582&gt;J582, MIN($H582-J582, K582-J582)*INDEX('Key Metrics'!$E$16:$N$19,MATCH($E582,'Key Metrics'!$E$16:$E$19,0),MATCH(X$1,'Key Metrics'!$E$16:$M$16,0)),0)</f>
        <v>0</v>
      </c>
      <c r="Y582" s="9">
        <f>IF($H582&gt;K582, MIN($H582-K582, L582-K582)*INDEX('Key Metrics'!$E$16:$N$19,MATCH($E582,'Key Metrics'!$E$16:$E$19,0),MATCH(Y$1,'Key Metrics'!$E$16:$M$16,0)),0)</f>
        <v>0</v>
      </c>
      <c r="Z582" s="9">
        <f>IF($H582&gt;L582,($H582-L582)*INDEX('Key Metrics'!$E$16:$N$19,MATCH($E582,'Key Metrics'!$E$16:$E$19,0),MATCH(Z$1,'Key Metrics'!$E$16:$M$16,0)),0)</f>
        <v>0</v>
      </c>
      <c r="AA582" s="9">
        <f t="shared" si="99"/>
        <v>86041.05</v>
      </c>
      <c r="AB582" s="9">
        <f t="shared" si="91"/>
        <v>86041.814809333329</v>
      </c>
    </row>
    <row r="583" spans="1:28" x14ac:dyDescent="0.55000000000000004">
      <c r="A583" t="str">
        <f t="shared" si="92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COUNTIF(deals_closed!$D$2:$D$20001,Calculations!B952)</f>
        <v>21</v>
      </c>
      <c r="H583" s="7">
        <f>SUMIF(deals_closed!$D:$D,Calculations!B952,deals_closed!$C:$C)</f>
        <v>851536</v>
      </c>
      <c r="I583" s="5">
        <f>VLOOKUP(E583,'2018_commission_structure'!$A$1:$I$4,9,FALSE)</f>
        <v>600000</v>
      </c>
      <c r="J583" s="9">
        <f t="shared" si="93"/>
        <v>750000</v>
      </c>
      <c r="K583" s="10">
        <f t="shared" si="94"/>
        <v>900000</v>
      </c>
      <c r="L583" s="9">
        <f t="shared" si="95"/>
        <v>1200000</v>
      </c>
      <c r="M583" s="8">
        <f t="shared" si="96"/>
        <v>1.4192266666666666</v>
      </c>
      <c r="N583" t="str">
        <f t="shared" si="97"/>
        <v>125-150%</v>
      </c>
      <c r="O583" s="9">
        <f>MIN($H583,$I583)*INDEX('2018_commission_structure'!$A$1:$I$4,MATCH($E583,'2018_commission_structure'!$A$1:$A$4,0),MATCH(O$1,'2018_commission_structure'!$A$1:$I$1,0))</f>
        <v>78000</v>
      </c>
      <c r="P583" s="9">
        <f>IF(H583&gt;I583, MIN(H583-I583, J583-I583)*INDEX('2018_commission_structure'!$A$1:$I$4,MATCH($E583,'2018_commission_structure'!$A$1:$A$4,0),MATCH(P$1,'2018_commission_structure'!$A$1:$I$1,0)),0)</f>
        <v>25500.000000000004</v>
      </c>
      <c r="Q583" s="9">
        <f>IF($H583&gt;J583, MIN($H583-J583, K583-J583)*INDEX('2018_commission_structure'!$A$1:$I$4,MATCH($E583,'2018_commission_structure'!$A$1:$A$4,0),MATCH(Q$1,'2018_commission_structure'!$A$1:$I$1,0)),0)</f>
        <v>21322.559999999998</v>
      </c>
      <c r="R583" s="9">
        <f>IF($H583&gt;K583, MIN($H583-K583, L583-K583)*INDEX('2018_commission_structure'!$A$1:$I$4,MATCH($E583,'2018_commission_structure'!$A$1:$A$4,0),MATCH(R$1,'2018_commission_structure'!$A$1:$I$1,0)),0)</f>
        <v>0</v>
      </c>
      <c r="S583" s="9">
        <f>IF(H583&gt;L583,(H583-L583)*INDEX('2018_commission_structure'!$A$1:$I$4,MATCH($E583,'2018_commission_structure'!$A$1:$A$4,0),MATCH(S$1,'2018_commission_structure'!$A$1:$I$1,0)),0)</f>
        <v>0</v>
      </c>
      <c r="T583" s="9">
        <f t="shared" si="98"/>
        <v>124822.56</v>
      </c>
      <c r="U583" s="9">
        <f t="shared" si="90"/>
        <v>186820.56</v>
      </c>
      <c r="V583" s="9">
        <f>MIN($I583,$H583)*INDEX('Key Metrics'!$E$16:$N$19,MATCH($E583,'Key Metrics'!$E$16:$E$19,0),MATCH(V$1,'Key Metrics'!$E$16:$M$16,0))</f>
        <v>90000</v>
      </c>
      <c r="W583" s="9">
        <f>IF($H583&gt;I583, MIN($H583-I583, J583-I583)*INDEX('Key Metrics'!$E$16:$N$19,MATCH($E583,'Key Metrics'!$E$16:$E$19,0),MATCH(W$1,'Key Metrics'!$E$16:$M$16,0)),0)</f>
        <v>27000</v>
      </c>
      <c r="X583" s="9">
        <f>IF($H583&gt;J583, MIN($H583-J583, K583-J583)*INDEX('Key Metrics'!$E$16:$N$19,MATCH($E583,'Key Metrics'!$E$16:$E$19,0),MATCH(X$1,'Key Metrics'!$E$16:$M$16,0)),0)</f>
        <v>25384</v>
      </c>
      <c r="Y583" s="9">
        <f>IF($H583&gt;K583, MIN($H583-K583, L583-K583)*INDEX('Key Metrics'!$E$16:$N$19,MATCH($E583,'Key Metrics'!$E$16:$E$19,0),MATCH(Y$1,'Key Metrics'!$E$16:$M$16,0)),0)</f>
        <v>0</v>
      </c>
      <c r="Z583" s="9">
        <f>IF($H583&gt;L583,($H583-L583)*INDEX('Key Metrics'!$E$16:$N$19,MATCH($E583,'Key Metrics'!$E$16:$E$19,0),MATCH(Z$1,'Key Metrics'!$E$16:$M$16,0)),0)</f>
        <v>0</v>
      </c>
      <c r="AA583" s="9">
        <f t="shared" si="99"/>
        <v>142384</v>
      </c>
      <c r="AB583" s="9">
        <f t="shared" si="91"/>
        <v>142385.41922666668</v>
      </c>
    </row>
    <row r="584" spans="1:28" x14ac:dyDescent="0.55000000000000004">
      <c r="A584" t="str">
        <f t="shared" si="92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COUNTIF(deals_closed!$D$2:$D$20001,Calculations!B369)</f>
        <v>22</v>
      </c>
      <c r="H584" s="7">
        <f>SUMIF(deals_closed!$D:$D,Calculations!B369,deals_closed!$C:$C)</f>
        <v>764531</v>
      </c>
      <c r="I584" s="5">
        <f>VLOOKUP(E584,'2018_commission_structure'!$A$1:$I$4,9,FALSE)</f>
        <v>600000</v>
      </c>
      <c r="J584" s="9">
        <f t="shared" si="93"/>
        <v>750000</v>
      </c>
      <c r="K584" s="10">
        <f t="shared" si="94"/>
        <v>900000</v>
      </c>
      <c r="L584" s="9">
        <f t="shared" si="95"/>
        <v>1200000</v>
      </c>
      <c r="M584" s="8">
        <f t="shared" si="96"/>
        <v>1.2742183333333332</v>
      </c>
      <c r="N584" t="str">
        <f t="shared" si="97"/>
        <v>125-150%</v>
      </c>
      <c r="O584" s="9">
        <f>MIN($H584,$I584)*INDEX('2018_commission_structure'!$A$1:$I$4,MATCH($E584,'2018_commission_structure'!$A$1:$A$4,0),MATCH(O$1,'2018_commission_structure'!$A$1:$I$1,0))</f>
        <v>78000</v>
      </c>
      <c r="P584" s="9">
        <f>IF(H584&gt;I584, MIN(H584-I584, J584-I584)*INDEX('2018_commission_structure'!$A$1:$I$4,MATCH($E584,'2018_commission_structure'!$A$1:$A$4,0),MATCH(P$1,'2018_commission_structure'!$A$1:$I$1,0)),0)</f>
        <v>25500.000000000004</v>
      </c>
      <c r="Q584" s="9">
        <f>IF($H584&gt;J584, MIN($H584-J584, K584-J584)*INDEX('2018_commission_structure'!$A$1:$I$4,MATCH($E584,'2018_commission_structure'!$A$1:$A$4,0),MATCH(Q$1,'2018_commission_structure'!$A$1:$I$1,0)),0)</f>
        <v>3051.5099999999998</v>
      </c>
      <c r="R584" s="9">
        <f>IF($H584&gt;K584, MIN($H584-K584, L584-K584)*INDEX('2018_commission_structure'!$A$1:$I$4,MATCH($E584,'2018_commission_structure'!$A$1:$A$4,0),MATCH(R$1,'2018_commission_structure'!$A$1:$I$1,0)),0)</f>
        <v>0</v>
      </c>
      <c r="S584" s="9">
        <f>IF(H584&gt;L584,(H584-L584)*INDEX('2018_commission_structure'!$A$1:$I$4,MATCH($E584,'2018_commission_structure'!$A$1:$A$4,0),MATCH(S$1,'2018_commission_structure'!$A$1:$I$1,0)),0)</f>
        <v>0</v>
      </c>
      <c r="T584" s="9">
        <f t="shared" si="98"/>
        <v>106551.51</v>
      </c>
      <c r="U584" s="9">
        <f t="shared" si="90"/>
        <v>158257.51</v>
      </c>
      <c r="V584" s="9">
        <f>MIN($I584,$H584)*INDEX('Key Metrics'!$E$16:$N$19,MATCH($E584,'Key Metrics'!$E$16:$E$19,0),MATCH(V$1,'Key Metrics'!$E$16:$M$16,0))</f>
        <v>90000</v>
      </c>
      <c r="W584" s="9">
        <f>IF($H584&gt;I584, MIN($H584-I584, J584-I584)*INDEX('Key Metrics'!$E$16:$N$19,MATCH($E584,'Key Metrics'!$E$16:$E$19,0),MATCH(W$1,'Key Metrics'!$E$16:$M$16,0)),0)</f>
        <v>27000</v>
      </c>
      <c r="X584" s="9">
        <f>IF($H584&gt;J584, MIN($H584-J584, K584-J584)*INDEX('Key Metrics'!$E$16:$N$19,MATCH($E584,'Key Metrics'!$E$16:$E$19,0),MATCH(X$1,'Key Metrics'!$E$16:$M$16,0)),0)</f>
        <v>3632.75</v>
      </c>
      <c r="Y584" s="9">
        <f>IF($H584&gt;K584, MIN($H584-K584, L584-K584)*INDEX('Key Metrics'!$E$16:$N$19,MATCH($E584,'Key Metrics'!$E$16:$E$19,0),MATCH(Y$1,'Key Metrics'!$E$16:$M$16,0)),0)</f>
        <v>0</v>
      </c>
      <c r="Z584" s="9">
        <f>IF($H584&gt;L584,($H584-L584)*INDEX('Key Metrics'!$E$16:$N$19,MATCH($E584,'Key Metrics'!$E$16:$E$19,0),MATCH(Z$1,'Key Metrics'!$E$16:$M$16,0)),0)</f>
        <v>0</v>
      </c>
      <c r="AA584" s="9">
        <f t="shared" si="99"/>
        <v>120632.75</v>
      </c>
      <c r="AB584" s="9">
        <f t="shared" si="91"/>
        <v>120634.02421833333</v>
      </c>
    </row>
    <row r="585" spans="1:28" x14ac:dyDescent="0.55000000000000004">
      <c r="A585" t="str">
        <f t="shared" si="92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COUNTIF(deals_closed!$D$2:$D$20001,Calculations!B927)</f>
        <v>12</v>
      </c>
      <c r="H585" s="7">
        <f>SUMIF(deals_closed!$D:$D,Calculations!B927,deals_closed!$C:$C)</f>
        <v>372405</v>
      </c>
      <c r="I585" s="5">
        <f>VLOOKUP(E585,'2018_commission_structure'!$A$1:$I$4,9,FALSE)</f>
        <v>750000</v>
      </c>
      <c r="J585" s="9">
        <f t="shared" si="93"/>
        <v>937500</v>
      </c>
      <c r="K585" s="10">
        <f t="shared" si="94"/>
        <v>1125000</v>
      </c>
      <c r="L585" s="9">
        <f t="shared" si="95"/>
        <v>1500000</v>
      </c>
      <c r="M585" s="8">
        <f t="shared" si="96"/>
        <v>0.49653999999999998</v>
      </c>
      <c r="N585" t="str">
        <f t="shared" si="97"/>
        <v>0-100%</v>
      </c>
      <c r="O585" s="9">
        <f>MIN($H585,$I585)*INDEX('2018_commission_structure'!$A$1:$I$4,MATCH($E585,'2018_commission_structure'!$A$1:$A$4,0),MATCH(O$1,'2018_commission_structure'!$A$1:$I$1,0))</f>
        <v>55860.75</v>
      </c>
      <c r="P585" s="9">
        <f>IF(H585&gt;I585, MIN(H585-I585, J585-I585)*INDEX('2018_commission_structure'!$A$1:$I$4,MATCH($E585,'2018_commission_structure'!$A$1:$A$4,0),MATCH(P$1,'2018_commission_structure'!$A$1:$I$1,0)),0)</f>
        <v>0</v>
      </c>
      <c r="Q585" s="9">
        <f>IF($H585&gt;J585, MIN($H585-J585, K585-J585)*INDEX('2018_commission_structure'!$A$1:$I$4,MATCH($E585,'2018_commission_structure'!$A$1:$A$4,0),MATCH(Q$1,'2018_commission_structure'!$A$1:$I$1,0)),0)</f>
        <v>0</v>
      </c>
      <c r="R585" s="9">
        <f>IF($H585&gt;K585, MIN($H585-K585, L585-K585)*INDEX('2018_commission_structure'!$A$1:$I$4,MATCH($E585,'2018_commission_structure'!$A$1:$A$4,0),MATCH(R$1,'2018_commission_structure'!$A$1:$I$1,0)),0)</f>
        <v>0</v>
      </c>
      <c r="S585" s="9">
        <f>IF(H585&gt;L585,(H585-L585)*INDEX('2018_commission_structure'!$A$1:$I$4,MATCH($E585,'2018_commission_structure'!$A$1:$A$4,0),MATCH(S$1,'2018_commission_structure'!$A$1:$I$1,0)),0)</f>
        <v>0</v>
      </c>
      <c r="T585" s="9">
        <f t="shared" si="98"/>
        <v>55860.75</v>
      </c>
      <c r="U585" s="9">
        <f t="shared" si="90"/>
        <v>177754.75</v>
      </c>
      <c r="V585" s="9">
        <f>MIN($I585,$H585)*INDEX('Key Metrics'!$E$16:$N$19,MATCH($E585,'Key Metrics'!$E$16:$E$19,0),MATCH(V$1,'Key Metrics'!$E$16:$M$16,0))</f>
        <v>55860.75</v>
      </c>
      <c r="W585" s="9">
        <f>IF($H585&gt;I585, MIN($H585-I585, J585-I585)*INDEX('Key Metrics'!$E$16:$N$19,MATCH($E585,'Key Metrics'!$E$16:$E$19,0),MATCH(W$1,'Key Metrics'!$E$16:$M$16,0)),0)</f>
        <v>0</v>
      </c>
      <c r="X585" s="9">
        <f>IF($H585&gt;J585, MIN($H585-J585, K585-J585)*INDEX('Key Metrics'!$E$16:$N$19,MATCH($E585,'Key Metrics'!$E$16:$E$19,0),MATCH(X$1,'Key Metrics'!$E$16:$M$16,0)),0)</f>
        <v>0</v>
      </c>
      <c r="Y585" s="9">
        <f>IF($H585&gt;K585, MIN($H585-K585, L585-K585)*INDEX('Key Metrics'!$E$16:$N$19,MATCH($E585,'Key Metrics'!$E$16:$E$19,0),MATCH(Y$1,'Key Metrics'!$E$16:$M$16,0)),0)</f>
        <v>0</v>
      </c>
      <c r="Z585" s="9">
        <f>IF($H585&gt;L585,($H585-L585)*INDEX('Key Metrics'!$E$16:$N$19,MATCH($E585,'Key Metrics'!$E$16:$E$19,0),MATCH(Z$1,'Key Metrics'!$E$16:$M$16,0)),0)</f>
        <v>0</v>
      </c>
      <c r="AA585" s="9">
        <f t="shared" si="99"/>
        <v>55860.75</v>
      </c>
      <c r="AB585" s="9">
        <f t="shared" si="91"/>
        <v>55861.24654</v>
      </c>
    </row>
    <row r="586" spans="1:28" x14ac:dyDescent="0.55000000000000004">
      <c r="A586" t="str">
        <f t="shared" si="92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COUNTIF(deals_closed!$D$2:$D$20001,Calculations!B676)</f>
        <v>17</v>
      </c>
      <c r="H586" s="7">
        <f>SUMIF(deals_closed!$D:$D,Calculations!B676,deals_closed!$C:$C)</f>
        <v>586374</v>
      </c>
      <c r="I586" s="5">
        <f>VLOOKUP(E586,'2018_commission_structure'!$A$1:$I$4,9,FALSE)</f>
        <v>750000</v>
      </c>
      <c r="J586" s="9">
        <f t="shared" si="93"/>
        <v>937500</v>
      </c>
      <c r="K586" s="10">
        <f t="shared" si="94"/>
        <v>1125000</v>
      </c>
      <c r="L586" s="9">
        <f t="shared" si="95"/>
        <v>1500000</v>
      </c>
      <c r="M586" s="8">
        <f t="shared" si="96"/>
        <v>0.78183199999999997</v>
      </c>
      <c r="N586" t="str">
        <f t="shared" si="97"/>
        <v>0-100%</v>
      </c>
      <c r="O586" s="9">
        <f>MIN($H586,$I586)*INDEX('2018_commission_structure'!$A$1:$I$4,MATCH($E586,'2018_commission_structure'!$A$1:$A$4,0),MATCH(O$1,'2018_commission_structure'!$A$1:$I$1,0))</f>
        <v>87956.099999999991</v>
      </c>
      <c r="P586" s="9">
        <f>IF(H586&gt;I586, MIN(H586-I586, J586-I586)*INDEX('2018_commission_structure'!$A$1:$I$4,MATCH($E586,'2018_commission_structure'!$A$1:$A$4,0),MATCH(P$1,'2018_commission_structure'!$A$1:$I$1,0)),0)</f>
        <v>0</v>
      </c>
      <c r="Q586" s="9">
        <f>IF($H586&gt;J586, MIN($H586-J586, K586-J586)*INDEX('2018_commission_structure'!$A$1:$I$4,MATCH($E586,'2018_commission_structure'!$A$1:$A$4,0),MATCH(Q$1,'2018_commission_structure'!$A$1:$I$1,0)),0)</f>
        <v>0</v>
      </c>
      <c r="R586" s="9">
        <f>IF($H586&gt;K586, MIN($H586-K586, L586-K586)*INDEX('2018_commission_structure'!$A$1:$I$4,MATCH($E586,'2018_commission_structure'!$A$1:$A$4,0),MATCH(R$1,'2018_commission_structure'!$A$1:$I$1,0)),0)</f>
        <v>0</v>
      </c>
      <c r="S586" s="9">
        <f>IF(H586&gt;L586,(H586-L586)*INDEX('2018_commission_structure'!$A$1:$I$4,MATCH($E586,'2018_commission_structure'!$A$1:$A$4,0),MATCH(S$1,'2018_commission_structure'!$A$1:$I$1,0)),0)</f>
        <v>0</v>
      </c>
      <c r="T586" s="9">
        <f t="shared" si="98"/>
        <v>87956.099999999991</v>
      </c>
      <c r="U586" s="9">
        <f t="shared" si="90"/>
        <v>211151.09999999998</v>
      </c>
      <c r="V586" s="9">
        <f>MIN($I586,$H586)*INDEX('Key Metrics'!$E$16:$N$19,MATCH($E586,'Key Metrics'!$E$16:$E$19,0),MATCH(V$1,'Key Metrics'!$E$16:$M$16,0))</f>
        <v>87956.099999999991</v>
      </c>
      <c r="W586" s="9">
        <f>IF($H586&gt;I586, MIN($H586-I586, J586-I586)*INDEX('Key Metrics'!$E$16:$N$19,MATCH($E586,'Key Metrics'!$E$16:$E$19,0),MATCH(W$1,'Key Metrics'!$E$16:$M$16,0)),0)</f>
        <v>0</v>
      </c>
      <c r="X586" s="9">
        <f>IF($H586&gt;J586, MIN($H586-J586, K586-J586)*INDEX('Key Metrics'!$E$16:$N$19,MATCH($E586,'Key Metrics'!$E$16:$E$19,0),MATCH(X$1,'Key Metrics'!$E$16:$M$16,0)),0)</f>
        <v>0</v>
      </c>
      <c r="Y586" s="9">
        <f>IF($H586&gt;K586, MIN($H586-K586, L586-K586)*INDEX('Key Metrics'!$E$16:$N$19,MATCH($E586,'Key Metrics'!$E$16:$E$19,0),MATCH(Y$1,'Key Metrics'!$E$16:$M$16,0)),0)</f>
        <v>0</v>
      </c>
      <c r="Z586" s="9">
        <f>IF($H586&gt;L586,($H586-L586)*INDEX('Key Metrics'!$E$16:$N$19,MATCH($E586,'Key Metrics'!$E$16:$E$19,0),MATCH(Z$1,'Key Metrics'!$E$16:$M$16,0)),0)</f>
        <v>0</v>
      </c>
      <c r="AA586" s="9">
        <f t="shared" si="99"/>
        <v>87956.099999999991</v>
      </c>
      <c r="AB586" s="9">
        <f t="shared" si="91"/>
        <v>87956.881831999985</v>
      </c>
    </row>
    <row r="587" spans="1:28" x14ac:dyDescent="0.55000000000000004">
      <c r="A587" t="str">
        <f t="shared" si="92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COUNTIF(deals_closed!$D$2:$D$20001,Calculations!B810)</f>
        <v>24</v>
      </c>
      <c r="H587" s="7">
        <f>SUMIF(deals_closed!$D:$D,Calculations!B810,deals_closed!$C:$C)</f>
        <v>745980</v>
      </c>
      <c r="I587" s="5">
        <f>VLOOKUP(E587,'2018_commission_structure'!$A$1:$I$4,9,FALSE)</f>
        <v>600000</v>
      </c>
      <c r="J587" s="9">
        <f t="shared" si="93"/>
        <v>750000</v>
      </c>
      <c r="K587" s="10">
        <f t="shared" si="94"/>
        <v>900000</v>
      </c>
      <c r="L587" s="9">
        <f t="shared" si="95"/>
        <v>1200000</v>
      </c>
      <c r="M587" s="8">
        <f t="shared" si="96"/>
        <v>1.2433000000000001</v>
      </c>
      <c r="N587" t="str">
        <f t="shared" si="97"/>
        <v>100-125%</v>
      </c>
      <c r="O587" s="9">
        <f>MIN($H587,$I587)*INDEX('2018_commission_structure'!$A$1:$I$4,MATCH($E587,'2018_commission_structure'!$A$1:$A$4,0),MATCH(O$1,'2018_commission_structure'!$A$1:$I$1,0))</f>
        <v>78000</v>
      </c>
      <c r="P587" s="9">
        <f>IF(H587&gt;I587, MIN(H587-I587, J587-I587)*INDEX('2018_commission_structure'!$A$1:$I$4,MATCH($E587,'2018_commission_structure'!$A$1:$A$4,0),MATCH(P$1,'2018_commission_structure'!$A$1:$I$1,0)),0)</f>
        <v>24816.600000000002</v>
      </c>
      <c r="Q587" s="9">
        <f>IF($H587&gt;J587, MIN($H587-J587, K587-J587)*INDEX('2018_commission_structure'!$A$1:$I$4,MATCH($E587,'2018_commission_structure'!$A$1:$A$4,0),MATCH(Q$1,'2018_commission_structure'!$A$1:$I$1,0)),0)</f>
        <v>0</v>
      </c>
      <c r="R587" s="9">
        <f>IF($H587&gt;K587, MIN($H587-K587, L587-K587)*INDEX('2018_commission_structure'!$A$1:$I$4,MATCH($E587,'2018_commission_structure'!$A$1:$A$4,0),MATCH(R$1,'2018_commission_structure'!$A$1:$I$1,0)),0)</f>
        <v>0</v>
      </c>
      <c r="S587" s="9">
        <f>IF(H587&gt;L587,(H587-L587)*INDEX('2018_commission_structure'!$A$1:$I$4,MATCH($E587,'2018_commission_structure'!$A$1:$A$4,0),MATCH(S$1,'2018_commission_structure'!$A$1:$I$1,0)),0)</f>
        <v>0</v>
      </c>
      <c r="T587" s="9">
        <f t="shared" si="98"/>
        <v>102816.6</v>
      </c>
      <c r="U587" s="9">
        <f t="shared" si="90"/>
        <v>172132.6</v>
      </c>
      <c r="V587" s="9">
        <f>MIN($I587,$H587)*INDEX('Key Metrics'!$E$16:$N$19,MATCH($E587,'Key Metrics'!$E$16:$E$19,0),MATCH(V$1,'Key Metrics'!$E$16:$M$16,0))</f>
        <v>90000</v>
      </c>
      <c r="W587" s="9">
        <f>IF($H587&gt;I587, MIN($H587-I587, J587-I587)*INDEX('Key Metrics'!$E$16:$N$19,MATCH($E587,'Key Metrics'!$E$16:$E$19,0),MATCH(W$1,'Key Metrics'!$E$16:$M$16,0)),0)</f>
        <v>26276.399999999998</v>
      </c>
      <c r="X587" s="9">
        <f>IF($H587&gt;J587, MIN($H587-J587, K587-J587)*INDEX('Key Metrics'!$E$16:$N$19,MATCH($E587,'Key Metrics'!$E$16:$E$19,0),MATCH(X$1,'Key Metrics'!$E$16:$M$16,0)),0)</f>
        <v>0</v>
      </c>
      <c r="Y587" s="9">
        <f>IF($H587&gt;K587, MIN($H587-K587, L587-K587)*INDEX('Key Metrics'!$E$16:$N$19,MATCH($E587,'Key Metrics'!$E$16:$E$19,0),MATCH(Y$1,'Key Metrics'!$E$16:$M$16,0)),0)</f>
        <v>0</v>
      </c>
      <c r="Z587" s="9">
        <f>IF($H587&gt;L587,($H587-L587)*INDEX('Key Metrics'!$E$16:$N$19,MATCH($E587,'Key Metrics'!$E$16:$E$19,0),MATCH(Z$1,'Key Metrics'!$E$16:$M$16,0)),0)</f>
        <v>0</v>
      </c>
      <c r="AA587" s="9">
        <f t="shared" si="99"/>
        <v>116276.4</v>
      </c>
      <c r="AB587" s="9">
        <f t="shared" si="91"/>
        <v>116277.6433</v>
      </c>
    </row>
    <row r="588" spans="1:28" x14ac:dyDescent="0.55000000000000004">
      <c r="A588" t="str">
        <f t="shared" si="92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COUNTIF(deals_closed!$D$2:$D$20001,Calculations!B923)</f>
        <v>19</v>
      </c>
      <c r="H588" s="7">
        <f>SUMIF(deals_closed!$D:$D,Calculations!B923,deals_closed!$C:$C)</f>
        <v>743904</v>
      </c>
      <c r="I588" s="5">
        <f>VLOOKUP(E588,'2018_commission_structure'!$A$1:$I$4,9,FALSE)</f>
        <v>600000</v>
      </c>
      <c r="J588" s="9">
        <f t="shared" si="93"/>
        <v>750000</v>
      </c>
      <c r="K588" s="10">
        <f t="shared" si="94"/>
        <v>900000</v>
      </c>
      <c r="L588" s="9">
        <f t="shared" si="95"/>
        <v>1200000</v>
      </c>
      <c r="M588" s="8">
        <f t="shared" si="96"/>
        <v>1.2398400000000001</v>
      </c>
      <c r="N588" t="str">
        <f t="shared" si="97"/>
        <v>100-125%</v>
      </c>
      <c r="O588" s="9">
        <f>MIN($H588,$I588)*INDEX('2018_commission_structure'!$A$1:$I$4,MATCH($E588,'2018_commission_structure'!$A$1:$A$4,0),MATCH(O$1,'2018_commission_structure'!$A$1:$I$1,0))</f>
        <v>78000</v>
      </c>
      <c r="P588" s="9">
        <f>IF(H588&gt;I588, MIN(H588-I588, J588-I588)*INDEX('2018_commission_structure'!$A$1:$I$4,MATCH($E588,'2018_commission_structure'!$A$1:$A$4,0),MATCH(P$1,'2018_commission_structure'!$A$1:$I$1,0)),0)</f>
        <v>24463.68</v>
      </c>
      <c r="Q588" s="9">
        <f>IF($H588&gt;J588, MIN($H588-J588, K588-J588)*INDEX('2018_commission_structure'!$A$1:$I$4,MATCH($E588,'2018_commission_structure'!$A$1:$A$4,0),MATCH(Q$1,'2018_commission_structure'!$A$1:$I$1,0)),0)</f>
        <v>0</v>
      </c>
      <c r="R588" s="9">
        <f>IF($H588&gt;K588, MIN($H588-K588, L588-K588)*INDEX('2018_commission_structure'!$A$1:$I$4,MATCH($E588,'2018_commission_structure'!$A$1:$A$4,0),MATCH(R$1,'2018_commission_structure'!$A$1:$I$1,0)),0)</f>
        <v>0</v>
      </c>
      <c r="S588" s="9">
        <f>IF(H588&gt;L588,(H588-L588)*INDEX('2018_commission_structure'!$A$1:$I$4,MATCH($E588,'2018_commission_structure'!$A$1:$A$4,0),MATCH(S$1,'2018_commission_structure'!$A$1:$I$1,0)),0)</f>
        <v>0</v>
      </c>
      <c r="T588" s="9">
        <f t="shared" si="98"/>
        <v>102463.67999999999</v>
      </c>
      <c r="U588" s="9">
        <f t="shared" si="90"/>
        <v>179670.68</v>
      </c>
      <c r="V588" s="9">
        <f>MIN($I588,$H588)*INDEX('Key Metrics'!$E$16:$N$19,MATCH($E588,'Key Metrics'!$E$16:$E$19,0),MATCH(V$1,'Key Metrics'!$E$16:$M$16,0))</f>
        <v>90000</v>
      </c>
      <c r="W588" s="9">
        <f>IF($H588&gt;I588, MIN($H588-I588, J588-I588)*INDEX('Key Metrics'!$E$16:$N$19,MATCH($E588,'Key Metrics'!$E$16:$E$19,0),MATCH(W$1,'Key Metrics'!$E$16:$M$16,0)),0)</f>
        <v>25902.719999999998</v>
      </c>
      <c r="X588" s="9">
        <f>IF($H588&gt;J588, MIN($H588-J588, K588-J588)*INDEX('Key Metrics'!$E$16:$N$19,MATCH($E588,'Key Metrics'!$E$16:$E$19,0),MATCH(X$1,'Key Metrics'!$E$16:$M$16,0)),0)</f>
        <v>0</v>
      </c>
      <c r="Y588" s="9">
        <f>IF($H588&gt;K588, MIN($H588-K588, L588-K588)*INDEX('Key Metrics'!$E$16:$N$19,MATCH($E588,'Key Metrics'!$E$16:$E$19,0),MATCH(Y$1,'Key Metrics'!$E$16:$M$16,0)),0)</f>
        <v>0</v>
      </c>
      <c r="Z588" s="9">
        <f>IF($H588&gt;L588,($H588-L588)*INDEX('Key Metrics'!$E$16:$N$19,MATCH($E588,'Key Metrics'!$E$16:$E$19,0),MATCH(Z$1,'Key Metrics'!$E$16:$M$16,0)),0)</f>
        <v>0</v>
      </c>
      <c r="AA588" s="9">
        <f t="shared" si="99"/>
        <v>115902.72</v>
      </c>
      <c r="AB588" s="9">
        <f t="shared" si="91"/>
        <v>115903.95984</v>
      </c>
    </row>
    <row r="589" spans="1:28" x14ac:dyDescent="0.55000000000000004">
      <c r="A589" t="str">
        <f t="shared" si="92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COUNTIF(deals_closed!$D$2:$D$20001,Calculations!B427)</f>
        <v>26</v>
      </c>
      <c r="H589" s="7">
        <f>SUMIF(deals_closed!$D:$D,Calculations!B427,deals_closed!$C:$C)</f>
        <v>802034</v>
      </c>
      <c r="I589" s="5">
        <f>VLOOKUP(E589,'2018_commission_structure'!$A$1:$I$4,9,FALSE)</f>
        <v>600000</v>
      </c>
      <c r="J589" s="9">
        <f t="shared" si="93"/>
        <v>750000</v>
      </c>
      <c r="K589" s="10">
        <f t="shared" si="94"/>
        <v>900000</v>
      </c>
      <c r="L589" s="9">
        <f t="shared" si="95"/>
        <v>1200000</v>
      </c>
      <c r="M589" s="8">
        <f t="shared" si="96"/>
        <v>1.3367233333333333</v>
      </c>
      <c r="N589" t="str">
        <f t="shared" si="97"/>
        <v>125-150%</v>
      </c>
      <c r="O589" s="9">
        <f>MIN($H589,$I589)*INDEX('2018_commission_structure'!$A$1:$I$4,MATCH($E589,'2018_commission_structure'!$A$1:$A$4,0),MATCH(O$1,'2018_commission_structure'!$A$1:$I$1,0))</f>
        <v>78000</v>
      </c>
      <c r="P589" s="9">
        <f>IF(H589&gt;I589, MIN(H589-I589, J589-I589)*INDEX('2018_commission_structure'!$A$1:$I$4,MATCH($E589,'2018_commission_structure'!$A$1:$A$4,0),MATCH(P$1,'2018_commission_structure'!$A$1:$I$1,0)),0)</f>
        <v>25500.000000000004</v>
      </c>
      <c r="Q589" s="9">
        <f>IF($H589&gt;J589, MIN($H589-J589, K589-J589)*INDEX('2018_commission_structure'!$A$1:$I$4,MATCH($E589,'2018_commission_structure'!$A$1:$A$4,0),MATCH(Q$1,'2018_commission_structure'!$A$1:$I$1,0)),0)</f>
        <v>10927.14</v>
      </c>
      <c r="R589" s="9">
        <f>IF($H589&gt;K589, MIN($H589-K589, L589-K589)*INDEX('2018_commission_structure'!$A$1:$I$4,MATCH($E589,'2018_commission_structure'!$A$1:$A$4,0),MATCH(R$1,'2018_commission_structure'!$A$1:$I$1,0)),0)</f>
        <v>0</v>
      </c>
      <c r="S589" s="9">
        <f>IF(H589&gt;L589,(H589-L589)*INDEX('2018_commission_structure'!$A$1:$I$4,MATCH($E589,'2018_commission_structure'!$A$1:$A$4,0),MATCH(S$1,'2018_commission_structure'!$A$1:$I$1,0)),0)</f>
        <v>0</v>
      </c>
      <c r="T589" s="9">
        <f t="shared" si="98"/>
        <v>114427.14</v>
      </c>
      <c r="U589" s="9">
        <f t="shared" si="90"/>
        <v>170164.14</v>
      </c>
      <c r="V589" s="9">
        <f>MIN($I589,$H589)*INDEX('Key Metrics'!$E$16:$N$19,MATCH($E589,'Key Metrics'!$E$16:$E$19,0),MATCH(V$1,'Key Metrics'!$E$16:$M$16,0))</f>
        <v>90000</v>
      </c>
      <c r="W589" s="9">
        <f>IF($H589&gt;I589, MIN($H589-I589, J589-I589)*INDEX('Key Metrics'!$E$16:$N$19,MATCH($E589,'Key Metrics'!$E$16:$E$19,0),MATCH(W$1,'Key Metrics'!$E$16:$M$16,0)),0)</f>
        <v>27000</v>
      </c>
      <c r="X589" s="9">
        <f>IF($H589&gt;J589, MIN($H589-J589, K589-J589)*INDEX('Key Metrics'!$E$16:$N$19,MATCH($E589,'Key Metrics'!$E$16:$E$19,0),MATCH(X$1,'Key Metrics'!$E$16:$M$16,0)),0)</f>
        <v>13008.5</v>
      </c>
      <c r="Y589" s="9">
        <f>IF($H589&gt;K589, MIN($H589-K589, L589-K589)*INDEX('Key Metrics'!$E$16:$N$19,MATCH($E589,'Key Metrics'!$E$16:$E$19,0),MATCH(Y$1,'Key Metrics'!$E$16:$M$16,0)),0)</f>
        <v>0</v>
      </c>
      <c r="Z589" s="9">
        <f>IF($H589&gt;L589,($H589-L589)*INDEX('Key Metrics'!$E$16:$N$19,MATCH($E589,'Key Metrics'!$E$16:$E$19,0),MATCH(Z$1,'Key Metrics'!$E$16:$M$16,0)),0)</f>
        <v>0</v>
      </c>
      <c r="AA589" s="9">
        <f t="shared" si="99"/>
        <v>130008.5</v>
      </c>
      <c r="AB589" s="9">
        <f t="shared" si="91"/>
        <v>130009.83672333333</v>
      </c>
    </row>
    <row r="590" spans="1:28" x14ac:dyDescent="0.55000000000000004">
      <c r="A590" t="str">
        <f t="shared" si="92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COUNTIF(deals_closed!$D$2:$D$20001,Calculations!B879)</f>
        <v>21</v>
      </c>
      <c r="H590" s="7">
        <f>SUMIF(deals_closed!$D:$D,Calculations!B879,deals_closed!$C:$C)</f>
        <v>731557</v>
      </c>
      <c r="I590" s="5">
        <f>VLOOKUP(E590,'2018_commission_structure'!$A$1:$I$4,9,FALSE)</f>
        <v>600000</v>
      </c>
      <c r="J590" s="9">
        <f t="shared" si="93"/>
        <v>750000</v>
      </c>
      <c r="K590" s="10">
        <f t="shared" si="94"/>
        <v>900000</v>
      </c>
      <c r="L590" s="9">
        <f t="shared" si="95"/>
        <v>1200000</v>
      </c>
      <c r="M590" s="8">
        <f t="shared" si="96"/>
        <v>1.2192616666666667</v>
      </c>
      <c r="N590" t="str">
        <f t="shared" si="97"/>
        <v>100-125%</v>
      </c>
      <c r="O590" s="9">
        <f>MIN($H590,$I590)*INDEX('2018_commission_structure'!$A$1:$I$4,MATCH($E590,'2018_commission_structure'!$A$1:$A$4,0),MATCH(O$1,'2018_commission_structure'!$A$1:$I$1,0))</f>
        <v>78000</v>
      </c>
      <c r="P590" s="9">
        <f>IF(H590&gt;I590, MIN(H590-I590, J590-I590)*INDEX('2018_commission_structure'!$A$1:$I$4,MATCH($E590,'2018_commission_structure'!$A$1:$A$4,0),MATCH(P$1,'2018_commission_structure'!$A$1:$I$1,0)),0)</f>
        <v>22364.690000000002</v>
      </c>
      <c r="Q590" s="9">
        <f>IF($H590&gt;J590, MIN($H590-J590, K590-J590)*INDEX('2018_commission_structure'!$A$1:$I$4,MATCH($E590,'2018_commission_structure'!$A$1:$A$4,0),MATCH(Q$1,'2018_commission_structure'!$A$1:$I$1,0)),0)</f>
        <v>0</v>
      </c>
      <c r="R590" s="9">
        <f>IF($H590&gt;K590, MIN($H590-K590, L590-K590)*INDEX('2018_commission_structure'!$A$1:$I$4,MATCH($E590,'2018_commission_structure'!$A$1:$A$4,0),MATCH(R$1,'2018_commission_structure'!$A$1:$I$1,0)),0)</f>
        <v>0</v>
      </c>
      <c r="S590" s="9">
        <f>IF(H590&gt;L590,(H590-L590)*INDEX('2018_commission_structure'!$A$1:$I$4,MATCH($E590,'2018_commission_structure'!$A$1:$A$4,0),MATCH(S$1,'2018_commission_structure'!$A$1:$I$1,0)),0)</f>
        <v>0</v>
      </c>
      <c r="T590" s="9">
        <f t="shared" si="98"/>
        <v>100364.69</v>
      </c>
      <c r="U590" s="9">
        <f t="shared" si="90"/>
        <v>160525.69</v>
      </c>
      <c r="V590" s="9">
        <f>MIN($I590,$H590)*INDEX('Key Metrics'!$E$16:$N$19,MATCH($E590,'Key Metrics'!$E$16:$E$19,0),MATCH(V$1,'Key Metrics'!$E$16:$M$16,0))</f>
        <v>90000</v>
      </c>
      <c r="W590" s="9">
        <f>IF($H590&gt;I590, MIN($H590-I590, J590-I590)*INDEX('Key Metrics'!$E$16:$N$19,MATCH($E590,'Key Metrics'!$E$16:$E$19,0),MATCH(W$1,'Key Metrics'!$E$16:$M$16,0)),0)</f>
        <v>23680.26</v>
      </c>
      <c r="X590" s="9">
        <f>IF($H590&gt;J590, MIN($H590-J590, K590-J590)*INDEX('Key Metrics'!$E$16:$N$19,MATCH($E590,'Key Metrics'!$E$16:$E$19,0),MATCH(X$1,'Key Metrics'!$E$16:$M$16,0)),0)</f>
        <v>0</v>
      </c>
      <c r="Y590" s="9">
        <f>IF($H590&gt;K590, MIN($H590-K590, L590-K590)*INDEX('Key Metrics'!$E$16:$N$19,MATCH($E590,'Key Metrics'!$E$16:$E$19,0),MATCH(Y$1,'Key Metrics'!$E$16:$M$16,0)),0)</f>
        <v>0</v>
      </c>
      <c r="Z590" s="9">
        <f>IF($H590&gt;L590,($H590-L590)*INDEX('Key Metrics'!$E$16:$N$19,MATCH($E590,'Key Metrics'!$E$16:$E$19,0),MATCH(Z$1,'Key Metrics'!$E$16:$M$16,0)),0)</f>
        <v>0</v>
      </c>
      <c r="AA590" s="9">
        <f t="shared" si="99"/>
        <v>113680.26</v>
      </c>
      <c r="AB590" s="9">
        <f t="shared" si="91"/>
        <v>113681.47926166667</v>
      </c>
    </row>
    <row r="591" spans="1:28" x14ac:dyDescent="0.55000000000000004">
      <c r="A591" t="str">
        <f t="shared" si="92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COUNTIF(deals_closed!$D$2:$D$20001,Calculations!B396)</f>
        <v>13</v>
      </c>
      <c r="H591" s="7">
        <f>SUMIF(deals_closed!$D:$D,Calculations!B396,deals_closed!$C:$C)</f>
        <v>382630</v>
      </c>
      <c r="I591" s="5">
        <f>VLOOKUP(E591,'2018_commission_structure'!$A$1:$I$4,9,FALSE)</f>
        <v>500000</v>
      </c>
      <c r="J591" s="9">
        <f t="shared" si="93"/>
        <v>625000</v>
      </c>
      <c r="K591" s="10">
        <f t="shared" si="94"/>
        <v>750000</v>
      </c>
      <c r="L591" s="9">
        <f t="shared" si="95"/>
        <v>1000000</v>
      </c>
      <c r="M591" s="8">
        <f t="shared" si="96"/>
        <v>0.76526000000000005</v>
      </c>
      <c r="N591" t="str">
        <f t="shared" si="97"/>
        <v>0-100%</v>
      </c>
      <c r="O591" s="9">
        <f>MIN($H591,$I591)*INDEX('2018_commission_structure'!$A$1:$I$4,MATCH($E591,'2018_commission_structure'!$A$1:$A$4,0),MATCH(O$1,'2018_commission_structure'!$A$1:$I$1,0))</f>
        <v>38263</v>
      </c>
      <c r="P591" s="9">
        <f>IF(H591&gt;I591, MIN(H591-I591, J591-I591)*INDEX('2018_commission_structure'!$A$1:$I$4,MATCH($E591,'2018_commission_structure'!$A$1:$A$4,0),MATCH(P$1,'2018_commission_structure'!$A$1:$I$1,0)),0)</f>
        <v>0</v>
      </c>
      <c r="Q591" s="9">
        <f>IF($H591&gt;J591, MIN($H591-J591, K591-J591)*INDEX('2018_commission_structure'!$A$1:$I$4,MATCH($E591,'2018_commission_structure'!$A$1:$A$4,0),MATCH(Q$1,'2018_commission_structure'!$A$1:$I$1,0)),0)</f>
        <v>0</v>
      </c>
      <c r="R591" s="9">
        <f>IF($H591&gt;K591, MIN($H591-K591, L591-K591)*INDEX('2018_commission_structure'!$A$1:$I$4,MATCH($E591,'2018_commission_structure'!$A$1:$A$4,0),MATCH(R$1,'2018_commission_structure'!$A$1:$I$1,0)),0)</f>
        <v>0</v>
      </c>
      <c r="S591" s="9">
        <f>IF(H591&gt;L591,(H591-L591)*INDEX('2018_commission_structure'!$A$1:$I$4,MATCH($E591,'2018_commission_structure'!$A$1:$A$4,0),MATCH(S$1,'2018_commission_structure'!$A$1:$I$1,0)),0)</f>
        <v>0</v>
      </c>
      <c r="T591" s="9">
        <f t="shared" si="98"/>
        <v>38263</v>
      </c>
      <c r="U591" s="9">
        <f t="shared" si="90"/>
        <v>102288</v>
      </c>
      <c r="V591" s="9">
        <f>MIN($I591,$H591)*INDEX('Key Metrics'!$E$16:$N$19,MATCH($E591,'Key Metrics'!$E$16:$E$19,0),MATCH(V$1,'Key Metrics'!$E$16:$M$16,0))</f>
        <v>45915.6</v>
      </c>
      <c r="W591" s="9">
        <f>IF($H591&gt;I591, MIN($H591-I591, J591-I591)*INDEX('Key Metrics'!$E$16:$N$19,MATCH($E591,'Key Metrics'!$E$16:$E$19,0),MATCH(W$1,'Key Metrics'!$E$16:$M$16,0)),0)</f>
        <v>0</v>
      </c>
      <c r="X591" s="9">
        <f>IF($H591&gt;J591, MIN($H591-J591, K591-J591)*INDEX('Key Metrics'!$E$16:$N$19,MATCH($E591,'Key Metrics'!$E$16:$E$19,0),MATCH(X$1,'Key Metrics'!$E$16:$M$16,0)),0)</f>
        <v>0</v>
      </c>
      <c r="Y591" s="9">
        <f>IF($H591&gt;K591, MIN($H591-K591, L591-K591)*INDEX('Key Metrics'!$E$16:$N$19,MATCH($E591,'Key Metrics'!$E$16:$E$19,0),MATCH(Y$1,'Key Metrics'!$E$16:$M$16,0)),0)</f>
        <v>0</v>
      </c>
      <c r="Z591" s="9">
        <f>IF($H591&gt;L591,($H591-L591)*INDEX('Key Metrics'!$E$16:$N$19,MATCH($E591,'Key Metrics'!$E$16:$E$19,0),MATCH(Z$1,'Key Metrics'!$E$16:$M$16,0)),0)</f>
        <v>0</v>
      </c>
      <c r="AA591" s="9">
        <f t="shared" si="99"/>
        <v>45915.6</v>
      </c>
      <c r="AB591" s="9">
        <f t="shared" si="91"/>
        <v>45916.365259999999</v>
      </c>
    </row>
    <row r="592" spans="1:28" x14ac:dyDescent="0.55000000000000004">
      <c r="A592" t="str">
        <f t="shared" si="92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COUNTIF(deals_closed!$D$2:$D$20001,Calculations!B413)</f>
        <v>14</v>
      </c>
      <c r="H592" s="7">
        <f>SUMIF(deals_closed!$D:$D,Calculations!B413,deals_closed!$C:$C)</f>
        <v>413366</v>
      </c>
      <c r="I592" s="5">
        <f>VLOOKUP(E592,'2018_commission_structure'!$A$1:$I$4,9,FALSE)</f>
        <v>600000</v>
      </c>
      <c r="J592" s="9">
        <f t="shared" si="93"/>
        <v>750000</v>
      </c>
      <c r="K592" s="10">
        <f t="shared" si="94"/>
        <v>900000</v>
      </c>
      <c r="L592" s="9">
        <f t="shared" si="95"/>
        <v>1200000</v>
      </c>
      <c r="M592" s="8">
        <f t="shared" si="96"/>
        <v>0.68894333333333335</v>
      </c>
      <c r="N592" t="str">
        <f t="shared" si="97"/>
        <v>0-100%</v>
      </c>
      <c r="O592" s="9">
        <f>MIN($H592,$I592)*INDEX('2018_commission_structure'!$A$1:$I$4,MATCH($E592,'2018_commission_structure'!$A$1:$A$4,0),MATCH(O$1,'2018_commission_structure'!$A$1:$I$1,0))</f>
        <v>53737.58</v>
      </c>
      <c r="P592" s="9">
        <f>IF(H592&gt;I592, MIN(H592-I592, J592-I592)*INDEX('2018_commission_structure'!$A$1:$I$4,MATCH($E592,'2018_commission_structure'!$A$1:$A$4,0),MATCH(P$1,'2018_commission_structure'!$A$1:$I$1,0)),0)</f>
        <v>0</v>
      </c>
      <c r="Q592" s="9">
        <f>IF($H592&gt;J592, MIN($H592-J592, K592-J592)*INDEX('2018_commission_structure'!$A$1:$I$4,MATCH($E592,'2018_commission_structure'!$A$1:$A$4,0),MATCH(Q$1,'2018_commission_structure'!$A$1:$I$1,0)),0)</f>
        <v>0</v>
      </c>
      <c r="R592" s="9">
        <f>IF($H592&gt;K592, MIN($H592-K592, L592-K592)*INDEX('2018_commission_structure'!$A$1:$I$4,MATCH($E592,'2018_commission_structure'!$A$1:$A$4,0),MATCH(R$1,'2018_commission_structure'!$A$1:$I$1,0)),0)</f>
        <v>0</v>
      </c>
      <c r="S592" s="9">
        <f>IF(H592&gt;L592,(H592-L592)*INDEX('2018_commission_structure'!$A$1:$I$4,MATCH($E592,'2018_commission_structure'!$A$1:$A$4,0),MATCH(S$1,'2018_commission_structure'!$A$1:$I$1,0)),0)</f>
        <v>0</v>
      </c>
      <c r="T592" s="9">
        <f t="shared" si="98"/>
        <v>53737.58</v>
      </c>
      <c r="U592" s="9">
        <f t="shared" si="90"/>
        <v>132536.58000000002</v>
      </c>
      <c r="V592" s="9">
        <f>MIN($I592,$H592)*INDEX('Key Metrics'!$E$16:$N$19,MATCH($E592,'Key Metrics'!$E$16:$E$19,0),MATCH(V$1,'Key Metrics'!$E$16:$M$16,0))</f>
        <v>62004.899999999994</v>
      </c>
      <c r="W592" s="9">
        <f>IF($H592&gt;I592, MIN($H592-I592, J592-I592)*INDEX('Key Metrics'!$E$16:$N$19,MATCH($E592,'Key Metrics'!$E$16:$E$19,0),MATCH(W$1,'Key Metrics'!$E$16:$M$16,0)),0)</f>
        <v>0</v>
      </c>
      <c r="X592" s="9">
        <f>IF($H592&gt;J592, MIN($H592-J592, K592-J592)*INDEX('Key Metrics'!$E$16:$N$19,MATCH($E592,'Key Metrics'!$E$16:$E$19,0),MATCH(X$1,'Key Metrics'!$E$16:$M$16,0)),0)</f>
        <v>0</v>
      </c>
      <c r="Y592" s="9">
        <f>IF($H592&gt;K592, MIN($H592-K592, L592-K592)*INDEX('Key Metrics'!$E$16:$N$19,MATCH($E592,'Key Metrics'!$E$16:$E$19,0),MATCH(Y$1,'Key Metrics'!$E$16:$M$16,0)),0)</f>
        <v>0</v>
      </c>
      <c r="Z592" s="9">
        <f>IF($H592&gt;L592,($H592-L592)*INDEX('Key Metrics'!$E$16:$N$19,MATCH($E592,'Key Metrics'!$E$16:$E$19,0),MATCH(Z$1,'Key Metrics'!$E$16:$M$16,0)),0)</f>
        <v>0</v>
      </c>
      <c r="AA592" s="9">
        <f t="shared" si="99"/>
        <v>62004.899999999994</v>
      </c>
      <c r="AB592" s="9">
        <f t="shared" si="91"/>
        <v>62005.588943333329</v>
      </c>
    </row>
    <row r="593" spans="1:28" x14ac:dyDescent="0.55000000000000004">
      <c r="A593" t="str">
        <f t="shared" si="92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COUNTIF(deals_closed!$D$2:$D$20001,Calculations!B957)</f>
        <v>18</v>
      </c>
      <c r="H593" s="7">
        <f>SUMIF(deals_closed!$D:$D,Calculations!B957,deals_closed!$C:$C)</f>
        <v>631490</v>
      </c>
      <c r="I593" s="5">
        <f>VLOOKUP(E593,'2018_commission_structure'!$A$1:$I$4,9,FALSE)</f>
        <v>600000</v>
      </c>
      <c r="J593" s="9">
        <f t="shared" si="93"/>
        <v>750000</v>
      </c>
      <c r="K593" s="10">
        <f t="shared" si="94"/>
        <v>900000</v>
      </c>
      <c r="L593" s="9">
        <f t="shared" si="95"/>
        <v>1200000</v>
      </c>
      <c r="M593" s="8">
        <f t="shared" si="96"/>
        <v>1.0524833333333334</v>
      </c>
      <c r="N593" t="str">
        <f t="shared" si="97"/>
        <v>100-125%</v>
      </c>
      <c r="O593" s="9">
        <f>MIN($H593,$I593)*INDEX('2018_commission_structure'!$A$1:$I$4,MATCH($E593,'2018_commission_structure'!$A$1:$A$4,0),MATCH(O$1,'2018_commission_structure'!$A$1:$I$1,0))</f>
        <v>78000</v>
      </c>
      <c r="P593" s="9">
        <f>IF(H593&gt;I593, MIN(H593-I593, J593-I593)*INDEX('2018_commission_structure'!$A$1:$I$4,MATCH($E593,'2018_commission_structure'!$A$1:$A$4,0),MATCH(P$1,'2018_commission_structure'!$A$1:$I$1,0)),0)</f>
        <v>5353.3</v>
      </c>
      <c r="Q593" s="9">
        <f>IF($H593&gt;J593, MIN($H593-J593, K593-J593)*INDEX('2018_commission_structure'!$A$1:$I$4,MATCH($E593,'2018_commission_structure'!$A$1:$A$4,0),MATCH(Q$1,'2018_commission_structure'!$A$1:$I$1,0)),0)</f>
        <v>0</v>
      </c>
      <c r="R593" s="9">
        <f>IF($H593&gt;K593, MIN($H593-K593, L593-K593)*INDEX('2018_commission_structure'!$A$1:$I$4,MATCH($E593,'2018_commission_structure'!$A$1:$A$4,0),MATCH(R$1,'2018_commission_structure'!$A$1:$I$1,0)),0)</f>
        <v>0</v>
      </c>
      <c r="S593" s="9">
        <f>IF(H593&gt;L593,(H593-L593)*INDEX('2018_commission_structure'!$A$1:$I$4,MATCH($E593,'2018_commission_structure'!$A$1:$A$4,0),MATCH(S$1,'2018_commission_structure'!$A$1:$I$1,0)),0)</f>
        <v>0</v>
      </c>
      <c r="T593" s="9">
        <f t="shared" si="98"/>
        <v>83353.3</v>
      </c>
      <c r="U593" s="9">
        <f t="shared" si="90"/>
        <v>162826.29999999999</v>
      </c>
      <c r="V593" s="9">
        <f>MIN($I593,$H593)*INDEX('Key Metrics'!$E$16:$N$19,MATCH($E593,'Key Metrics'!$E$16:$E$19,0),MATCH(V$1,'Key Metrics'!$E$16:$M$16,0))</f>
        <v>90000</v>
      </c>
      <c r="W593" s="9">
        <f>IF($H593&gt;I593, MIN($H593-I593, J593-I593)*INDEX('Key Metrics'!$E$16:$N$19,MATCH($E593,'Key Metrics'!$E$16:$E$19,0),MATCH(W$1,'Key Metrics'!$E$16:$M$16,0)),0)</f>
        <v>5668.2</v>
      </c>
      <c r="X593" s="9">
        <f>IF($H593&gt;J593, MIN($H593-J593, K593-J593)*INDEX('Key Metrics'!$E$16:$N$19,MATCH($E593,'Key Metrics'!$E$16:$E$19,0),MATCH(X$1,'Key Metrics'!$E$16:$M$16,0)),0)</f>
        <v>0</v>
      </c>
      <c r="Y593" s="9">
        <f>IF($H593&gt;K593, MIN($H593-K593, L593-K593)*INDEX('Key Metrics'!$E$16:$N$19,MATCH($E593,'Key Metrics'!$E$16:$E$19,0),MATCH(Y$1,'Key Metrics'!$E$16:$M$16,0)),0)</f>
        <v>0</v>
      </c>
      <c r="Z593" s="9">
        <f>IF($H593&gt;L593,($H593-L593)*INDEX('Key Metrics'!$E$16:$N$19,MATCH($E593,'Key Metrics'!$E$16:$E$19,0),MATCH(Z$1,'Key Metrics'!$E$16:$M$16,0)),0)</f>
        <v>0</v>
      </c>
      <c r="AA593" s="9">
        <f t="shared" si="99"/>
        <v>95668.2</v>
      </c>
      <c r="AB593" s="9">
        <f t="shared" si="91"/>
        <v>95669.25248333333</v>
      </c>
    </row>
    <row r="594" spans="1:28" x14ac:dyDescent="0.55000000000000004">
      <c r="A594" t="str">
        <f t="shared" si="92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COUNTIF(deals_closed!$D$2:$D$20001,Calculations!B827)</f>
        <v>22</v>
      </c>
      <c r="H594" s="7">
        <f>SUMIF(deals_closed!$D:$D,Calculations!B827,deals_closed!$C:$C)</f>
        <v>837529</v>
      </c>
      <c r="I594" s="5">
        <f>VLOOKUP(E594,'2018_commission_structure'!$A$1:$I$4,9,FALSE)</f>
        <v>750000</v>
      </c>
      <c r="J594" s="9">
        <f t="shared" si="93"/>
        <v>937500</v>
      </c>
      <c r="K594" s="10">
        <f t="shared" si="94"/>
        <v>1125000</v>
      </c>
      <c r="L594" s="9">
        <f t="shared" si="95"/>
        <v>1500000</v>
      </c>
      <c r="M594" s="8">
        <f t="shared" si="96"/>
        <v>1.1167053333333334</v>
      </c>
      <c r="N594" t="str">
        <f t="shared" si="97"/>
        <v>100-125%</v>
      </c>
      <c r="O594" s="9">
        <f>MIN($H594,$I594)*INDEX('2018_commission_structure'!$A$1:$I$4,MATCH($E594,'2018_commission_structure'!$A$1:$A$4,0),MATCH(O$1,'2018_commission_structure'!$A$1:$I$1,0))</f>
        <v>112500</v>
      </c>
      <c r="P594" s="9">
        <f>IF(H594&gt;I594, MIN(H594-I594, J594-I594)*INDEX('2018_commission_structure'!$A$1:$I$4,MATCH($E594,'2018_commission_structure'!$A$1:$A$4,0),MATCH(P$1,'2018_commission_structure'!$A$1:$I$1,0)),0)</f>
        <v>16630.509999999998</v>
      </c>
      <c r="Q594" s="9">
        <f>IF($H594&gt;J594, MIN($H594-J594, K594-J594)*INDEX('2018_commission_structure'!$A$1:$I$4,MATCH($E594,'2018_commission_structure'!$A$1:$A$4,0),MATCH(Q$1,'2018_commission_structure'!$A$1:$I$1,0)),0)</f>
        <v>0</v>
      </c>
      <c r="R594" s="9">
        <f>IF($H594&gt;K594, MIN($H594-K594, L594-K594)*INDEX('2018_commission_structure'!$A$1:$I$4,MATCH($E594,'2018_commission_structure'!$A$1:$A$4,0),MATCH(R$1,'2018_commission_structure'!$A$1:$I$1,0)),0)</f>
        <v>0</v>
      </c>
      <c r="S594" s="9">
        <f>IF(H594&gt;L594,(H594-L594)*INDEX('2018_commission_structure'!$A$1:$I$4,MATCH($E594,'2018_commission_structure'!$A$1:$A$4,0),MATCH(S$1,'2018_commission_structure'!$A$1:$I$1,0)),0)</f>
        <v>0</v>
      </c>
      <c r="T594" s="9">
        <f t="shared" si="98"/>
        <v>129130.51</v>
      </c>
      <c r="U594" s="9">
        <f t="shared" si="90"/>
        <v>207523.51</v>
      </c>
      <c r="V594" s="9">
        <f>MIN($I594,$H594)*INDEX('Key Metrics'!$E$16:$N$19,MATCH($E594,'Key Metrics'!$E$16:$E$19,0),MATCH(V$1,'Key Metrics'!$E$16:$M$16,0))</f>
        <v>112500</v>
      </c>
      <c r="W594" s="9">
        <f>IF($H594&gt;I594, MIN($H594-I594, J594-I594)*INDEX('Key Metrics'!$E$16:$N$19,MATCH($E594,'Key Metrics'!$E$16:$E$19,0),MATCH(W$1,'Key Metrics'!$E$16:$M$16,0)),0)</f>
        <v>19256.38</v>
      </c>
      <c r="X594" s="9">
        <f>IF($H594&gt;J594, MIN($H594-J594, K594-J594)*INDEX('Key Metrics'!$E$16:$N$19,MATCH($E594,'Key Metrics'!$E$16:$E$19,0),MATCH(X$1,'Key Metrics'!$E$16:$M$16,0)),0)</f>
        <v>0</v>
      </c>
      <c r="Y594" s="9">
        <f>IF($H594&gt;K594, MIN($H594-K594, L594-K594)*INDEX('Key Metrics'!$E$16:$N$19,MATCH($E594,'Key Metrics'!$E$16:$E$19,0),MATCH(Y$1,'Key Metrics'!$E$16:$M$16,0)),0)</f>
        <v>0</v>
      </c>
      <c r="Z594" s="9">
        <f>IF($H594&gt;L594,($H594-L594)*INDEX('Key Metrics'!$E$16:$N$19,MATCH($E594,'Key Metrics'!$E$16:$E$19,0),MATCH(Z$1,'Key Metrics'!$E$16:$M$16,0)),0)</f>
        <v>0</v>
      </c>
      <c r="AA594" s="9">
        <f t="shared" si="99"/>
        <v>131756.38</v>
      </c>
      <c r="AB594" s="9">
        <f t="shared" si="91"/>
        <v>131757.49670533332</v>
      </c>
    </row>
    <row r="595" spans="1:28" x14ac:dyDescent="0.55000000000000004">
      <c r="A595" t="str">
        <f t="shared" si="92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COUNTIF(deals_closed!$D$2:$D$20001,Calculations!B265)</f>
        <v>14</v>
      </c>
      <c r="H595" s="7">
        <f>SUMIF(deals_closed!$D:$D,Calculations!B265,deals_closed!$C:$C)</f>
        <v>501339</v>
      </c>
      <c r="I595" s="5">
        <f>VLOOKUP(E595,'2018_commission_structure'!$A$1:$I$4,9,FALSE)</f>
        <v>600000</v>
      </c>
      <c r="J595" s="9">
        <f t="shared" si="93"/>
        <v>750000</v>
      </c>
      <c r="K595" s="10">
        <f t="shared" si="94"/>
        <v>900000</v>
      </c>
      <c r="L595" s="9">
        <f t="shared" si="95"/>
        <v>1200000</v>
      </c>
      <c r="M595" s="8">
        <f t="shared" si="96"/>
        <v>0.835565</v>
      </c>
      <c r="N595" t="str">
        <f t="shared" si="97"/>
        <v>0-100%</v>
      </c>
      <c r="O595" s="9">
        <f>MIN($H595,$I595)*INDEX('2018_commission_structure'!$A$1:$I$4,MATCH($E595,'2018_commission_structure'!$A$1:$A$4,0),MATCH(O$1,'2018_commission_structure'!$A$1:$I$1,0))</f>
        <v>65174.07</v>
      </c>
      <c r="P595" s="9">
        <f>IF(H595&gt;I595, MIN(H595-I595, J595-I595)*INDEX('2018_commission_structure'!$A$1:$I$4,MATCH($E595,'2018_commission_structure'!$A$1:$A$4,0),MATCH(P$1,'2018_commission_structure'!$A$1:$I$1,0)),0)</f>
        <v>0</v>
      </c>
      <c r="Q595" s="9">
        <f>IF($H595&gt;J595, MIN($H595-J595, K595-J595)*INDEX('2018_commission_structure'!$A$1:$I$4,MATCH($E595,'2018_commission_structure'!$A$1:$A$4,0),MATCH(Q$1,'2018_commission_structure'!$A$1:$I$1,0)),0)</f>
        <v>0</v>
      </c>
      <c r="R595" s="9">
        <f>IF($H595&gt;K595, MIN($H595-K595, L595-K595)*INDEX('2018_commission_structure'!$A$1:$I$4,MATCH($E595,'2018_commission_structure'!$A$1:$A$4,0),MATCH(R$1,'2018_commission_structure'!$A$1:$I$1,0)),0)</f>
        <v>0</v>
      </c>
      <c r="S595" s="9">
        <f>IF(H595&gt;L595,(H595-L595)*INDEX('2018_commission_structure'!$A$1:$I$4,MATCH($E595,'2018_commission_structure'!$A$1:$A$4,0),MATCH(S$1,'2018_commission_structure'!$A$1:$I$1,0)),0)</f>
        <v>0</v>
      </c>
      <c r="T595" s="9">
        <f t="shared" si="98"/>
        <v>65174.07</v>
      </c>
      <c r="U595" s="9">
        <f t="shared" si="90"/>
        <v>140371.07</v>
      </c>
      <c r="V595" s="9">
        <f>MIN($I595,$H595)*INDEX('Key Metrics'!$E$16:$N$19,MATCH($E595,'Key Metrics'!$E$16:$E$19,0),MATCH(V$1,'Key Metrics'!$E$16:$M$16,0))</f>
        <v>75200.849999999991</v>
      </c>
      <c r="W595" s="9">
        <f>IF($H595&gt;I595, MIN($H595-I595, J595-I595)*INDEX('Key Metrics'!$E$16:$N$19,MATCH($E595,'Key Metrics'!$E$16:$E$19,0),MATCH(W$1,'Key Metrics'!$E$16:$M$16,0)),0)</f>
        <v>0</v>
      </c>
      <c r="X595" s="9">
        <f>IF($H595&gt;J595, MIN($H595-J595, K595-J595)*INDEX('Key Metrics'!$E$16:$N$19,MATCH($E595,'Key Metrics'!$E$16:$E$19,0),MATCH(X$1,'Key Metrics'!$E$16:$M$16,0)),0)</f>
        <v>0</v>
      </c>
      <c r="Y595" s="9">
        <f>IF($H595&gt;K595, MIN($H595-K595, L595-K595)*INDEX('Key Metrics'!$E$16:$N$19,MATCH($E595,'Key Metrics'!$E$16:$E$19,0),MATCH(Y$1,'Key Metrics'!$E$16:$M$16,0)),0)</f>
        <v>0</v>
      </c>
      <c r="Z595" s="9">
        <f>IF($H595&gt;L595,($H595-L595)*INDEX('Key Metrics'!$E$16:$N$19,MATCH($E595,'Key Metrics'!$E$16:$E$19,0),MATCH(Z$1,'Key Metrics'!$E$16:$M$16,0)),0)</f>
        <v>0</v>
      </c>
      <c r="AA595" s="9">
        <f t="shared" si="99"/>
        <v>75200.849999999991</v>
      </c>
      <c r="AB595" s="9">
        <f t="shared" si="91"/>
        <v>75201.685564999992</v>
      </c>
    </row>
    <row r="596" spans="1:28" x14ac:dyDescent="0.55000000000000004">
      <c r="A596" t="str">
        <f t="shared" si="92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COUNTIF(deals_closed!$D$2:$D$20001,Calculations!B612)</f>
        <v>17</v>
      </c>
      <c r="H596" s="7">
        <f>SUMIF(deals_closed!$D:$D,Calculations!B612,deals_closed!$C:$C)</f>
        <v>551295</v>
      </c>
      <c r="I596" s="5">
        <f>VLOOKUP(E596,'2018_commission_structure'!$A$1:$I$4,9,FALSE)</f>
        <v>500000</v>
      </c>
      <c r="J596" s="9">
        <f t="shared" si="93"/>
        <v>625000</v>
      </c>
      <c r="K596" s="10">
        <f t="shared" si="94"/>
        <v>750000</v>
      </c>
      <c r="L596" s="9">
        <f t="shared" si="95"/>
        <v>1000000</v>
      </c>
      <c r="M596" s="8">
        <f t="shared" si="96"/>
        <v>1.10259</v>
      </c>
      <c r="N596" t="str">
        <f t="shared" si="97"/>
        <v>100-125%</v>
      </c>
      <c r="O596" s="9">
        <f>MIN($H596,$I596)*INDEX('2018_commission_structure'!$A$1:$I$4,MATCH($E596,'2018_commission_structure'!$A$1:$A$4,0),MATCH(O$1,'2018_commission_structure'!$A$1:$I$1,0))</f>
        <v>50000</v>
      </c>
      <c r="P596" s="9">
        <f>IF(H596&gt;I596, MIN(H596-I596, J596-I596)*INDEX('2018_commission_structure'!$A$1:$I$4,MATCH($E596,'2018_commission_structure'!$A$1:$A$4,0),MATCH(P$1,'2018_commission_structure'!$A$1:$I$1,0)),0)</f>
        <v>7694.25</v>
      </c>
      <c r="Q596" s="9">
        <f>IF($H596&gt;J596, MIN($H596-J596, K596-J596)*INDEX('2018_commission_structure'!$A$1:$I$4,MATCH($E596,'2018_commission_structure'!$A$1:$A$4,0),MATCH(Q$1,'2018_commission_structure'!$A$1:$I$1,0)),0)</f>
        <v>0</v>
      </c>
      <c r="R596" s="9">
        <f>IF($H596&gt;K596, MIN($H596-K596, L596-K596)*INDEX('2018_commission_structure'!$A$1:$I$4,MATCH($E596,'2018_commission_structure'!$A$1:$A$4,0),MATCH(R$1,'2018_commission_structure'!$A$1:$I$1,0)),0)</f>
        <v>0</v>
      </c>
      <c r="S596" s="9">
        <f>IF(H596&gt;L596,(H596-L596)*INDEX('2018_commission_structure'!$A$1:$I$4,MATCH($E596,'2018_commission_structure'!$A$1:$A$4,0),MATCH(S$1,'2018_commission_structure'!$A$1:$I$1,0)),0)</f>
        <v>0</v>
      </c>
      <c r="T596" s="9">
        <f t="shared" si="98"/>
        <v>57694.25</v>
      </c>
      <c r="U596" s="9">
        <f t="shared" si="90"/>
        <v>105709.25</v>
      </c>
      <c r="V596" s="9">
        <f>MIN($I596,$H596)*INDEX('Key Metrics'!$E$16:$N$19,MATCH($E596,'Key Metrics'!$E$16:$E$19,0),MATCH(V$1,'Key Metrics'!$E$16:$M$16,0))</f>
        <v>60000</v>
      </c>
      <c r="W596" s="9">
        <f>IF($H596&gt;I596, MIN($H596-I596, J596-I596)*INDEX('Key Metrics'!$E$16:$N$19,MATCH($E596,'Key Metrics'!$E$16:$E$19,0),MATCH(W$1,'Key Metrics'!$E$16:$M$16,0)),0)</f>
        <v>8720.1500000000015</v>
      </c>
      <c r="X596" s="9">
        <f>IF($H596&gt;J596, MIN($H596-J596, K596-J596)*INDEX('Key Metrics'!$E$16:$N$19,MATCH($E596,'Key Metrics'!$E$16:$E$19,0),MATCH(X$1,'Key Metrics'!$E$16:$M$16,0)),0)</f>
        <v>0</v>
      </c>
      <c r="Y596" s="9">
        <f>IF($H596&gt;K596, MIN($H596-K596, L596-K596)*INDEX('Key Metrics'!$E$16:$N$19,MATCH($E596,'Key Metrics'!$E$16:$E$19,0),MATCH(Y$1,'Key Metrics'!$E$16:$M$16,0)),0)</f>
        <v>0</v>
      </c>
      <c r="Z596" s="9">
        <f>IF($H596&gt;L596,($H596-L596)*INDEX('Key Metrics'!$E$16:$N$19,MATCH($E596,'Key Metrics'!$E$16:$E$19,0),MATCH(Z$1,'Key Metrics'!$E$16:$M$16,0)),0)</f>
        <v>0</v>
      </c>
      <c r="AA596" s="9">
        <f t="shared" si="99"/>
        <v>68720.149999999994</v>
      </c>
      <c r="AB596" s="9">
        <f t="shared" si="91"/>
        <v>68721.252589999989</v>
      </c>
    </row>
    <row r="597" spans="1:28" x14ac:dyDescent="0.55000000000000004">
      <c r="A597" t="str">
        <f t="shared" si="92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COUNTIF(deals_closed!$D$2:$D$20001,Calculations!B711)</f>
        <v>22</v>
      </c>
      <c r="H597" s="7">
        <f>SUMIF(deals_closed!$D:$D,Calculations!B711,deals_closed!$C:$C)</f>
        <v>789000</v>
      </c>
      <c r="I597" s="5">
        <f>VLOOKUP(E597,'2018_commission_structure'!$A$1:$I$4,9,FALSE)</f>
        <v>750000</v>
      </c>
      <c r="J597" s="9">
        <f t="shared" si="93"/>
        <v>937500</v>
      </c>
      <c r="K597" s="10">
        <f t="shared" si="94"/>
        <v>1125000</v>
      </c>
      <c r="L597" s="9">
        <f t="shared" si="95"/>
        <v>1500000</v>
      </c>
      <c r="M597" s="8">
        <f t="shared" si="96"/>
        <v>1.052</v>
      </c>
      <c r="N597" t="str">
        <f t="shared" si="97"/>
        <v>100-125%</v>
      </c>
      <c r="O597" s="9">
        <f>MIN($H597,$I597)*INDEX('2018_commission_structure'!$A$1:$I$4,MATCH($E597,'2018_commission_structure'!$A$1:$A$4,0),MATCH(O$1,'2018_commission_structure'!$A$1:$I$1,0))</f>
        <v>112500</v>
      </c>
      <c r="P597" s="9">
        <f>IF(H597&gt;I597, MIN(H597-I597, J597-I597)*INDEX('2018_commission_structure'!$A$1:$I$4,MATCH($E597,'2018_commission_structure'!$A$1:$A$4,0),MATCH(P$1,'2018_commission_structure'!$A$1:$I$1,0)),0)</f>
        <v>7410</v>
      </c>
      <c r="Q597" s="9">
        <f>IF($H597&gt;J597, MIN($H597-J597, K597-J597)*INDEX('2018_commission_structure'!$A$1:$I$4,MATCH($E597,'2018_commission_structure'!$A$1:$A$4,0),MATCH(Q$1,'2018_commission_structure'!$A$1:$I$1,0)),0)</f>
        <v>0</v>
      </c>
      <c r="R597" s="9">
        <f>IF($H597&gt;K597, MIN($H597-K597, L597-K597)*INDEX('2018_commission_structure'!$A$1:$I$4,MATCH($E597,'2018_commission_structure'!$A$1:$A$4,0),MATCH(R$1,'2018_commission_structure'!$A$1:$I$1,0)),0)</f>
        <v>0</v>
      </c>
      <c r="S597" s="9">
        <f>IF(H597&gt;L597,(H597-L597)*INDEX('2018_commission_structure'!$A$1:$I$4,MATCH($E597,'2018_commission_structure'!$A$1:$A$4,0),MATCH(S$1,'2018_commission_structure'!$A$1:$I$1,0)),0)</f>
        <v>0</v>
      </c>
      <c r="T597" s="9">
        <f t="shared" si="98"/>
        <v>119910</v>
      </c>
      <c r="U597" s="9">
        <f t="shared" si="90"/>
        <v>243785</v>
      </c>
      <c r="V597" s="9">
        <f>MIN($I597,$H597)*INDEX('Key Metrics'!$E$16:$N$19,MATCH($E597,'Key Metrics'!$E$16:$E$19,0),MATCH(V$1,'Key Metrics'!$E$16:$M$16,0))</f>
        <v>112500</v>
      </c>
      <c r="W597" s="9">
        <f>IF($H597&gt;I597, MIN($H597-I597, J597-I597)*INDEX('Key Metrics'!$E$16:$N$19,MATCH($E597,'Key Metrics'!$E$16:$E$19,0),MATCH(W$1,'Key Metrics'!$E$16:$M$16,0)),0)</f>
        <v>8580</v>
      </c>
      <c r="X597" s="9">
        <f>IF($H597&gt;J597, MIN($H597-J597, K597-J597)*INDEX('Key Metrics'!$E$16:$N$19,MATCH($E597,'Key Metrics'!$E$16:$E$19,0),MATCH(X$1,'Key Metrics'!$E$16:$M$16,0)),0)</f>
        <v>0</v>
      </c>
      <c r="Y597" s="9">
        <f>IF($H597&gt;K597, MIN($H597-K597, L597-K597)*INDEX('Key Metrics'!$E$16:$N$19,MATCH($E597,'Key Metrics'!$E$16:$E$19,0),MATCH(Y$1,'Key Metrics'!$E$16:$M$16,0)),0)</f>
        <v>0</v>
      </c>
      <c r="Z597" s="9">
        <f>IF($H597&gt;L597,($H597-L597)*INDEX('Key Metrics'!$E$16:$N$19,MATCH($E597,'Key Metrics'!$E$16:$E$19,0),MATCH(Z$1,'Key Metrics'!$E$16:$M$16,0)),0)</f>
        <v>0</v>
      </c>
      <c r="AA597" s="9">
        <f t="shared" si="99"/>
        <v>121080</v>
      </c>
      <c r="AB597" s="9">
        <f t="shared" si="91"/>
        <v>121081.052</v>
      </c>
    </row>
    <row r="598" spans="1:28" x14ac:dyDescent="0.55000000000000004">
      <c r="A598" t="str">
        <f t="shared" si="92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COUNTIF(deals_closed!$D$2:$D$20001,Calculations!B680)</f>
        <v>22</v>
      </c>
      <c r="H598" s="7">
        <f>SUMIF(deals_closed!$D:$D,Calculations!B680,deals_closed!$C:$C)</f>
        <v>750849</v>
      </c>
      <c r="I598" s="5">
        <f>VLOOKUP(E598,'2018_commission_structure'!$A$1:$I$4,9,FALSE)</f>
        <v>500000</v>
      </c>
      <c r="J598" s="9">
        <f t="shared" si="93"/>
        <v>625000</v>
      </c>
      <c r="K598" s="10">
        <f t="shared" si="94"/>
        <v>750000</v>
      </c>
      <c r="L598" s="9">
        <f t="shared" si="95"/>
        <v>1000000</v>
      </c>
      <c r="M598" s="8">
        <f t="shared" si="96"/>
        <v>1.501698</v>
      </c>
      <c r="N598" t="str">
        <f t="shared" si="97"/>
        <v>150-200%</v>
      </c>
      <c r="O598" s="9">
        <f>MIN($H598,$I598)*INDEX('2018_commission_structure'!$A$1:$I$4,MATCH($E598,'2018_commission_structure'!$A$1:$A$4,0),MATCH(O$1,'2018_commission_structure'!$A$1:$I$1,0))</f>
        <v>50000</v>
      </c>
      <c r="P598" s="9">
        <f>IF(H598&gt;I598, MIN(H598-I598, J598-I598)*INDEX('2018_commission_structure'!$A$1:$I$4,MATCH($E598,'2018_commission_structure'!$A$1:$A$4,0),MATCH(P$1,'2018_commission_structure'!$A$1:$I$1,0)),0)</f>
        <v>18750</v>
      </c>
      <c r="Q598" s="9">
        <f>IF($H598&gt;J598, MIN($H598-J598, K598-J598)*INDEX('2018_commission_structure'!$A$1:$I$4,MATCH($E598,'2018_commission_structure'!$A$1:$A$4,0),MATCH(Q$1,'2018_commission_structure'!$A$1:$I$1,0)),0)</f>
        <v>22500</v>
      </c>
      <c r="R598" s="9">
        <f>IF($H598&gt;K598, MIN($H598-K598, L598-K598)*INDEX('2018_commission_structure'!$A$1:$I$4,MATCH($E598,'2018_commission_structure'!$A$1:$A$4,0),MATCH(R$1,'2018_commission_structure'!$A$1:$I$1,0)),0)</f>
        <v>186.78</v>
      </c>
      <c r="S598" s="9">
        <f>IF(H598&gt;L598,(H598-L598)*INDEX('2018_commission_structure'!$A$1:$I$4,MATCH($E598,'2018_commission_structure'!$A$1:$A$4,0),MATCH(S$1,'2018_commission_structure'!$A$1:$I$1,0)),0)</f>
        <v>0</v>
      </c>
      <c r="T598" s="9">
        <f t="shared" si="98"/>
        <v>91436.78</v>
      </c>
      <c r="U598" s="9">
        <f t="shared" si="90"/>
        <v>145713.78</v>
      </c>
      <c r="V598" s="9">
        <f>MIN($I598,$H598)*INDEX('Key Metrics'!$E$16:$N$19,MATCH($E598,'Key Metrics'!$E$16:$E$19,0),MATCH(V$1,'Key Metrics'!$E$16:$M$16,0))</f>
        <v>60000</v>
      </c>
      <c r="W598" s="9">
        <f>IF($H598&gt;I598, MIN($H598-I598, J598-I598)*INDEX('Key Metrics'!$E$16:$N$19,MATCH($E598,'Key Metrics'!$E$16:$E$19,0),MATCH(W$1,'Key Metrics'!$E$16:$M$16,0)),0)</f>
        <v>21250</v>
      </c>
      <c r="X598" s="9">
        <f>IF($H598&gt;J598, MIN($H598-J598, K598-J598)*INDEX('Key Metrics'!$E$16:$N$19,MATCH($E598,'Key Metrics'!$E$16:$E$19,0),MATCH(X$1,'Key Metrics'!$E$16:$M$16,0)),0)</f>
        <v>25000</v>
      </c>
      <c r="Y598" s="9">
        <f>IF($H598&gt;K598, MIN($H598-K598, L598-K598)*INDEX('Key Metrics'!$E$16:$N$19,MATCH($E598,'Key Metrics'!$E$16:$E$19,0),MATCH(Y$1,'Key Metrics'!$E$16:$M$16,0)),0)</f>
        <v>186.78</v>
      </c>
      <c r="Z598" s="9">
        <f>IF($H598&gt;L598,($H598-L598)*INDEX('Key Metrics'!$E$16:$N$19,MATCH($E598,'Key Metrics'!$E$16:$E$19,0),MATCH(Z$1,'Key Metrics'!$E$16:$M$16,0)),0)</f>
        <v>0</v>
      </c>
      <c r="AA598" s="9">
        <f t="shared" si="99"/>
        <v>106436.78</v>
      </c>
      <c r="AB598" s="9">
        <f t="shared" si="91"/>
        <v>106438.28169799999</v>
      </c>
    </row>
    <row r="599" spans="1:28" x14ac:dyDescent="0.55000000000000004">
      <c r="A599" t="str">
        <f t="shared" si="92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COUNTIF(deals_closed!$D$2:$D$20001,Calculations!B574)</f>
        <v>16</v>
      </c>
      <c r="H599" s="7">
        <f>SUMIF(deals_closed!$D:$D,Calculations!B574,deals_closed!$C:$C)</f>
        <v>516401</v>
      </c>
      <c r="I599" s="5">
        <f>VLOOKUP(E599,'2018_commission_structure'!$A$1:$I$4,9,FALSE)</f>
        <v>500000</v>
      </c>
      <c r="J599" s="9">
        <f t="shared" si="93"/>
        <v>625000</v>
      </c>
      <c r="K599" s="10">
        <f t="shared" si="94"/>
        <v>750000</v>
      </c>
      <c r="L599" s="9">
        <f t="shared" si="95"/>
        <v>1000000</v>
      </c>
      <c r="M599" s="8">
        <f t="shared" si="96"/>
        <v>1.032802</v>
      </c>
      <c r="N599" t="str">
        <f t="shared" si="97"/>
        <v>100-125%</v>
      </c>
      <c r="O599" s="9">
        <f>MIN($H599,$I599)*INDEX('2018_commission_structure'!$A$1:$I$4,MATCH($E599,'2018_commission_structure'!$A$1:$A$4,0),MATCH(O$1,'2018_commission_structure'!$A$1:$I$1,0))</f>
        <v>50000</v>
      </c>
      <c r="P599" s="9">
        <f>IF(H599&gt;I599, MIN(H599-I599, J599-I599)*INDEX('2018_commission_structure'!$A$1:$I$4,MATCH($E599,'2018_commission_structure'!$A$1:$A$4,0),MATCH(P$1,'2018_commission_structure'!$A$1:$I$1,0)),0)</f>
        <v>2460.15</v>
      </c>
      <c r="Q599" s="9">
        <f>IF($H599&gt;J599, MIN($H599-J599, K599-J599)*INDEX('2018_commission_structure'!$A$1:$I$4,MATCH($E599,'2018_commission_structure'!$A$1:$A$4,0),MATCH(Q$1,'2018_commission_structure'!$A$1:$I$1,0)),0)</f>
        <v>0</v>
      </c>
      <c r="R599" s="9">
        <f>IF($H599&gt;K599, MIN($H599-K599, L599-K599)*INDEX('2018_commission_structure'!$A$1:$I$4,MATCH($E599,'2018_commission_structure'!$A$1:$A$4,0),MATCH(R$1,'2018_commission_structure'!$A$1:$I$1,0)),0)</f>
        <v>0</v>
      </c>
      <c r="S599" s="9">
        <f>IF(H599&gt;L599,(H599-L599)*INDEX('2018_commission_structure'!$A$1:$I$4,MATCH($E599,'2018_commission_structure'!$A$1:$A$4,0),MATCH(S$1,'2018_commission_structure'!$A$1:$I$1,0)),0)</f>
        <v>0</v>
      </c>
      <c r="T599" s="9">
        <f t="shared" si="98"/>
        <v>52460.15</v>
      </c>
      <c r="U599" s="9">
        <f t="shared" si="90"/>
        <v>92970.15</v>
      </c>
      <c r="V599" s="9">
        <f>MIN($I599,$H599)*INDEX('Key Metrics'!$E$16:$N$19,MATCH($E599,'Key Metrics'!$E$16:$E$19,0),MATCH(V$1,'Key Metrics'!$E$16:$M$16,0))</f>
        <v>60000</v>
      </c>
      <c r="W599" s="9">
        <f>IF($H599&gt;I599, MIN($H599-I599, J599-I599)*INDEX('Key Metrics'!$E$16:$N$19,MATCH($E599,'Key Metrics'!$E$16:$E$19,0),MATCH(W$1,'Key Metrics'!$E$16:$M$16,0)),0)</f>
        <v>2788.17</v>
      </c>
      <c r="X599" s="9">
        <f>IF($H599&gt;J599, MIN($H599-J599, K599-J599)*INDEX('Key Metrics'!$E$16:$N$19,MATCH($E599,'Key Metrics'!$E$16:$E$19,0),MATCH(X$1,'Key Metrics'!$E$16:$M$16,0)),0)</f>
        <v>0</v>
      </c>
      <c r="Y599" s="9">
        <f>IF($H599&gt;K599, MIN($H599-K599, L599-K599)*INDEX('Key Metrics'!$E$16:$N$19,MATCH($E599,'Key Metrics'!$E$16:$E$19,0),MATCH(Y$1,'Key Metrics'!$E$16:$M$16,0)),0)</f>
        <v>0</v>
      </c>
      <c r="Z599" s="9">
        <f>IF($H599&gt;L599,($H599-L599)*INDEX('Key Metrics'!$E$16:$N$19,MATCH($E599,'Key Metrics'!$E$16:$E$19,0),MATCH(Z$1,'Key Metrics'!$E$16:$M$16,0)),0)</f>
        <v>0</v>
      </c>
      <c r="AA599" s="9">
        <f t="shared" si="99"/>
        <v>62788.17</v>
      </c>
      <c r="AB599" s="9">
        <f t="shared" si="91"/>
        <v>62789.202802</v>
      </c>
    </row>
    <row r="600" spans="1:28" x14ac:dyDescent="0.55000000000000004">
      <c r="A600" t="str">
        <f t="shared" si="92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COUNTIF(deals_closed!$D$2:$D$20001,Calculations!B595)</f>
        <v>19</v>
      </c>
      <c r="H600" s="7">
        <f>SUMIF(deals_closed!$D:$D,Calculations!B595,deals_closed!$C:$C)</f>
        <v>673446</v>
      </c>
      <c r="I600" s="5">
        <f>VLOOKUP(E600,'2018_commission_structure'!$A$1:$I$4,9,FALSE)</f>
        <v>600000</v>
      </c>
      <c r="J600" s="9">
        <f t="shared" si="93"/>
        <v>750000</v>
      </c>
      <c r="K600" s="10">
        <f t="shared" si="94"/>
        <v>900000</v>
      </c>
      <c r="L600" s="9">
        <f t="shared" si="95"/>
        <v>1200000</v>
      </c>
      <c r="M600" s="8">
        <f t="shared" si="96"/>
        <v>1.1224099999999999</v>
      </c>
      <c r="N600" t="str">
        <f t="shared" si="97"/>
        <v>100-125%</v>
      </c>
      <c r="O600" s="9">
        <f>MIN($H600,$I600)*INDEX('2018_commission_structure'!$A$1:$I$4,MATCH($E600,'2018_commission_structure'!$A$1:$A$4,0),MATCH(O$1,'2018_commission_structure'!$A$1:$I$1,0))</f>
        <v>78000</v>
      </c>
      <c r="P600" s="9">
        <f>IF(H600&gt;I600, MIN(H600-I600, J600-I600)*INDEX('2018_commission_structure'!$A$1:$I$4,MATCH($E600,'2018_commission_structure'!$A$1:$A$4,0),MATCH(P$1,'2018_commission_structure'!$A$1:$I$1,0)),0)</f>
        <v>12485.820000000002</v>
      </c>
      <c r="Q600" s="9">
        <f>IF($H600&gt;J600, MIN($H600-J600, K600-J600)*INDEX('2018_commission_structure'!$A$1:$I$4,MATCH($E600,'2018_commission_structure'!$A$1:$A$4,0),MATCH(Q$1,'2018_commission_structure'!$A$1:$I$1,0)),0)</f>
        <v>0</v>
      </c>
      <c r="R600" s="9">
        <f>IF($H600&gt;K600, MIN($H600-K600, L600-K600)*INDEX('2018_commission_structure'!$A$1:$I$4,MATCH($E600,'2018_commission_structure'!$A$1:$A$4,0),MATCH(R$1,'2018_commission_structure'!$A$1:$I$1,0)),0)</f>
        <v>0</v>
      </c>
      <c r="S600" s="9">
        <f>IF(H600&gt;L600,(H600-L600)*INDEX('2018_commission_structure'!$A$1:$I$4,MATCH($E600,'2018_commission_structure'!$A$1:$A$4,0),MATCH(S$1,'2018_commission_structure'!$A$1:$I$1,0)),0)</f>
        <v>0</v>
      </c>
      <c r="T600" s="9">
        <f t="shared" si="98"/>
        <v>90485.82</v>
      </c>
      <c r="U600" s="9">
        <f t="shared" si="90"/>
        <v>170243.82</v>
      </c>
      <c r="V600" s="9">
        <f>MIN($I600,$H600)*INDEX('Key Metrics'!$E$16:$N$19,MATCH($E600,'Key Metrics'!$E$16:$E$19,0),MATCH(V$1,'Key Metrics'!$E$16:$M$16,0))</f>
        <v>90000</v>
      </c>
      <c r="W600" s="9">
        <f>IF($H600&gt;I600, MIN($H600-I600, J600-I600)*INDEX('Key Metrics'!$E$16:$N$19,MATCH($E600,'Key Metrics'!$E$16:$E$19,0),MATCH(W$1,'Key Metrics'!$E$16:$M$16,0)),0)</f>
        <v>13220.279999999999</v>
      </c>
      <c r="X600" s="9">
        <f>IF($H600&gt;J600, MIN($H600-J600, K600-J600)*INDEX('Key Metrics'!$E$16:$N$19,MATCH($E600,'Key Metrics'!$E$16:$E$19,0),MATCH(X$1,'Key Metrics'!$E$16:$M$16,0)),0)</f>
        <v>0</v>
      </c>
      <c r="Y600" s="9">
        <f>IF($H600&gt;K600, MIN($H600-K600, L600-K600)*INDEX('Key Metrics'!$E$16:$N$19,MATCH($E600,'Key Metrics'!$E$16:$E$19,0),MATCH(Y$1,'Key Metrics'!$E$16:$M$16,0)),0)</f>
        <v>0</v>
      </c>
      <c r="Z600" s="9">
        <f>IF($H600&gt;L600,($H600-L600)*INDEX('Key Metrics'!$E$16:$N$19,MATCH($E600,'Key Metrics'!$E$16:$E$19,0),MATCH(Z$1,'Key Metrics'!$E$16:$M$16,0)),0)</f>
        <v>0</v>
      </c>
      <c r="AA600" s="9">
        <f t="shared" si="99"/>
        <v>103220.28</v>
      </c>
      <c r="AB600" s="9">
        <f t="shared" si="91"/>
        <v>103221.40241</v>
      </c>
    </row>
    <row r="601" spans="1:28" x14ac:dyDescent="0.55000000000000004">
      <c r="A601" t="str">
        <f t="shared" si="92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COUNTIF(deals_closed!$D$2:$D$20001,Calculations!B483)</f>
        <v>20</v>
      </c>
      <c r="H601" s="7">
        <f>SUMIF(deals_closed!$D:$D,Calculations!B483,deals_closed!$C:$C)</f>
        <v>630239</v>
      </c>
      <c r="I601" s="5">
        <f>VLOOKUP(E601,'2018_commission_structure'!$A$1:$I$4,9,FALSE)</f>
        <v>500000</v>
      </c>
      <c r="J601" s="9">
        <f t="shared" si="93"/>
        <v>625000</v>
      </c>
      <c r="K601" s="10">
        <f t="shared" si="94"/>
        <v>750000</v>
      </c>
      <c r="L601" s="9">
        <f t="shared" si="95"/>
        <v>1000000</v>
      </c>
      <c r="M601" s="8">
        <f t="shared" si="96"/>
        <v>1.260478</v>
      </c>
      <c r="N601" t="str">
        <f t="shared" si="97"/>
        <v>125-150%</v>
      </c>
      <c r="O601" s="9">
        <f>MIN($H601,$I601)*INDEX('2018_commission_structure'!$A$1:$I$4,MATCH($E601,'2018_commission_structure'!$A$1:$A$4,0),MATCH(O$1,'2018_commission_structure'!$A$1:$I$1,0))</f>
        <v>50000</v>
      </c>
      <c r="P601" s="9">
        <f>IF(H601&gt;I601, MIN(H601-I601, J601-I601)*INDEX('2018_commission_structure'!$A$1:$I$4,MATCH($E601,'2018_commission_structure'!$A$1:$A$4,0),MATCH(P$1,'2018_commission_structure'!$A$1:$I$1,0)),0)</f>
        <v>18750</v>
      </c>
      <c r="Q601" s="9">
        <f>IF($H601&gt;J601, MIN($H601-J601, K601-J601)*INDEX('2018_commission_structure'!$A$1:$I$4,MATCH($E601,'2018_commission_structure'!$A$1:$A$4,0),MATCH(Q$1,'2018_commission_structure'!$A$1:$I$1,0)),0)</f>
        <v>943.02</v>
      </c>
      <c r="R601" s="9">
        <f>IF($H601&gt;K601, MIN($H601-K601, L601-K601)*INDEX('2018_commission_structure'!$A$1:$I$4,MATCH($E601,'2018_commission_structure'!$A$1:$A$4,0),MATCH(R$1,'2018_commission_structure'!$A$1:$I$1,0)),0)</f>
        <v>0</v>
      </c>
      <c r="S601" s="9">
        <f>IF(H601&gt;L601,(H601-L601)*INDEX('2018_commission_structure'!$A$1:$I$4,MATCH($E601,'2018_commission_structure'!$A$1:$A$4,0),MATCH(S$1,'2018_commission_structure'!$A$1:$I$1,0)),0)</f>
        <v>0</v>
      </c>
      <c r="T601" s="9">
        <f t="shared" si="98"/>
        <v>69693.02</v>
      </c>
      <c r="U601" s="9">
        <f t="shared" si="90"/>
        <v>105052.02</v>
      </c>
      <c r="V601" s="9">
        <f>MIN($I601,$H601)*INDEX('Key Metrics'!$E$16:$N$19,MATCH($E601,'Key Metrics'!$E$16:$E$19,0),MATCH(V$1,'Key Metrics'!$E$16:$M$16,0))</f>
        <v>60000</v>
      </c>
      <c r="W601" s="9">
        <f>IF($H601&gt;I601, MIN($H601-I601, J601-I601)*INDEX('Key Metrics'!$E$16:$N$19,MATCH($E601,'Key Metrics'!$E$16:$E$19,0),MATCH(W$1,'Key Metrics'!$E$16:$M$16,0)),0)</f>
        <v>21250</v>
      </c>
      <c r="X601" s="9">
        <f>IF($H601&gt;J601, MIN($H601-J601, K601-J601)*INDEX('Key Metrics'!$E$16:$N$19,MATCH($E601,'Key Metrics'!$E$16:$E$19,0),MATCH(X$1,'Key Metrics'!$E$16:$M$16,0)),0)</f>
        <v>1047.8</v>
      </c>
      <c r="Y601" s="9">
        <f>IF($H601&gt;K601, MIN($H601-K601, L601-K601)*INDEX('Key Metrics'!$E$16:$N$19,MATCH($E601,'Key Metrics'!$E$16:$E$19,0),MATCH(Y$1,'Key Metrics'!$E$16:$M$16,0)),0)</f>
        <v>0</v>
      </c>
      <c r="Z601" s="9">
        <f>IF($H601&gt;L601,($H601-L601)*INDEX('Key Metrics'!$E$16:$N$19,MATCH($E601,'Key Metrics'!$E$16:$E$19,0),MATCH(Z$1,'Key Metrics'!$E$16:$M$16,0)),0)</f>
        <v>0</v>
      </c>
      <c r="AA601" s="9">
        <f t="shared" si="99"/>
        <v>82297.8</v>
      </c>
      <c r="AB601" s="9">
        <f t="shared" si="91"/>
        <v>82299.060477999999</v>
      </c>
    </row>
    <row r="602" spans="1:28" x14ac:dyDescent="0.55000000000000004">
      <c r="A602" t="str">
        <f t="shared" si="92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COUNTIF(deals_closed!$D$2:$D$20001,Calculations!B278)</f>
        <v>18</v>
      </c>
      <c r="H602" s="7">
        <f>SUMIF(deals_closed!$D:$D,Calculations!B278,deals_closed!$C:$C)</f>
        <v>646520</v>
      </c>
      <c r="I602" s="5">
        <f>VLOOKUP(E602,'2018_commission_structure'!$A$1:$I$4,9,FALSE)</f>
        <v>600000</v>
      </c>
      <c r="J602" s="9">
        <f t="shared" si="93"/>
        <v>750000</v>
      </c>
      <c r="K602" s="10">
        <f t="shared" si="94"/>
        <v>900000</v>
      </c>
      <c r="L602" s="9">
        <f t="shared" si="95"/>
        <v>1200000</v>
      </c>
      <c r="M602" s="8">
        <f t="shared" si="96"/>
        <v>1.0775333333333332</v>
      </c>
      <c r="N602" t="str">
        <f t="shared" si="97"/>
        <v>100-125%</v>
      </c>
      <c r="O602" s="9">
        <f>MIN($H602,$I602)*INDEX('2018_commission_structure'!$A$1:$I$4,MATCH($E602,'2018_commission_structure'!$A$1:$A$4,0),MATCH(O$1,'2018_commission_structure'!$A$1:$I$1,0))</f>
        <v>78000</v>
      </c>
      <c r="P602" s="9">
        <f>IF(H602&gt;I602, MIN(H602-I602, J602-I602)*INDEX('2018_commission_structure'!$A$1:$I$4,MATCH($E602,'2018_commission_structure'!$A$1:$A$4,0),MATCH(P$1,'2018_commission_structure'!$A$1:$I$1,0)),0)</f>
        <v>7908.4000000000005</v>
      </c>
      <c r="Q602" s="9">
        <f>IF($H602&gt;J602, MIN($H602-J602, K602-J602)*INDEX('2018_commission_structure'!$A$1:$I$4,MATCH($E602,'2018_commission_structure'!$A$1:$A$4,0),MATCH(Q$1,'2018_commission_structure'!$A$1:$I$1,0)),0)</f>
        <v>0</v>
      </c>
      <c r="R602" s="9">
        <f>IF($H602&gt;K602, MIN($H602-K602, L602-K602)*INDEX('2018_commission_structure'!$A$1:$I$4,MATCH($E602,'2018_commission_structure'!$A$1:$A$4,0),MATCH(R$1,'2018_commission_structure'!$A$1:$I$1,0)),0)</f>
        <v>0</v>
      </c>
      <c r="S602" s="9">
        <f>IF(H602&gt;L602,(H602-L602)*INDEX('2018_commission_structure'!$A$1:$I$4,MATCH($E602,'2018_commission_structure'!$A$1:$A$4,0),MATCH(S$1,'2018_commission_structure'!$A$1:$I$1,0)),0)</f>
        <v>0</v>
      </c>
      <c r="T602" s="9">
        <f t="shared" si="98"/>
        <v>85908.4</v>
      </c>
      <c r="U602" s="9">
        <f t="shared" si="90"/>
        <v>157521.4</v>
      </c>
      <c r="V602" s="9">
        <f>MIN($I602,$H602)*INDEX('Key Metrics'!$E$16:$N$19,MATCH($E602,'Key Metrics'!$E$16:$E$19,0),MATCH(V$1,'Key Metrics'!$E$16:$M$16,0))</f>
        <v>90000</v>
      </c>
      <c r="W602" s="9">
        <f>IF($H602&gt;I602, MIN($H602-I602, J602-I602)*INDEX('Key Metrics'!$E$16:$N$19,MATCH($E602,'Key Metrics'!$E$16:$E$19,0),MATCH(W$1,'Key Metrics'!$E$16:$M$16,0)),0)</f>
        <v>8373.6</v>
      </c>
      <c r="X602" s="9">
        <f>IF($H602&gt;J602, MIN($H602-J602, K602-J602)*INDEX('Key Metrics'!$E$16:$N$19,MATCH($E602,'Key Metrics'!$E$16:$E$19,0),MATCH(X$1,'Key Metrics'!$E$16:$M$16,0)),0)</f>
        <v>0</v>
      </c>
      <c r="Y602" s="9">
        <f>IF($H602&gt;K602, MIN($H602-K602, L602-K602)*INDEX('Key Metrics'!$E$16:$N$19,MATCH($E602,'Key Metrics'!$E$16:$E$19,0),MATCH(Y$1,'Key Metrics'!$E$16:$M$16,0)),0)</f>
        <v>0</v>
      </c>
      <c r="Z602" s="9">
        <f>IF($H602&gt;L602,($H602-L602)*INDEX('Key Metrics'!$E$16:$N$19,MATCH($E602,'Key Metrics'!$E$16:$E$19,0),MATCH(Z$1,'Key Metrics'!$E$16:$M$16,0)),0)</f>
        <v>0</v>
      </c>
      <c r="AA602" s="9">
        <f t="shared" si="99"/>
        <v>98373.6</v>
      </c>
      <c r="AB602" s="9">
        <f t="shared" si="91"/>
        <v>98374.677533333335</v>
      </c>
    </row>
    <row r="603" spans="1:28" x14ac:dyDescent="0.55000000000000004">
      <c r="A603" t="str">
        <f t="shared" si="92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COUNTIF(deals_closed!$D$2:$D$20001,Calculations!B635)</f>
        <v>23</v>
      </c>
      <c r="H603" s="7">
        <f>SUMIF(deals_closed!$D:$D,Calculations!B635,deals_closed!$C:$C)</f>
        <v>788197</v>
      </c>
      <c r="I603" s="5">
        <f>VLOOKUP(E603,'2018_commission_structure'!$A$1:$I$4,9,FALSE)</f>
        <v>500000</v>
      </c>
      <c r="J603" s="9">
        <f t="shared" si="93"/>
        <v>625000</v>
      </c>
      <c r="K603" s="10">
        <f t="shared" si="94"/>
        <v>750000</v>
      </c>
      <c r="L603" s="9">
        <f t="shared" si="95"/>
        <v>1000000</v>
      </c>
      <c r="M603" s="8">
        <f t="shared" si="96"/>
        <v>1.5763940000000001</v>
      </c>
      <c r="N603" t="str">
        <f t="shared" si="97"/>
        <v>150-200%</v>
      </c>
      <c r="O603" s="9">
        <f>MIN($H603,$I603)*INDEX('2018_commission_structure'!$A$1:$I$4,MATCH($E603,'2018_commission_structure'!$A$1:$A$4,0),MATCH(O$1,'2018_commission_structure'!$A$1:$I$1,0))</f>
        <v>50000</v>
      </c>
      <c r="P603" s="9">
        <f>IF(H603&gt;I603, MIN(H603-I603, J603-I603)*INDEX('2018_commission_structure'!$A$1:$I$4,MATCH($E603,'2018_commission_structure'!$A$1:$A$4,0),MATCH(P$1,'2018_commission_structure'!$A$1:$I$1,0)),0)</f>
        <v>18750</v>
      </c>
      <c r="Q603" s="9">
        <f>IF($H603&gt;J603, MIN($H603-J603, K603-J603)*INDEX('2018_commission_structure'!$A$1:$I$4,MATCH($E603,'2018_commission_structure'!$A$1:$A$4,0),MATCH(Q$1,'2018_commission_structure'!$A$1:$I$1,0)),0)</f>
        <v>22500</v>
      </c>
      <c r="R603" s="9">
        <f>IF($H603&gt;K603, MIN($H603-K603, L603-K603)*INDEX('2018_commission_structure'!$A$1:$I$4,MATCH($E603,'2018_commission_structure'!$A$1:$A$4,0),MATCH(R$1,'2018_commission_structure'!$A$1:$I$1,0)),0)</f>
        <v>8403.34</v>
      </c>
      <c r="S603" s="9">
        <f>IF(H603&gt;L603,(H603-L603)*INDEX('2018_commission_structure'!$A$1:$I$4,MATCH($E603,'2018_commission_structure'!$A$1:$A$4,0),MATCH(S$1,'2018_commission_structure'!$A$1:$I$1,0)),0)</f>
        <v>0</v>
      </c>
      <c r="T603" s="9">
        <f t="shared" si="98"/>
        <v>99653.34</v>
      </c>
      <c r="U603" s="9">
        <f t="shared" si="90"/>
        <v>136454.34</v>
      </c>
      <c r="V603" s="9">
        <f>MIN($I603,$H603)*INDEX('Key Metrics'!$E$16:$N$19,MATCH($E603,'Key Metrics'!$E$16:$E$19,0),MATCH(V$1,'Key Metrics'!$E$16:$M$16,0))</f>
        <v>60000</v>
      </c>
      <c r="W603" s="9">
        <f>IF($H603&gt;I603, MIN($H603-I603, J603-I603)*INDEX('Key Metrics'!$E$16:$N$19,MATCH($E603,'Key Metrics'!$E$16:$E$19,0),MATCH(W$1,'Key Metrics'!$E$16:$M$16,0)),0)</f>
        <v>21250</v>
      </c>
      <c r="X603" s="9">
        <f>IF($H603&gt;J603, MIN($H603-J603, K603-J603)*INDEX('Key Metrics'!$E$16:$N$19,MATCH($E603,'Key Metrics'!$E$16:$E$19,0),MATCH(X$1,'Key Metrics'!$E$16:$M$16,0)),0)</f>
        <v>25000</v>
      </c>
      <c r="Y603" s="9">
        <f>IF($H603&gt;K603, MIN($H603-K603, L603-K603)*INDEX('Key Metrics'!$E$16:$N$19,MATCH($E603,'Key Metrics'!$E$16:$E$19,0),MATCH(Y$1,'Key Metrics'!$E$16:$M$16,0)),0)</f>
        <v>8403.34</v>
      </c>
      <c r="Z603" s="9">
        <f>IF($H603&gt;L603,($H603-L603)*INDEX('Key Metrics'!$E$16:$N$19,MATCH($E603,'Key Metrics'!$E$16:$E$19,0),MATCH(Z$1,'Key Metrics'!$E$16:$M$16,0)),0)</f>
        <v>0</v>
      </c>
      <c r="AA603" s="9">
        <f t="shared" si="99"/>
        <v>114653.34</v>
      </c>
      <c r="AB603" s="9">
        <f t="shared" si="91"/>
        <v>114654.916394</v>
      </c>
    </row>
    <row r="604" spans="1:28" x14ac:dyDescent="0.55000000000000004">
      <c r="A604" t="str">
        <f t="shared" si="92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COUNTIF(deals_closed!$D$2:$D$20001,Calculations!B770)</f>
        <v>31</v>
      </c>
      <c r="H604" s="7">
        <f>SUMIF(deals_closed!$D:$D,Calculations!B770,deals_closed!$C:$C)</f>
        <v>1143315</v>
      </c>
      <c r="I604" s="5">
        <f>VLOOKUP(E604,'2018_commission_structure'!$A$1:$I$4,9,FALSE)</f>
        <v>600000</v>
      </c>
      <c r="J604" s="9">
        <f t="shared" si="93"/>
        <v>750000</v>
      </c>
      <c r="K604" s="10">
        <f t="shared" si="94"/>
        <v>900000</v>
      </c>
      <c r="L604" s="9">
        <f t="shared" si="95"/>
        <v>1200000</v>
      </c>
      <c r="M604" s="8">
        <f t="shared" si="96"/>
        <v>1.9055249999999999</v>
      </c>
      <c r="N604" t="str">
        <f t="shared" si="97"/>
        <v>150-200%</v>
      </c>
      <c r="O604" s="9">
        <f>MIN($H604,$I604)*INDEX('2018_commission_structure'!$A$1:$I$4,MATCH($E604,'2018_commission_structure'!$A$1:$A$4,0),MATCH(O$1,'2018_commission_structure'!$A$1:$I$1,0))</f>
        <v>78000</v>
      </c>
      <c r="P604" s="9">
        <f>IF(H604&gt;I604, MIN(H604-I604, J604-I604)*INDEX('2018_commission_structure'!$A$1:$I$4,MATCH($E604,'2018_commission_structure'!$A$1:$A$4,0),MATCH(P$1,'2018_commission_structure'!$A$1:$I$1,0)),0)</f>
        <v>25500.000000000004</v>
      </c>
      <c r="Q604" s="9">
        <f>IF($H604&gt;J604, MIN($H604-J604, K604-J604)*INDEX('2018_commission_structure'!$A$1:$I$4,MATCH($E604,'2018_commission_structure'!$A$1:$A$4,0),MATCH(Q$1,'2018_commission_structure'!$A$1:$I$1,0)),0)</f>
        <v>31500</v>
      </c>
      <c r="R604" s="9">
        <f>IF($H604&gt;K604, MIN($H604-K604, L604-K604)*INDEX('2018_commission_structure'!$A$1:$I$4,MATCH($E604,'2018_commission_structure'!$A$1:$A$4,0),MATCH(R$1,'2018_commission_structure'!$A$1:$I$1,0)),0)</f>
        <v>63261.9</v>
      </c>
      <c r="S604" s="9">
        <f>IF(H604&gt;L604,(H604-L604)*INDEX('2018_commission_structure'!$A$1:$I$4,MATCH($E604,'2018_commission_structure'!$A$1:$A$4,0),MATCH(S$1,'2018_commission_structure'!$A$1:$I$1,0)),0)</f>
        <v>0</v>
      </c>
      <c r="T604" s="9">
        <f t="shared" si="98"/>
        <v>198261.9</v>
      </c>
      <c r="U604" s="9">
        <f t="shared" si="90"/>
        <v>248598.9</v>
      </c>
      <c r="V604" s="9">
        <f>MIN($I604,$H604)*INDEX('Key Metrics'!$E$16:$N$19,MATCH($E604,'Key Metrics'!$E$16:$E$19,0),MATCH(V$1,'Key Metrics'!$E$16:$M$16,0))</f>
        <v>90000</v>
      </c>
      <c r="W604" s="9">
        <f>IF($H604&gt;I604, MIN($H604-I604, J604-I604)*INDEX('Key Metrics'!$E$16:$N$19,MATCH($E604,'Key Metrics'!$E$16:$E$19,0),MATCH(W$1,'Key Metrics'!$E$16:$M$16,0)),0)</f>
        <v>27000</v>
      </c>
      <c r="X604" s="9">
        <f>IF($H604&gt;J604, MIN($H604-J604, K604-J604)*INDEX('Key Metrics'!$E$16:$N$19,MATCH($E604,'Key Metrics'!$E$16:$E$19,0),MATCH(X$1,'Key Metrics'!$E$16:$M$16,0)),0)</f>
        <v>37500</v>
      </c>
      <c r="Y604" s="9">
        <f>IF($H604&gt;K604, MIN($H604-K604, L604-K604)*INDEX('Key Metrics'!$E$16:$N$19,MATCH($E604,'Key Metrics'!$E$16:$E$19,0),MATCH(Y$1,'Key Metrics'!$E$16:$M$16,0)),0)</f>
        <v>72994.5</v>
      </c>
      <c r="Z604" s="9">
        <f>IF($H604&gt;L604,($H604-L604)*INDEX('Key Metrics'!$E$16:$N$19,MATCH($E604,'Key Metrics'!$E$16:$E$19,0),MATCH(Z$1,'Key Metrics'!$E$16:$M$16,0)),0)</f>
        <v>0</v>
      </c>
      <c r="AA604" s="9">
        <f t="shared" si="99"/>
        <v>227494.5</v>
      </c>
      <c r="AB604" s="9">
        <f t="shared" si="91"/>
        <v>227496.40552500001</v>
      </c>
    </row>
    <row r="605" spans="1:28" x14ac:dyDescent="0.55000000000000004">
      <c r="A605" t="str">
        <f t="shared" si="92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COUNTIF(deals_closed!$D$2:$D$20001,Calculations!B34)</f>
        <v>28</v>
      </c>
      <c r="H605" s="7">
        <f>SUMIF(deals_closed!$D:$D,Calculations!B34,deals_closed!$C:$C)</f>
        <v>1078035</v>
      </c>
      <c r="I605" s="5">
        <f>VLOOKUP(E605,'2018_commission_structure'!$A$1:$I$4,9,FALSE)</f>
        <v>600000</v>
      </c>
      <c r="J605" s="9">
        <f t="shared" si="93"/>
        <v>750000</v>
      </c>
      <c r="K605" s="10">
        <f t="shared" si="94"/>
        <v>900000</v>
      </c>
      <c r="L605" s="9">
        <f t="shared" si="95"/>
        <v>1200000</v>
      </c>
      <c r="M605" s="8">
        <f t="shared" si="96"/>
        <v>1.7967249999999999</v>
      </c>
      <c r="N605" t="str">
        <f t="shared" si="97"/>
        <v>150-200%</v>
      </c>
      <c r="O605" s="9">
        <f>MIN($H605,$I605)*INDEX('2018_commission_structure'!$A$1:$I$4,MATCH($E605,'2018_commission_structure'!$A$1:$A$4,0),MATCH(O$1,'2018_commission_structure'!$A$1:$I$1,0))</f>
        <v>78000</v>
      </c>
      <c r="P605" s="9">
        <f>IF(H605&gt;I605, MIN(H605-I605, J605-I605)*INDEX('2018_commission_structure'!$A$1:$I$4,MATCH($E605,'2018_commission_structure'!$A$1:$A$4,0),MATCH(P$1,'2018_commission_structure'!$A$1:$I$1,0)),0)</f>
        <v>25500.000000000004</v>
      </c>
      <c r="Q605" s="9">
        <f>IF($H605&gt;J605, MIN($H605-J605, K605-J605)*INDEX('2018_commission_structure'!$A$1:$I$4,MATCH($E605,'2018_commission_structure'!$A$1:$A$4,0),MATCH(Q$1,'2018_commission_structure'!$A$1:$I$1,0)),0)</f>
        <v>31500</v>
      </c>
      <c r="R605" s="9">
        <f>IF($H605&gt;K605, MIN($H605-K605, L605-K605)*INDEX('2018_commission_structure'!$A$1:$I$4,MATCH($E605,'2018_commission_structure'!$A$1:$A$4,0),MATCH(R$1,'2018_commission_structure'!$A$1:$I$1,0)),0)</f>
        <v>46289.1</v>
      </c>
      <c r="S605" s="9">
        <f>IF(H605&gt;L605,(H605-L605)*INDEX('2018_commission_structure'!$A$1:$I$4,MATCH($E605,'2018_commission_structure'!$A$1:$A$4,0),MATCH(S$1,'2018_commission_structure'!$A$1:$I$1,0)),0)</f>
        <v>0</v>
      </c>
      <c r="T605" s="9">
        <f t="shared" si="98"/>
        <v>181289.1</v>
      </c>
      <c r="U605" s="9">
        <f t="shared" si="90"/>
        <v>257400.1</v>
      </c>
      <c r="V605" s="9">
        <f>MIN($I605,$H605)*INDEX('Key Metrics'!$E$16:$N$19,MATCH($E605,'Key Metrics'!$E$16:$E$19,0),MATCH(V$1,'Key Metrics'!$E$16:$M$16,0))</f>
        <v>90000</v>
      </c>
      <c r="W605" s="9">
        <f>IF($H605&gt;I605, MIN($H605-I605, J605-I605)*INDEX('Key Metrics'!$E$16:$N$19,MATCH($E605,'Key Metrics'!$E$16:$E$19,0),MATCH(W$1,'Key Metrics'!$E$16:$M$16,0)),0)</f>
        <v>27000</v>
      </c>
      <c r="X605" s="9">
        <f>IF($H605&gt;J605, MIN($H605-J605, K605-J605)*INDEX('Key Metrics'!$E$16:$N$19,MATCH($E605,'Key Metrics'!$E$16:$E$19,0),MATCH(X$1,'Key Metrics'!$E$16:$M$16,0)),0)</f>
        <v>37500</v>
      </c>
      <c r="Y605" s="9">
        <f>IF($H605&gt;K605, MIN($H605-K605, L605-K605)*INDEX('Key Metrics'!$E$16:$N$19,MATCH($E605,'Key Metrics'!$E$16:$E$19,0),MATCH(Y$1,'Key Metrics'!$E$16:$M$16,0)),0)</f>
        <v>53410.5</v>
      </c>
      <c r="Z605" s="9">
        <f>IF($H605&gt;L605,($H605-L605)*INDEX('Key Metrics'!$E$16:$N$19,MATCH($E605,'Key Metrics'!$E$16:$E$19,0),MATCH(Z$1,'Key Metrics'!$E$16:$M$16,0)),0)</f>
        <v>0</v>
      </c>
      <c r="AA605" s="9">
        <f t="shared" si="99"/>
        <v>207910.5</v>
      </c>
      <c r="AB605" s="9">
        <f t="shared" si="91"/>
        <v>207912.29672499999</v>
      </c>
    </row>
    <row r="606" spans="1:28" x14ac:dyDescent="0.55000000000000004">
      <c r="A606" t="str">
        <f t="shared" si="92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COUNTIF(deals_closed!$D$2:$D$20001,Calculations!B447)</f>
        <v>24</v>
      </c>
      <c r="H606" s="7">
        <f>SUMIF(deals_closed!$D:$D,Calculations!B447,deals_closed!$C:$C)</f>
        <v>911285</v>
      </c>
      <c r="I606" s="5">
        <f>VLOOKUP(E606,'2018_commission_structure'!$A$1:$I$4,9,FALSE)</f>
        <v>600000</v>
      </c>
      <c r="J606" s="9">
        <f t="shared" si="93"/>
        <v>750000</v>
      </c>
      <c r="K606" s="10">
        <f t="shared" si="94"/>
        <v>900000</v>
      </c>
      <c r="L606" s="9">
        <f t="shared" si="95"/>
        <v>1200000</v>
      </c>
      <c r="M606" s="8">
        <f t="shared" si="96"/>
        <v>1.5188083333333333</v>
      </c>
      <c r="N606" t="str">
        <f t="shared" si="97"/>
        <v>150-200%</v>
      </c>
      <c r="O606" s="9">
        <f>MIN($H606,$I606)*INDEX('2018_commission_structure'!$A$1:$I$4,MATCH($E606,'2018_commission_structure'!$A$1:$A$4,0),MATCH(O$1,'2018_commission_structure'!$A$1:$I$1,0))</f>
        <v>78000</v>
      </c>
      <c r="P606" s="9">
        <f>IF(H606&gt;I606, MIN(H606-I606, J606-I606)*INDEX('2018_commission_structure'!$A$1:$I$4,MATCH($E606,'2018_commission_structure'!$A$1:$A$4,0),MATCH(P$1,'2018_commission_structure'!$A$1:$I$1,0)),0)</f>
        <v>25500.000000000004</v>
      </c>
      <c r="Q606" s="9">
        <f>IF($H606&gt;J606, MIN($H606-J606, K606-J606)*INDEX('2018_commission_structure'!$A$1:$I$4,MATCH($E606,'2018_commission_structure'!$A$1:$A$4,0),MATCH(Q$1,'2018_commission_structure'!$A$1:$I$1,0)),0)</f>
        <v>31500</v>
      </c>
      <c r="R606" s="9">
        <f>IF($H606&gt;K606, MIN($H606-K606, L606-K606)*INDEX('2018_commission_structure'!$A$1:$I$4,MATCH($E606,'2018_commission_structure'!$A$1:$A$4,0),MATCH(R$1,'2018_commission_structure'!$A$1:$I$1,0)),0)</f>
        <v>2934.1</v>
      </c>
      <c r="S606" s="9">
        <f>IF(H606&gt;L606,(H606-L606)*INDEX('2018_commission_structure'!$A$1:$I$4,MATCH($E606,'2018_commission_structure'!$A$1:$A$4,0),MATCH(S$1,'2018_commission_structure'!$A$1:$I$1,0)),0)</f>
        <v>0</v>
      </c>
      <c r="T606" s="9">
        <f t="shared" si="98"/>
        <v>137934.1</v>
      </c>
      <c r="U606" s="9">
        <f t="shared" si="90"/>
        <v>202068.1</v>
      </c>
      <c r="V606" s="9">
        <f>MIN($I606,$H606)*INDEX('Key Metrics'!$E$16:$N$19,MATCH($E606,'Key Metrics'!$E$16:$E$19,0),MATCH(V$1,'Key Metrics'!$E$16:$M$16,0))</f>
        <v>90000</v>
      </c>
      <c r="W606" s="9">
        <f>IF($H606&gt;I606, MIN($H606-I606, J606-I606)*INDEX('Key Metrics'!$E$16:$N$19,MATCH($E606,'Key Metrics'!$E$16:$E$19,0),MATCH(W$1,'Key Metrics'!$E$16:$M$16,0)),0)</f>
        <v>27000</v>
      </c>
      <c r="X606" s="9">
        <f>IF($H606&gt;J606, MIN($H606-J606, K606-J606)*INDEX('Key Metrics'!$E$16:$N$19,MATCH($E606,'Key Metrics'!$E$16:$E$19,0),MATCH(X$1,'Key Metrics'!$E$16:$M$16,0)),0)</f>
        <v>37500</v>
      </c>
      <c r="Y606" s="9">
        <f>IF($H606&gt;K606, MIN($H606-K606, L606-K606)*INDEX('Key Metrics'!$E$16:$N$19,MATCH($E606,'Key Metrics'!$E$16:$E$19,0),MATCH(Y$1,'Key Metrics'!$E$16:$M$16,0)),0)</f>
        <v>3385.5</v>
      </c>
      <c r="Z606" s="9">
        <f>IF($H606&gt;L606,($H606-L606)*INDEX('Key Metrics'!$E$16:$N$19,MATCH($E606,'Key Metrics'!$E$16:$E$19,0),MATCH(Z$1,'Key Metrics'!$E$16:$M$16,0)),0)</f>
        <v>0</v>
      </c>
      <c r="AA606" s="9">
        <f t="shared" si="99"/>
        <v>157885.5</v>
      </c>
      <c r="AB606" s="9">
        <f t="shared" si="91"/>
        <v>157887.01880833332</v>
      </c>
    </row>
    <row r="607" spans="1:28" x14ac:dyDescent="0.55000000000000004">
      <c r="A607" t="str">
        <f t="shared" si="92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COUNTIF(deals_closed!$D$2:$D$20001,Calculations!B865)</f>
        <v>18</v>
      </c>
      <c r="H607" s="7">
        <f>SUMIF(deals_closed!$D:$D,Calculations!B865,deals_closed!$C:$C)</f>
        <v>718775</v>
      </c>
      <c r="I607" s="5">
        <f>VLOOKUP(E607,'2018_commission_structure'!$A$1:$I$4,9,FALSE)</f>
        <v>750000</v>
      </c>
      <c r="J607" s="9">
        <f t="shared" si="93"/>
        <v>937500</v>
      </c>
      <c r="K607" s="10">
        <f t="shared" si="94"/>
        <v>1125000</v>
      </c>
      <c r="L607" s="9">
        <f t="shared" si="95"/>
        <v>1500000</v>
      </c>
      <c r="M607" s="8">
        <f t="shared" si="96"/>
        <v>0.9583666666666667</v>
      </c>
      <c r="N607" t="str">
        <f t="shared" si="97"/>
        <v>0-100%</v>
      </c>
      <c r="O607" s="9">
        <f>MIN($H607,$I607)*INDEX('2018_commission_structure'!$A$1:$I$4,MATCH($E607,'2018_commission_structure'!$A$1:$A$4,0),MATCH(O$1,'2018_commission_structure'!$A$1:$I$1,0))</f>
        <v>107816.25</v>
      </c>
      <c r="P607" s="9">
        <f>IF(H607&gt;I607, MIN(H607-I607, J607-I607)*INDEX('2018_commission_structure'!$A$1:$I$4,MATCH($E607,'2018_commission_structure'!$A$1:$A$4,0),MATCH(P$1,'2018_commission_structure'!$A$1:$I$1,0)),0)</f>
        <v>0</v>
      </c>
      <c r="Q607" s="9">
        <f>IF($H607&gt;J607, MIN($H607-J607, K607-J607)*INDEX('2018_commission_structure'!$A$1:$I$4,MATCH($E607,'2018_commission_structure'!$A$1:$A$4,0),MATCH(Q$1,'2018_commission_structure'!$A$1:$I$1,0)),0)</f>
        <v>0</v>
      </c>
      <c r="R607" s="9">
        <f>IF($H607&gt;K607, MIN($H607-K607, L607-K607)*INDEX('2018_commission_structure'!$A$1:$I$4,MATCH($E607,'2018_commission_structure'!$A$1:$A$4,0),MATCH(R$1,'2018_commission_structure'!$A$1:$I$1,0)),0)</f>
        <v>0</v>
      </c>
      <c r="S607" s="9">
        <f>IF(H607&gt;L607,(H607-L607)*INDEX('2018_commission_structure'!$A$1:$I$4,MATCH($E607,'2018_commission_structure'!$A$1:$A$4,0),MATCH(S$1,'2018_commission_structure'!$A$1:$I$1,0)),0)</f>
        <v>0</v>
      </c>
      <c r="T607" s="9">
        <f t="shared" si="98"/>
        <v>107816.25</v>
      </c>
      <c r="U607" s="9">
        <f t="shared" si="90"/>
        <v>209051.25</v>
      </c>
      <c r="V607" s="9">
        <f>MIN($I607,$H607)*INDEX('Key Metrics'!$E$16:$N$19,MATCH($E607,'Key Metrics'!$E$16:$E$19,0),MATCH(V$1,'Key Metrics'!$E$16:$M$16,0))</f>
        <v>107816.25</v>
      </c>
      <c r="W607" s="9">
        <f>IF($H607&gt;I607, MIN($H607-I607, J607-I607)*INDEX('Key Metrics'!$E$16:$N$19,MATCH($E607,'Key Metrics'!$E$16:$E$19,0),MATCH(W$1,'Key Metrics'!$E$16:$M$16,0)),0)</f>
        <v>0</v>
      </c>
      <c r="X607" s="9">
        <f>IF($H607&gt;J607, MIN($H607-J607, K607-J607)*INDEX('Key Metrics'!$E$16:$N$19,MATCH($E607,'Key Metrics'!$E$16:$E$19,0),MATCH(X$1,'Key Metrics'!$E$16:$M$16,0)),0)</f>
        <v>0</v>
      </c>
      <c r="Y607" s="9">
        <f>IF($H607&gt;K607, MIN($H607-K607, L607-K607)*INDEX('Key Metrics'!$E$16:$N$19,MATCH($E607,'Key Metrics'!$E$16:$E$19,0),MATCH(Y$1,'Key Metrics'!$E$16:$M$16,0)),0)</f>
        <v>0</v>
      </c>
      <c r="Z607" s="9">
        <f>IF($H607&gt;L607,($H607-L607)*INDEX('Key Metrics'!$E$16:$N$19,MATCH($E607,'Key Metrics'!$E$16:$E$19,0),MATCH(Z$1,'Key Metrics'!$E$16:$M$16,0)),0)</f>
        <v>0</v>
      </c>
      <c r="AA607" s="9">
        <f t="shared" si="99"/>
        <v>107816.25</v>
      </c>
      <c r="AB607" s="9">
        <f t="shared" si="91"/>
        <v>107817.20836666667</v>
      </c>
    </row>
    <row r="608" spans="1:28" x14ac:dyDescent="0.55000000000000004">
      <c r="A608" t="str">
        <f t="shared" si="92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COUNTIF(deals_closed!$D$2:$D$20001,Calculations!B966)</f>
        <v>21</v>
      </c>
      <c r="H608" s="7">
        <f>SUMIF(deals_closed!$D:$D,Calculations!B966,deals_closed!$C:$C)</f>
        <v>743306</v>
      </c>
      <c r="I608" s="5">
        <f>VLOOKUP(E608,'2018_commission_structure'!$A$1:$I$4,9,FALSE)</f>
        <v>750000</v>
      </c>
      <c r="J608" s="9">
        <f t="shared" si="93"/>
        <v>937500</v>
      </c>
      <c r="K608" s="10">
        <f t="shared" si="94"/>
        <v>1125000</v>
      </c>
      <c r="L608" s="9">
        <f t="shared" si="95"/>
        <v>1500000</v>
      </c>
      <c r="M608" s="8">
        <f t="shared" si="96"/>
        <v>0.99107466666666666</v>
      </c>
      <c r="N608" t="str">
        <f t="shared" si="97"/>
        <v>0-100%</v>
      </c>
      <c r="O608" s="9">
        <f>MIN($H608,$I608)*INDEX('2018_commission_structure'!$A$1:$I$4,MATCH($E608,'2018_commission_structure'!$A$1:$A$4,0),MATCH(O$1,'2018_commission_structure'!$A$1:$I$1,0))</f>
        <v>111495.9</v>
      </c>
      <c r="P608" s="9">
        <f>IF(H608&gt;I608, MIN(H608-I608, J608-I608)*INDEX('2018_commission_structure'!$A$1:$I$4,MATCH($E608,'2018_commission_structure'!$A$1:$A$4,0),MATCH(P$1,'2018_commission_structure'!$A$1:$I$1,0)),0)</f>
        <v>0</v>
      </c>
      <c r="Q608" s="9">
        <f>IF($H608&gt;J608, MIN($H608-J608, K608-J608)*INDEX('2018_commission_structure'!$A$1:$I$4,MATCH($E608,'2018_commission_structure'!$A$1:$A$4,0),MATCH(Q$1,'2018_commission_structure'!$A$1:$I$1,0)),0)</f>
        <v>0</v>
      </c>
      <c r="R608" s="9">
        <f>IF($H608&gt;K608, MIN($H608-K608, L608-K608)*INDEX('2018_commission_structure'!$A$1:$I$4,MATCH($E608,'2018_commission_structure'!$A$1:$A$4,0),MATCH(R$1,'2018_commission_structure'!$A$1:$I$1,0)),0)</f>
        <v>0</v>
      </c>
      <c r="S608" s="9">
        <f>IF(H608&gt;L608,(H608-L608)*INDEX('2018_commission_structure'!$A$1:$I$4,MATCH($E608,'2018_commission_structure'!$A$1:$A$4,0),MATCH(S$1,'2018_commission_structure'!$A$1:$I$1,0)),0)</f>
        <v>0</v>
      </c>
      <c r="T608" s="9">
        <f t="shared" si="98"/>
        <v>111495.9</v>
      </c>
      <c r="U608" s="9">
        <f t="shared" si="90"/>
        <v>226630.9</v>
      </c>
      <c r="V608" s="9">
        <f>MIN($I608,$H608)*INDEX('Key Metrics'!$E$16:$N$19,MATCH($E608,'Key Metrics'!$E$16:$E$19,0),MATCH(V$1,'Key Metrics'!$E$16:$M$16,0))</f>
        <v>111495.9</v>
      </c>
      <c r="W608" s="9">
        <f>IF($H608&gt;I608, MIN($H608-I608, J608-I608)*INDEX('Key Metrics'!$E$16:$N$19,MATCH($E608,'Key Metrics'!$E$16:$E$19,0),MATCH(W$1,'Key Metrics'!$E$16:$M$16,0)),0)</f>
        <v>0</v>
      </c>
      <c r="X608" s="9">
        <f>IF($H608&gt;J608, MIN($H608-J608, K608-J608)*INDEX('Key Metrics'!$E$16:$N$19,MATCH($E608,'Key Metrics'!$E$16:$E$19,0),MATCH(X$1,'Key Metrics'!$E$16:$M$16,0)),0)</f>
        <v>0</v>
      </c>
      <c r="Y608" s="9">
        <f>IF($H608&gt;K608, MIN($H608-K608, L608-K608)*INDEX('Key Metrics'!$E$16:$N$19,MATCH($E608,'Key Metrics'!$E$16:$E$19,0),MATCH(Y$1,'Key Metrics'!$E$16:$M$16,0)),0)</f>
        <v>0</v>
      </c>
      <c r="Z608" s="9">
        <f>IF($H608&gt;L608,($H608-L608)*INDEX('Key Metrics'!$E$16:$N$19,MATCH($E608,'Key Metrics'!$E$16:$E$19,0),MATCH(Z$1,'Key Metrics'!$E$16:$M$16,0)),0)</f>
        <v>0</v>
      </c>
      <c r="AA608" s="9">
        <f t="shared" si="99"/>
        <v>111495.9</v>
      </c>
      <c r="AB608" s="9">
        <f t="shared" si="91"/>
        <v>111496.89107466667</v>
      </c>
    </row>
    <row r="609" spans="1:28" x14ac:dyDescent="0.55000000000000004">
      <c r="A609" t="str">
        <f t="shared" si="92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COUNTIF(deals_closed!$D$2:$D$20001,Calculations!B457)</f>
        <v>19</v>
      </c>
      <c r="H609" s="7">
        <f>SUMIF(deals_closed!$D:$D,Calculations!B457,deals_closed!$C:$C)</f>
        <v>746779</v>
      </c>
      <c r="I609" s="5">
        <f>VLOOKUP(E609,'2018_commission_structure'!$A$1:$I$4,9,FALSE)</f>
        <v>500000</v>
      </c>
      <c r="J609" s="9">
        <f t="shared" si="93"/>
        <v>625000</v>
      </c>
      <c r="K609" s="10">
        <f t="shared" si="94"/>
        <v>750000</v>
      </c>
      <c r="L609" s="9">
        <f t="shared" si="95"/>
        <v>1000000</v>
      </c>
      <c r="M609" s="8">
        <f t="shared" si="96"/>
        <v>1.4935579999999999</v>
      </c>
      <c r="N609" t="str">
        <f t="shared" si="97"/>
        <v>125-150%</v>
      </c>
      <c r="O609" s="9">
        <f>MIN($H609,$I609)*INDEX('2018_commission_structure'!$A$1:$I$4,MATCH($E609,'2018_commission_structure'!$A$1:$A$4,0),MATCH(O$1,'2018_commission_structure'!$A$1:$I$1,0))</f>
        <v>50000</v>
      </c>
      <c r="P609" s="9">
        <f>IF(H609&gt;I609, MIN(H609-I609, J609-I609)*INDEX('2018_commission_structure'!$A$1:$I$4,MATCH($E609,'2018_commission_structure'!$A$1:$A$4,0),MATCH(P$1,'2018_commission_structure'!$A$1:$I$1,0)),0)</f>
        <v>18750</v>
      </c>
      <c r="Q609" s="9">
        <f>IF($H609&gt;J609, MIN($H609-J609, K609-J609)*INDEX('2018_commission_structure'!$A$1:$I$4,MATCH($E609,'2018_commission_structure'!$A$1:$A$4,0),MATCH(Q$1,'2018_commission_structure'!$A$1:$I$1,0)),0)</f>
        <v>21920.219999999998</v>
      </c>
      <c r="R609" s="9">
        <f>IF($H609&gt;K609, MIN($H609-K609, L609-K609)*INDEX('2018_commission_structure'!$A$1:$I$4,MATCH($E609,'2018_commission_structure'!$A$1:$A$4,0),MATCH(R$1,'2018_commission_structure'!$A$1:$I$1,0)),0)</f>
        <v>0</v>
      </c>
      <c r="S609" s="9">
        <f>IF(H609&gt;L609,(H609-L609)*INDEX('2018_commission_structure'!$A$1:$I$4,MATCH($E609,'2018_commission_structure'!$A$1:$A$4,0),MATCH(S$1,'2018_commission_structure'!$A$1:$I$1,0)),0)</f>
        <v>0</v>
      </c>
      <c r="T609" s="9">
        <f t="shared" si="98"/>
        <v>90670.22</v>
      </c>
      <c r="U609" s="9">
        <f t="shared" si="90"/>
        <v>139236.22</v>
      </c>
      <c r="V609" s="9">
        <f>MIN($I609,$H609)*INDEX('Key Metrics'!$E$16:$N$19,MATCH($E609,'Key Metrics'!$E$16:$E$19,0),MATCH(V$1,'Key Metrics'!$E$16:$M$16,0))</f>
        <v>60000</v>
      </c>
      <c r="W609" s="9">
        <f>IF($H609&gt;I609, MIN($H609-I609, J609-I609)*INDEX('Key Metrics'!$E$16:$N$19,MATCH($E609,'Key Metrics'!$E$16:$E$19,0),MATCH(W$1,'Key Metrics'!$E$16:$M$16,0)),0)</f>
        <v>21250</v>
      </c>
      <c r="X609" s="9">
        <f>IF($H609&gt;J609, MIN($H609-J609, K609-J609)*INDEX('Key Metrics'!$E$16:$N$19,MATCH($E609,'Key Metrics'!$E$16:$E$19,0),MATCH(X$1,'Key Metrics'!$E$16:$M$16,0)),0)</f>
        <v>24355.800000000003</v>
      </c>
      <c r="Y609" s="9">
        <f>IF($H609&gt;K609, MIN($H609-K609, L609-K609)*INDEX('Key Metrics'!$E$16:$N$19,MATCH($E609,'Key Metrics'!$E$16:$E$19,0),MATCH(Y$1,'Key Metrics'!$E$16:$M$16,0)),0)</f>
        <v>0</v>
      </c>
      <c r="Z609" s="9">
        <f>IF($H609&gt;L609,($H609-L609)*INDEX('Key Metrics'!$E$16:$N$19,MATCH($E609,'Key Metrics'!$E$16:$E$19,0),MATCH(Z$1,'Key Metrics'!$E$16:$M$16,0)),0)</f>
        <v>0</v>
      </c>
      <c r="AA609" s="9">
        <f t="shared" si="99"/>
        <v>105605.8</v>
      </c>
      <c r="AB609" s="9">
        <f t="shared" si="91"/>
        <v>105607.293558</v>
      </c>
    </row>
    <row r="610" spans="1:28" x14ac:dyDescent="0.55000000000000004">
      <c r="A610" t="str">
        <f t="shared" si="92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COUNTIF(deals_closed!$D$2:$D$20001,Calculations!B173)</f>
        <v>22</v>
      </c>
      <c r="H610" s="7">
        <f>SUMIF(deals_closed!$D:$D,Calculations!B173,deals_closed!$C:$C)</f>
        <v>742123</v>
      </c>
      <c r="I610" s="5">
        <f>VLOOKUP(E610,'2018_commission_structure'!$A$1:$I$4,9,FALSE)</f>
        <v>750000</v>
      </c>
      <c r="J610" s="9">
        <f t="shared" si="93"/>
        <v>937500</v>
      </c>
      <c r="K610" s="10">
        <f t="shared" si="94"/>
        <v>1125000</v>
      </c>
      <c r="L610" s="9">
        <f t="shared" si="95"/>
        <v>1500000</v>
      </c>
      <c r="M610" s="8">
        <f t="shared" si="96"/>
        <v>0.98949733333333334</v>
      </c>
      <c r="N610" t="str">
        <f t="shared" si="97"/>
        <v>0-100%</v>
      </c>
      <c r="O610" s="9">
        <f>MIN($H610,$I610)*INDEX('2018_commission_structure'!$A$1:$I$4,MATCH($E610,'2018_commission_structure'!$A$1:$A$4,0),MATCH(O$1,'2018_commission_structure'!$A$1:$I$1,0))</f>
        <v>111318.45</v>
      </c>
      <c r="P610" s="9">
        <f>IF(H610&gt;I610, MIN(H610-I610, J610-I610)*INDEX('2018_commission_structure'!$A$1:$I$4,MATCH($E610,'2018_commission_structure'!$A$1:$A$4,0),MATCH(P$1,'2018_commission_structure'!$A$1:$I$1,0)),0)</f>
        <v>0</v>
      </c>
      <c r="Q610" s="9">
        <f>IF($H610&gt;J610, MIN($H610-J610, K610-J610)*INDEX('2018_commission_structure'!$A$1:$I$4,MATCH($E610,'2018_commission_structure'!$A$1:$A$4,0),MATCH(Q$1,'2018_commission_structure'!$A$1:$I$1,0)),0)</f>
        <v>0</v>
      </c>
      <c r="R610" s="9">
        <f>IF($H610&gt;K610, MIN($H610-K610, L610-K610)*INDEX('2018_commission_structure'!$A$1:$I$4,MATCH($E610,'2018_commission_structure'!$A$1:$A$4,0),MATCH(R$1,'2018_commission_structure'!$A$1:$I$1,0)),0)</f>
        <v>0</v>
      </c>
      <c r="S610" s="9">
        <f>IF(H610&gt;L610,(H610-L610)*INDEX('2018_commission_structure'!$A$1:$I$4,MATCH($E610,'2018_commission_structure'!$A$1:$A$4,0),MATCH(S$1,'2018_commission_structure'!$A$1:$I$1,0)),0)</f>
        <v>0</v>
      </c>
      <c r="T610" s="9">
        <f t="shared" si="98"/>
        <v>111318.45</v>
      </c>
      <c r="U610" s="9">
        <f t="shared" ref="U610:U673" si="100">F610+T610</f>
        <v>204830.45</v>
      </c>
      <c r="V610" s="9">
        <f>MIN($I610,$H610)*INDEX('Key Metrics'!$E$16:$N$19,MATCH($E610,'Key Metrics'!$E$16:$E$19,0),MATCH(V$1,'Key Metrics'!$E$16:$M$16,0))</f>
        <v>111318.45</v>
      </c>
      <c r="W610" s="9">
        <f>IF($H610&gt;I610, MIN($H610-I610, J610-I610)*INDEX('Key Metrics'!$E$16:$N$19,MATCH($E610,'Key Metrics'!$E$16:$E$19,0),MATCH(W$1,'Key Metrics'!$E$16:$M$16,0)),0)</f>
        <v>0</v>
      </c>
      <c r="X610" s="9">
        <f>IF($H610&gt;J610, MIN($H610-J610, K610-J610)*INDEX('Key Metrics'!$E$16:$N$19,MATCH($E610,'Key Metrics'!$E$16:$E$19,0),MATCH(X$1,'Key Metrics'!$E$16:$M$16,0)),0)</f>
        <v>0</v>
      </c>
      <c r="Y610" s="9">
        <f>IF($H610&gt;K610, MIN($H610-K610, L610-K610)*INDEX('Key Metrics'!$E$16:$N$19,MATCH($E610,'Key Metrics'!$E$16:$E$19,0),MATCH(Y$1,'Key Metrics'!$E$16:$M$16,0)),0)</f>
        <v>0</v>
      </c>
      <c r="Z610" s="9">
        <f>IF($H610&gt;L610,($H610-L610)*INDEX('Key Metrics'!$E$16:$N$19,MATCH($E610,'Key Metrics'!$E$16:$E$19,0),MATCH(Z$1,'Key Metrics'!$E$16:$M$16,0)),0)</f>
        <v>0</v>
      </c>
      <c r="AA610" s="9">
        <f t="shared" si="99"/>
        <v>111318.45</v>
      </c>
      <c r="AB610" s="9">
        <f t="shared" ref="AB610:AB673" si="101">M610+AA610</f>
        <v>111319.43949733333</v>
      </c>
    </row>
    <row r="611" spans="1:28" x14ac:dyDescent="0.55000000000000004">
      <c r="A611" t="str">
        <f t="shared" si="92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COUNTIF(deals_closed!$D$2:$D$20001,Calculations!B908)</f>
        <v>27</v>
      </c>
      <c r="H611" s="7">
        <f>SUMIF(deals_closed!$D:$D,Calculations!B908,deals_closed!$C:$C)</f>
        <v>961540</v>
      </c>
      <c r="I611" s="5">
        <f>VLOOKUP(E611,'2018_commission_structure'!$A$1:$I$4,9,FALSE)</f>
        <v>600000</v>
      </c>
      <c r="J611" s="9">
        <f t="shared" si="93"/>
        <v>750000</v>
      </c>
      <c r="K611" s="10">
        <f t="shared" si="94"/>
        <v>900000</v>
      </c>
      <c r="L611" s="9">
        <f t="shared" si="95"/>
        <v>1200000</v>
      </c>
      <c r="M611" s="8">
        <f t="shared" si="96"/>
        <v>1.6025666666666667</v>
      </c>
      <c r="N611" t="str">
        <f t="shared" si="97"/>
        <v>150-200%</v>
      </c>
      <c r="O611" s="9">
        <f>MIN($H611,$I611)*INDEX('2018_commission_structure'!$A$1:$I$4,MATCH($E611,'2018_commission_structure'!$A$1:$A$4,0),MATCH(O$1,'2018_commission_structure'!$A$1:$I$1,0))</f>
        <v>78000</v>
      </c>
      <c r="P611" s="9">
        <f>IF(H611&gt;I611, MIN(H611-I611, J611-I611)*INDEX('2018_commission_structure'!$A$1:$I$4,MATCH($E611,'2018_commission_structure'!$A$1:$A$4,0),MATCH(P$1,'2018_commission_structure'!$A$1:$I$1,0)),0)</f>
        <v>25500.000000000004</v>
      </c>
      <c r="Q611" s="9">
        <f>IF($H611&gt;J611, MIN($H611-J611, K611-J611)*INDEX('2018_commission_structure'!$A$1:$I$4,MATCH($E611,'2018_commission_structure'!$A$1:$A$4,0),MATCH(Q$1,'2018_commission_structure'!$A$1:$I$1,0)),0)</f>
        <v>31500</v>
      </c>
      <c r="R611" s="9">
        <f>IF($H611&gt;K611, MIN($H611-K611, L611-K611)*INDEX('2018_commission_structure'!$A$1:$I$4,MATCH($E611,'2018_commission_structure'!$A$1:$A$4,0),MATCH(R$1,'2018_commission_structure'!$A$1:$I$1,0)),0)</f>
        <v>16000.400000000001</v>
      </c>
      <c r="S611" s="9">
        <f>IF(H611&gt;L611,(H611-L611)*INDEX('2018_commission_structure'!$A$1:$I$4,MATCH($E611,'2018_commission_structure'!$A$1:$A$4,0),MATCH(S$1,'2018_commission_structure'!$A$1:$I$1,0)),0)</f>
        <v>0</v>
      </c>
      <c r="T611" s="9">
        <f t="shared" si="98"/>
        <v>151000.4</v>
      </c>
      <c r="U611" s="9">
        <f t="shared" si="100"/>
        <v>209343.4</v>
      </c>
      <c r="V611" s="9">
        <f>MIN($I611,$H611)*INDEX('Key Metrics'!$E$16:$N$19,MATCH($E611,'Key Metrics'!$E$16:$E$19,0),MATCH(V$1,'Key Metrics'!$E$16:$M$16,0))</f>
        <v>90000</v>
      </c>
      <c r="W611" s="9">
        <f>IF($H611&gt;I611, MIN($H611-I611, J611-I611)*INDEX('Key Metrics'!$E$16:$N$19,MATCH($E611,'Key Metrics'!$E$16:$E$19,0),MATCH(W$1,'Key Metrics'!$E$16:$M$16,0)),0)</f>
        <v>27000</v>
      </c>
      <c r="X611" s="9">
        <f>IF($H611&gt;J611, MIN($H611-J611, K611-J611)*INDEX('Key Metrics'!$E$16:$N$19,MATCH($E611,'Key Metrics'!$E$16:$E$19,0),MATCH(X$1,'Key Metrics'!$E$16:$M$16,0)),0)</f>
        <v>37500</v>
      </c>
      <c r="Y611" s="9">
        <f>IF($H611&gt;K611, MIN($H611-K611, L611-K611)*INDEX('Key Metrics'!$E$16:$N$19,MATCH($E611,'Key Metrics'!$E$16:$E$19,0),MATCH(Y$1,'Key Metrics'!$E$16:$M$16,0)),0)</f>
        <v>18462</v>
      </c>
      <c r="Z611" s="9">
        <f>IF($H611&gt;L611,($H611-L611)*INDEX('Key Metrics'!$E$16:$N$19,MATCH($E611,'Key Metrics'!$E$16:$E$19,0),MATCH(Z$1,'Key Metrics'!$E$16:$M$16,0)),0)</f>
        <v>0</v>
      </c>
      <c r="AA611" s="9">
        <f t="shared" si="99"/>
        <v>172962</v>
      </c>
      <c r="AB611" s="9">
        <f t="shared" si="101"/>
        <v>172963.60256666667</v>
      </c>
    </row>
    <row r="612" spans="1:28" x14ac:dyDescent="0.55000000000000004">
      <c r="A612" t="str">
        <f t="shared" si="92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COUNTIF(deals_closed!$D$2:$D$20001,Calculations!B133)</f>
        <v>16</v>
      </c>
      <c r="H612" s="7">
        <f>SUMIF(deals_closed!$D:$D,Calculations!B133,deals_closed!$C:$C)</f>
        <v>585898</v>
      </c>
      <c r="I612" s="5">
        <f>VLOOKUP(E612,'2018_commission_structure'!$A$1:$I$4,9,FALSE)</f>
        <v>500000</v>
      </c>
      <c r="J612" s="9">
        <f t="shared" si="93"/>
        <v>625000</v>
      </c>
      <c r="K612" s="10">
        <f t="shared" si="94"/>
        <v>750000</v>
      </c>
      <c r="L612" s="9">
        <f t="shared" si="95"/>
        <v>1000000</v>
      </c>
      <c r="M612" s="8">
        <f t="shared" si="96"/>
        <v>1.1717960000000001</v>
      </c>
      <c r="N612" t="str">
        <f t="shared" si="97"/>
        <v>100-125%</v>
      </c>
      <c r="O612" s="9">
        <f>MIN($H612,$I612)*INDEX('2018_commission_structure'!$A$1:$I$4,MATCH($E612,'2018_commission_structure'!$A$1:$A$4,0),MATCH(O$1,'2018_commission_structure'!$A$1:$I$1,0))</f>
        <v>50000</v>
      </c>
      <c r="P612" s="9">
        <f>IF(H612&gt;I612, MIN(H612-I612, J612-I612)*INDEX('2018_commission_structure'!$A$1:$I$4,MATCH($E612,'2018_commission_structure'!$A$1:$A$4,0),MATCH(P$1,'2018_commission_structure'!$A$1:$I$1,0)),0)</f>
        <v>12884.699999999999</v>
      </c>
      <c r="Q612" s="9">
        <f>IF($H612&gt;J612, MIN($H612-J612, K612-J612)*INDEX('2018_commission_structure'!$A$1:$I$4,MATCH($E612,'2018_commission_structure'!$A$1:$A$4,0),MATCH(Q$1,'2018_commission_structure'!$A$1:$I$1,0)),0)</f>
        <v>0</v>
      </c>
      <c r="R612" s="9">
        <f>IF($H612&gt;K612, MIN($H612-K612, L612-K612)*INDEX('2018_commission_structure'!$A$1:$I$4,MATCH($E612,'2018_commission_structure'!$A$1:$A$4,0),MATCH(R$1,'2018_commission_structure'!$A$1:$I$1,0)),0)</f>
        <v>0</v>
      </c>
      <c r="S612" s="9">
        <f>IF(H612&gt;L612,(H612-L612)*INDEX('2018_commission_structure'!$A$1:$I$4,MATCH($E612,'2018_commission_structure'!$A$1:$A$4,0),MATCH(S$1,'2018_commission_structure'!$A$1:$I$1,0)),0)</f>
        <v>0</v>
      </c>
      <c r="T612" s="9">
        <f t="shared" si="98"/>
        <v>62884.7</v>
      </c>
      <c r="U612" s="9">
        <f t="shared" si="100"/>
        <v>125753.7</v>
      </c>
      <c r="V612" s="9">
        <f>MIN($I612,$H612)*INDEX('Key Metrics'!$E$16:$N$19,MATCH($E612,'Key Metrics'!$E$16:$E$19,0),MATCH(V$1,'Key Metrics'!$E$16:$M$16,0))</f>
        <v>60000</v>
      </c>
      <c r="W612" s="9">
        <f>IF($H612&gt;I612, MIN($H612-I612, J612-I612)*INDEX('Key Metrics'!$E$16:$N$19,MATCH($E612,'Key Metrics'!$E$16:$E$19,0),MATCH(W$1,'Key Metrics'!$E$16:$M$16,0)),0)</f>
        <v>14602.660000000002</v>
      </c>
      <c r="X612" s="9">
        <f>IF($H612&gt;J612, MIN($H612-J612, K612-J612)*INDEX('Key Metrics'!$E$16:$N$19,MATCH($E612,'Key Metrics'!$E$16:$E$19,0),MATCH(X$1,'Key Metrics'!$E$16:$M$16,0)),0)</f>
        <v>0</v>
      </c>
      <c r="Y612" s="9">
        <f>IF($H612&gt;K612, MIN($H612-K612, L612-K612)*INDEX('Key Metrics'!$E$16:$N$19,MATCH($E612,'Key Metrics'!$E$16:$E$19,0),MATCH(Y$1,'Key Metrics'!$E$16:$M$16,0)),0)</f>
        <v>0</v>
      </c>
      <c r="Z612" s="9">
        <f>IF($H612&gt;L612,($H612-L612)*INDEX('Key Metrics'!$E$16:$N$19,MATCH($E612,'Key Metrics'!$E$16:$E$19,0),MATCH(Z$1,'Key Metrics'!$E$16:$M$16,0)),0)</f>
        <v>0</v>
      </c>
      <c r="AA612" s="9">
        <f t="shared" si="99"/>
        <v>74602.66</v>
      </c>
      <c r="AB612" s="9">
        <f t="shared" si="101"/>
        <v>74603.831795999999</v>
      </c>
    </row>
    <row r="613" spans="1:28" x14ac:dyDescent="0.55000000000000004">
      <c r="A613" t="str">
        <f t="shared" si="92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COUNTIF(deals_closed!$D$2:$D$20001,Calculations!B344)</f>
        <v>17</v>
      </c>
      <c r="H613" s="7">
        <f>SUMIF(deals_closed!$D:$D,Calculations!B344,deals_closed!$C:$C)</f>
        <v>638311</v>
      </c>
      <c r="I613" s="5">
        <f>VLOOKUP(E613,'2018_commission_structure'!$A$1:$I$4,9,FALSE)</f>
        <v>750000</v>
      </c>
      <c r="J613" s="9">
        <f t="shared" si="93"/>
        <v>937500</v>
      </c>
      <c r="K613" s="10">
        <f t="shared" si="94"/>
        <v>1125000</v>
      </c>
      <c r="L613" s="9">
        <f t="shared" si="95"/>
        <v>1500000</v>
      </c>
      <c r="M613" s="8">
        <f t="shared" si="96"/>
        <v>0.85108133333333336</v>
      </c>
      <c r="N613" t="str">
        <f t="shared" si="97"/>
        <v>0-100%</v>
      </c>
      <c r="O613" s="9">
        <f>MIN($H613,$I613)*INDEX('2018_commission_structure'!$A$1:$I$4,MATCH($E613,'2018_commission_structure'!$A$1:$A$4,0),MATCH(O$1,'2018_commission_structure'!$A$1:$I$1,0))</f>
        <v>95746.65</v>
      </c>
      <c r="P613" s="9">
        <f>IF(H613&gt;I613, MIN(H613-I613, J613-I613)*INDEX('2018_commission_structure'!$A$1:$I$4,MATCH($E613,'2018_commission_structure'!$A$1:$A$4,0),MATCH(P$1,'2018_commission_structure'!$A$1:$I$1,0)),0)</f>
        <v>0</v>
      </c>
      <c r="Q613" s="9">
        <f>IF($H613&gt;J613, MIN($H613-J613, K613-J613)*INDEX('2018_commission_structure'!$A$1:$I$4,MATCH($E613,'2018_commission_structure'!$A$1:$A$4,0),MATCH(Q$1,'2018_commission_structure'!$A$1:$I$1,0)),0)</f>
        <v>0</v>
      </c>
      <c r="R613" s="9">
        <f>IF($H613&gt;K613, MIN($H613-K613, L613-K613)*INDEX('2018_commission_structure'!$A$1:$I$4,MATCH($E613,'2018_commission_structure'!$A$1:$A$4,0),MATCH(R$1,'2018_commission_structure'!$A$1:$I$1,0)),0)</f>
        <v>0</v>
      </c>
      <c r="S613" s="9">
        <f>IF(H613&gt;L613,(H613-L613)*INDEX('2018_commission_structure'!$A$1:$I$4,MATCH($E613,'2018_commission_structure'!$A$1:$A$4,0),MATCH(S$1,'2018_commission_structure'!$A$1:$I$1,0)),0)</f>
        <v>0</v>
      </c>
      <c r="T613" s="9">
        <f t="shared" si="98"/>
        <v>95746.65</v>
      </c>
      <c r="U613" s="9">
        <f t="shared" si="100"/>
        <v>194526.65</v>
      </c>
      <c r="V613" s="9">
        <f>MIN($I613,$H613)*INDEX('Key Metrics'!$E$16:$N$19,MATCH($E613,'Key Metrics'!$E$16:$E$19,0),MATCH(V$1,'Key Metrics'!$E$16:$M$16,0))</f>
        <v>95746.65</v>
      </c>
      <c r="W613" s="9">
        <f>IF($H613&gt;I613, MIN($H613-I613, J613-I613)*INDEX('Key Metrics'!$E$16:$N$19,MATCH($E613,'Key Metrics'!$E$16:$E$19,0),MATCH(W$1,'Key Metrics'!$E$16:$M$16,0)),0)</f>
        <v>0</v>
      </c>
      <c r="X613" s="9">
        <f>IF($H613&gt;J613, MIN($H613-J613, K613-J613)*INDEX('Key Metrics'!$E$16:$N$19,MATCH($E613,'Key Metrics'!$E$16:$E$19,0),MATCH(X$1,'Key Metrics'!$E$16:$M$16,0)),0)</f>
        <v>0</v>
      </c>
      <c r="Y613" s="9">
        <f>IF($H613&gt;K613, MIN($H613-K613, L613-K613)*INDEX('Key Metrics'!$E$16:$N$19,MATCH($E613,'Key Metrics'!$E$16:$E$19,0),MATCH(Y$1,'Key Metrics'!$E$16:$M$16,0)),0)</f>
        <v>0</v>
      </c>
      <c r="Z613" s="9">
        <f>IF($H613&gt;L613,($H613-L613)*INDEX('Key Metrics'!$E$16:$N$19,MATCH($E613,'Key Metrics'!$E$16:$E$19,0),MATCH(Z$1,'Key Metrics'!$E$16:$M$16,0)),0)</f>
        <v>0</v>
      </c>
      <c r="AA613" s="9">
        <f t="shared" si="99"/>
        <v>95746.65</v>
      </c>
      <c r="AB613" s="9">
        <f t="shared" si="101"/>
        <v>95747.501081333321</v>
      </c>
    </row>
    <row r="614" spans="1:28" x14ac:dyDescent="0.55000000000000004">
      <c r="A614" t="str">
        <f t="shared" si="92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COUNTIF(deals_closed!$D$2:$D$20001,Calculations!B650)</f>
        <v>19</v>
      </c>
      <c r="H614" s="7">
        <f>SUMIF(deals_closed!$D:$D,Calculations!B650,deals_closed!$C:$C)</f>
        <v>619204</v>
      </c>
      <c r="I614" s="5">
        <f>VLOOKUP(E614,'2018_commission_structure'!$A$1:$I$4,9,FALSE)</f>
        <v>600000</v>
      </c>
      <c r="J614" s="9">
        <f t="shared" si="93"/>
        <v>750000</v>
      </c>
      <c r="K614" s="10">
        <f t="shared" si="94"/>
        <v>900000</v>
      </c>
      <c r="L614" s="9">
        <f t="shared" si="95"/>
        <v>1200000</v>
      </c>
      <c r="M614" s="8">
        <f t="shared" si="96"/>
        <v>1.0320066666666667</v>
      </c>
      <c r="N614" t="str">
        <f t="shared" si="97"/>
        <v>100-125%</v>
      </c>
      <c r="O614" s="9">
        <f>MIN($H614,$I614)*INDEX('2018_commission_structure'!$A$1:$I$4,MATCH($E614,'2018_commission_structure'!$A$1:$A$4,0),MATCH(O$1,'2018_commission_structure'!$A$1:$I$1,0))</f>
        <v>78000</v>
      </c>
      <c r="P614" s="9">
        <f>IF(H614&gt;I614, MIN(H614-I614, J614-I614)*INDEX('2018_commission_structure'!$A$1:$I$4,MATCH($E614,'2018_commission_structure'!$A$1:$A$4,0),MATCH(P$1,'2018_commission_structure'!$A$1:$I$1,0)),0)</f>
        <v>3264.6800000000003</v>
      </c>
      <c r="Q614" s="9">
        <f>IF($H614&gt;J614, MIN($H614-J614, K614-J614)*INDEX('2018_commission_structure'!$A$1:$I$4,MATCH($E614,'2018_commission_structure'!$A$1:$A$4,0),MATCH(Q$1,'2018_commission_structure'!$A$1:$I$1,0)),0)</f>
        <v>0</v>
      </c>
      <c r="R614" s="9">
        <f>IF($H614&gt;K614, MIN($H614-K614, L614-K614)*INDEX('2018_commission_structure'!$A$1:$I$4,MATCH($E614,'2018_commission_structure'!$A$1:$A$4,0),MATCH(R$1,'2018_commission_structure'!$A$1:$I$1,0)),0)</f>
        <v>0</v>
      </c>
      <c r="S614" s="9">
        <f>IF(H614&gt;L614,(H614-L614)*INDEX('2018_commission_structure'!$A$1:$I$4,MATCH($E614,'2018_commission_structure'!$A$1:$A$4,0),MATCH(S$1,'2018_commission_structure'!$A$1:$I$1,0)),0)</f>
        <v>0</v>
      </c>
      <c r="T614" s="9">
        <f t="shared" si="98"/>
        <v>81264.679999999993</v>
      </c>
      <c r="U614" s="9">
        <f t="shared" si="100"/>
        <v>150988.68</v>
      </c>
      <c r="V614" s="9">
        <f>MIN($I614,$H614)*INDEX('Key Metrics'!$E$16:$N$19,MATCH($E614,'Key Metrics'!$E$16:$E$19,0),MATCH(V$1,'Key Metrics'!$E$16:$M$16,0))</f>
        <v>90000</v>
      </c>
      <c r="W614" s="9">
        <f>IF($H614&gt;I614, MIN($H614-I614, J614-I614)*INDEX('Key Metrics'!$E$16:$N$19,MATCH($E614,'Key Metrics'!$E$16:$E$19,0),MATCH(W$1,'Key Metrics'!$E$16:$M$16,0)),0)</f>
        <v>3456.72</v>
      </c>
      <c r="X614" s="9">
        <f>IF($H614&gt;J614, MIN($H614-J614, K614-J614)*INDEX('Key Metrics'!$E$16:$N$19,MATCH($E614,'Key Metrics'!$E$16:$E$19,0),MATCH(X$1,'Key Metrics'!$E$16:$M$16,0)),0)</f>
        <v>0</v>
      </c>
      <c r="Y614" s="9">
        <f>IF($H614&gt;K614, MIN($H614-K614, L614-K614)*INDEX('Key Metrics'!$E$16:$N$19,MATCH($E614,'Key Metrics'!$E$16:$E$19,0),MATCH(Y$1,'Key Metrics'!$E$16:$M$16,0)),0)</f>
        <v>0</v>
      </c>
      <c r="Z614" s="9">
        <f>IF($H614&gt;L614,($H614-L614)*INDEX('Key Metrics'!$E$16:$N$19,MATCH($E614,'Key Metrics'!$E$16:$E$19,0),MATCH(Z$1,'Key Metrics'!$E$16:$M$16,0)),0)</f>
        <v>0</v>
      </c>
      <c r="AA614" s="9">
        <f t="shared" si="99"/>
        <v>93456.72</v>
      </c>
      <c r="AB614" s="9">
        <f t="shared" si="101"/>
        <v>93457.752006666662</v>
      </c>
    </row>
    <row r="615" spans="1:28" x14ac:dyDescent="0.55000000000000004">
      <c r="A615" t="str">
        <f t="shared" si="92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COUNTIF(deals_closed!$D$2:$D$20001,Calculations!B856)</f>
        <v>13</v>
      </c>
      <c r="H615" s="7">
        <f>SUMIF(deals_closed!$D:$D,Calculations!B856,deals_closed!$C:$C)</f>
        <v>468615</v>
      </c>
      <c r="I615" s="5">
        <f>VLOOKUP(E615,'2018_commission_structure'!$A$1:$I$4,9,FALSE)</f>
        <v>500000</v>
      </c>
      <c r="J615" s="9">
        <f t="shared" si="93"/>
        <v>625000</v>
      </c>
      <c r="K615" s="10">
        <f t="shared" si="94"/>
        <v>750000</v>
      </c>
      <c r="L615" s="9">
        <f t="shared" si="95"/>
        <v>1000000</v>
      </c>
      <c r="M615" s="8">
        <f t="shared" si="96"/>
        <v>0.93723000000000001</v>
      </c>
      <c r="N615" t="str">
        <f t="shared" si="97"/>
        <v>0-100%</v>
      </c>
      <c r="O615" s="9">
        <f>MIN($H615,$I615)*INDEX('2018_commission_structure'!$A$1:$I$4,MATCH($E615,'2018_commission_structure'!$A$1:$A$4,0),MATCH(O$1,'2018_commission_structure'!$A$1:$I$1,0))</f>
        <v>46861.5</v>
      </c>
      <c r="P615" s="9">
        <f>IF(H615&gt;I615, MIN(H615-I615, J615-I615)*INDEX('2018_commission_structure'!$A$1:$I$4,MATCH($E615,'2018_commission_structure'!$A$1:$A$4,0),MATCH(P$1,'2018_commission_structure'!$A$1:$I$1,0)),0)</f>
        <v>0</v>
      </c>
      <c r="Q615" s="9">
        <f>IF($H615&gt;J615, MIN($H615-J615, K615-J615)*INDEX('2018_commission_structure'!$A$1:$I$4,MATCH($E615,'2018_commission_structure'!$A$1:$A$4,0),MATCH(Q$1,'2018_commission_structure'!$A$1:$I$1,0)),0)</f>
        <v>0</v>
      </c>
      <c r="R615" s="9">
        <f>IF($H615&gt;K615, MIN($H615-K615, L615-K615)*INDEX('2018_commission_structure'!$A$1:$I$4,MATCH($E615,'2018_commission_structure'!$A$1:$A$4,0),MATCH(R$1,'2018_commission_structure'!$A$1:$I$1,0)),0)</f>
        <v>0</v>
      </c>
      <c r="S615" s="9">
        <f>IF(H615&gt;L615,(H615-L615)*INDEX('2018_commission_structure'!$A$1:$I$4,MATCH($E615,'2018_commission_structure'!$A$1:$A$4,0),MATCH(S$1,'2018_commission_structure'!$A$1:$I$1,0)),0)</f>
        <v>0</v>
      </c>
      <c r="T615" s="9">
        <f t="shared" si="98"/>
        <v>46861.5</v>
      </c>
      <c r="U615" s="9">
        <f t="shared" si="100"/>
        <v>88148.5</v>
      </c>
      <c r="V615" s="9">
        <f>MIN($I615,$H615)*INDEX('Key Metrics'!$E$16:$N$19,MATCH($E615,'Key Metrics'!$E$16:$E$19,0),MATCH(V$1,'Key Metrics'!$E$16:$M$16,0))</f>
        <v>56233.799999999996</v>
      </c>
      <c r="W615" s="9">
        <f>IF($H615&gt;I615, MIN($H615-I615, J615-I615)*INDEX('Key Metrics'!$E$16:$N$19,MATCH($E615,'Key Metrics'!$E$16:$E$19,0),MATCH(W$1,'Key Metrics'!$E$16:$M$16,0)),0)</f>
        <v>0</v>
      </c>
      <c r="X615" s="9">
        <f>IF($H615&gt;J615, MIN($H615-J615, K615-J615)*INDEX('Key Metrics'!$E$16:$N$19,MATCH($E615,'Key Metrics'!$E$16:$E$19,0),MATCH(X$1,'Key Metrics'!$E$16:$M$16,0)),0)</f>
        <v>0</v>
      </c>
      <c r="Y615" s="9">
        <f>IF($H615&gt;K615, MIN($H615-K615, L615-K615)*INDEX('Key Metrics'!$E$16:$N$19,MATCH($E615,'Key Metrics'!$E$16:$E$19,0),MATCH(Y$1,'Key Metrics'!$E$16:$M$16,0)),0)</f>
        <v>0</v>
      </c>
      <c r="Z615" s="9">
        <f>IF($H615&gt;L615,($H615-L615)*INDEX('Key Metrics'!$E$16:$N$19,MATCH($E615,'Key Metrics'!$E$16:$E$19,0),MATCH(Z$1,'Key Metrics'!$E$16:$M$16,0)),0)</f>
        <v>0</v>
      </c>
      <c r="AA615" s="9">
        <f t="shared" si="99"/>
        <v>56233.799999999996</v>
      </c>
      <c r="AB615" s="9">
        <f t="shared" si="101"/>
        <v>56234.737229999999</v>
      </c>
    </row>
    <row r="616" spans="1:28" x14ac:dyDescent="0.55000000000000004">
      <c r="A616" t="str">
        <f t="shared" si="92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COUNTIF(deals_closed!$D$2:$D$20001,Calculations!B765)</f>
        <v>26</v>
      </c>
      <c r="H616" s="7">
        <f>SUMIF(deals_closed!$D:$D,Calculations!B765,deals_closed!$C:$C)</f>
        <v>947743</v>
      </c>
      <c r="I616" s="5">
        <f>VLOOKUP(E616,'2018_commission_structure'!$A$1:$I$4,9,FALSE)</f>
        <v>600000</v>
      </c>
      <c r="J616" s="9">
        <f t="shared" si="93"/>
        <v>750000</v>
      </c>
      <c r="K616" s="10">
        <f t="shared" si="94"/>
        <v>900000</v>
      </c>
      <c r="L616" s="9">
        <f t="shared" si="95"/>
        <v>1200000</v>
      </c>
      <c r="M616" s="8">
        <f t="shared" si="96"/>
        <v>1.5795716666666666</v>
      </c>
      <c r="N616" t="str">
        <f t="shared" si="97"/>
        <v>150-200%</v>
      </c>
      <c r="O616" s="9">
        <f>MIN($H616,$I616)*INDEX('2018_commission_structure'!$A$1:$I$4,MATCH($E616,'2018_commission_structure'!$A$1:$A$4,0),MATCH(O$1,'2018_commission_structure'!$A$1:$I$1,0))</f>
        <v>78000</v>
      </c>
      <c r="P616" s="9">
        <f>IF(H616&gt;I616, MIN(H616-I616, J616-I616)*INDEX('2018_commission_structure'!$A$1:$I$4,MATCH($E616,'2018_commission_structure'!$A$1:$A$4,0),MATCH(P$1,'2018_commission_structure'!$A$1:$I$1,0)),0)</f>
        <v>25500.000000000004</v>
      </c>
      <c r="Q616" s="9">
        <f>IF($H616&gt;J616, MIN($H616-J616, K616-J616)*INDEX('2018_commission_structure'!$A$1:$I$4,MATCH($E616,'2018_commission_structure'!$A$1:$A$4,0),MATCH(Q$1,'2018_commission_structure'!$A$1:$I$1,0)),0)</f>
        <v>31500</v>
      </c>
      <c r="R616" s="9">
        <f>IF($H616&gt;K616, MIN($H616-K616, L616-K616)*INDEX('2018_commission_structure'!$A$1:$I$4,MATCH($E616,'2018_commission_structure'!$A$1:$A$4,0),MATCH(R$1,'2018_commission_structure'!$A$1:$I$1,0)),0)</f>
        <v>12413.18</v>
      </c>
      <c r="S616" s="9">
        <f>IF(H616&gt;L616,(H616-L616)*INDEX('2018_commission_structure'!$A$1:$I$4,MATCH($E616,'2018_commission_structure'!$A$1:$A$4,0),MATCH(S$1,'2018_commission_structure'!$A$1:$I$1,0)),0)</f>
        <v>0</v>
      </c>
      <c r="T616" s="9">
        <f t="shared" si="98"/>
        <v>147413.18</v>
      </c>
      <c r="U616" s="9">
        <f t="shared" si="100"/>
        <v>219477.18</v>
      </c>
      <c r="V616" s="9">
        <f>MIN($I616,$H616)*INDEX('Key Metrics'!$E$16:$N$19,MATCH($E616,'Key Metrics'!$E$16:$E$19,0),MATCH(V$1,'Key Metrics'!$E$16:$M$16,0))</f>
        <v>90000</v>
      </c>
      <c r="W616" s="9">
        <f>IF($H616&gt;I616, MIN($H616-I616, J616-I616)*INDEX('Key Metrics'!$E$16:$N$19,MATCH($E616,'Key Metrics'!$E$16:$E$19,0),MATCH(W$1,'Key Metrics'!$E$16:$M$16,0)),0)</f>
        <v>27000</v>
      </c>
      <c r="X616" s="9">
        <f>IF($H616&gt;J616, MIN($H616-J616, K616-J616)*INDEX('Key Metrics'!$E$16:$N$19,MATCH($E616,'Key Metrics'!$E$16:$E$19,0),MATCH(X$1,'Key Metrics'!$E$16:$M$16,0)),0)</f>
        <v>37500</v>
      </c>
      <c r="Y616" s="9">
        <f>IF($H616&gt;K616, MIN($H616-K616, L616-K616)*INDEX('Key Metrics'!$E$16:$N$19,MATCH($E616,'Key Metrics'!$E$16:$E$19,0),MATCH(Y$1,'Key Metrics'!$E$16:$M$16,0)),0)</f>
        <v>14322.9</v>
      </c>
      <c r="Z616" s="9">
        <f>IF($H616&gt;L616,($H616-L616)*INDEX('Key Metrics'!$E$16:$N$19,MATCH($E616,'Key Metrics'!$E$16:$E$19,0),MATCH(Z$1,'Key Metrics'!$E$16:$M$16,0)),0)</f>
        <v>0</v>
      </c>
      <c r="AA616" s="9">
        <f t="shared" si="99"/>
        <v>168822.9</v>
      </c>
      <c r="AB616" s="9">
        <f t="shared" si="101"/>
        <v>168824.47957166666</v>
      </c>
    </row>
    <row r="617" spans="1:28" x14ac:dyDescent="0.55000000000000004">
      <c r="A617" t="str">
        <f t="shared" si="92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COUNTIF(deals_closed!$D$2:$D$20001,Calculations!B718)</f>
        <v>28</v>
      </c>
      <c r="H617" s="7">
        <f>SUMIF(deals_closed!$D:$D,Calculations!B718,deals_closed!$C:$C)</f>
        <v>966079</v>
      </c>
      <c r="I617" s="5">
        <f>VLOOKUP(E617,'2018_commission_structure'!$A$1:$I$4,9,FALSE)</f>
        <v>750000</v>
      </c>
      <c r="J617" s="9">
        <f t="shared" si="93"/>
        <v>937500</v>
      </c>
      <c r="K617" s="10">
        <f t="shared" si="94"/>
        <v>1125000</v>
      </c>
      <c r="L617" s="9">
        <f t="shared" si="95"/>
        <v>1500000</v>
      </c>
      <c r="M617" s="8">
        <f t="shared" si="96"/>
        <v>1.2881053333333334</v>
      </c>
      <c r="N617" t="str">
        <f t="shared" si="97"/>
        <v>125-150%</v>
      </c>
      <c r="O617" s="9">
        <f>MIN($H617,$I617)*INDEX('2018_commission_structure'!$A$1:$I$4,MATCH($E617,'2018_commission_structure'!$A$1:$A$4,0),MATCH(O$1,'2018_commission_structure'!$A$1:$I$1,0))</f>
        <v>112500</v>
      </c>
      <c r="P617" s="9">
        <f>IF(H617&gt;I617, MIN(H617-I617, J617-I617)*INDEX('2018_commission_structure'!$A$1:$I$4,MATCH($E617,'2018_commission_structure'!$A$1:$A$4,0),MATCH(P$1,'2018_commission_structure'!$A$1:$I$1,0)),0)</f>
        <v>35625</v>
      </c>
      <c r="Q617" s="9">
        <f>IF($H617&gt;J617, MIN($H617-J617, K617-J617)*INDEX('2018_commission_structure'!$A$1:$I$4,MATCH($E617,'2018_commission_structure'!$A$1:$A$4,0),MATCH(Q$1,'2018_commission_structure'!$A$1:$I$1,0)),0)</f>
        <v>6573.17</v>
      </c>
      <c r="R617" s="9">
        <f>IF($H617&gt;K617, MIN($H617-K617, L617-K617)*INDEX('2018_commission_structure'!$A$1:$I$4,MATCH($E617,'2018_commission_structure'!$A$1:$A$4,0),MATCH(R$1,'2018_commission_structure'!$A$1:$I$1,0)),0)</f>
        <v>0</v>
      </c>
      <c r="S617" s="9">
        <f>IF(H617&gt;L617,(H617-L617)*INDEX('2018_commission_structure'!$A$1:$I$4,MATCH($E617,'2018_commission_structure'!$A$1:$A$4,0),MATCH(S$1,'2018_commission_structure'!$A$1:$I$1,0)),0)</f>
        <v>0</v>
      </c>
      <c r="T617" s="9">
        <f t="shared" si="98"/>
        <v>154698.17000000001</v>
      </c>
      <c r="U617" s="9">
        <f t="shared" si="100"/>
        <v>243534.17</v>
      </c>
      <c r="V617" s="9">
        <f>MIN($I617,$H617)*INDEX('Key Metrics'!$E$16:$N$19,MATCH($E617,'Key Metrics'!$E$16:$E$19,0),MATCH(V$1,'Key Metrics'!$E$16:$M$16,0))</f>
        <v>112500</v>
      </c>
      <c r="W617" s="9">
        <f>IF($H617&gt;I617, MIN($H617-I617, J617-I617)*INDEX('Key Metrics'!$E$16:$N$19,MATCH($E617,'Key Metrics'!$E$16:$E$19,0),MATCH(W$1,'Key Metrics'!$E$16:$M$16,0)),0)</f>
        <v>41250</v>
      </c>
      <c r="X617" s="9">
        <f>IF($H617&gt;J617, MIN($H617-J617, K617-J617)*INDEX('Key Metrics'!$E$16:$N$19,MATCH($E617,'Key Metrics'!$E$16:$E$19,0),MATCH(X$1,'Key Metrics'!$E$16:$M$16,0)),0)</f>
        <v>7144.75</v>
      </c>
      <c r="Y617" s="9">
        <f>IF($H617&gt;K617, MIN($H617-K617, L617-K617)*INDEX('Key Metrics'!$E$16:$N$19,MATCH($E617,'Key Metrics'!$E$16:$E$19,0),MATCH(Y$1,'Key Metrics'!$E$16:$M$16,0)),0)</f>
        <v>0</v>
      </c>
      <c r="Z617" s="9">
        <f>IF($H617&gt;L617,($H617-L617)*INDEX('Key Metrics'!$E$16:$N$19,MATCH($E617,'Key Metrics'!$E$16:$E$19,0),MATCH(Z$1,'Key Metrics'!$E$16:$M$16,0)),0)</f>
        <v>0</v>
      </c>
      <c r="AA617" s="9">
        <f t="shared" si="99"/>
        <v>160894.75</v>
      </c>
      <c r="AB617" s="9">
        <f t="shared" si="101"/>
        <v>160896.03810533334</v>
      </c>
    </row>
    <row r="618" spans="1:28" x14ac:dyDescent="0.55000000000000004">
      <c r="A618" t="str">
        <f t="shared" si="92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COUNTIF(deals_closed!$D$2:$D$20001,Calculations!B891)</f>
        <v>24</v>
      </c>
      <c r="H618" s="7">
        <f>SUMIF(deals_closed!$D:$D,Calculations!B891,deals_closed!$C:$C)</f>
        <v>898865</v>
      </c>
      <c r="I618" s="5">
        <f>VLOOKUP(E618,'2018_commission_structure'!$A$1:$I$4,9,FALSE)</f>
        <v>750000</v>
      </c>
      <c r="J618" s="9">
        <f t="shared" si="93"/>
        <v>937500</v>
      </c>
      <c r="K618" s="10">
        <f t="shared" si="94"/>
        <v>1125000</v>
      </c>
      <c r="L618" s="9">
        <f t="shared" si="95"/>
        <v>1500000</v>
      </c>
      <c r="M618" s="8">
        <f t="shared" si="96"/>
        <v>1.1984866666666667</v>
      </c>
      <c r="N618" t="str">
        <f t="shared" si="97"/>
        <v>100-125%</v>
      </c>
      <c r="O618" s="9">
        <f>MIN($H618,$I618)*INDEX('2018_commission_structure'!$A$1:$I$4,MATCH($E618,'2018_commission_structure'!$A$1:$A$4,0),MATCH(O$1,'2018_commission_structure'!$A$1:$I$1,0))</f>
        <v>112500</v>
      </c>
      <c r="P618" s="9">
        <f>IF(H618&gt;I618, MIN(H618-I618, J618-I618)*INDEX('2018_commission_structure'!$A$1:$I$4,MATCH($E618,'2018_commission_structure'!$A$1:$A$4,0),MATCH(P$1,'2018_commission_structure'!$A$1:$I$1,0)),0)</f>
        <v>28284.35</v>
      </c>
      <c r="Q618" s="9">
        <f>IF($H618&gt;J618, MIN($H618-J618, K618-J618)*INDEX('2018_commission_structure'!$A$1:$I$4,MATCH($E618,'2018_commission_structure'!$A$1:$A$4,0),MATCH(Q$1,'2018_commission_structure'!$A$1:$I$1,0)),0)</f>
        <v>0</v>
      </c>
      <c r="R618" s="9">
        <f>IF($H618&gt;K618, MIN($H618-K618, L618-K618)*INDEX('2018_commission_structure'!$A$1:$I$4,MATCH($E618,'2018_commission_structure'!$A$1:$A$4,0),MATCH(R$1,'2018_commission_structure'!$A$1:$I$1,0)),0)</f>
        <v>0</v>
      </c>
      <c r="S618" s="9">
        <f>IF(H618&gt;L618,(H618-L618)*INDEX('2018_commission_structure'!$A$1:$I$4,MATCH($E618,'2018_commission_structure'!$A$1:$A$4,0),MATCH(S$1,'2018_commission_structure'!$A$1:$I$1,0)),0)</f>
        <v>0</v>
      </c>
      <c r="T618" s="9">
        <f t="shared" si="98"/>
        <v>140784.35</v>
      </c>
      <c r="U618" s="9">
        <f t="shared" si="100"/>
        <v>226167.35</v>
      </c>
      <c r="V618" s="9">
        <f>MIN($I618,$H618)*INDEX('Key Metrics'!$E$16:$N$19,MATCH($E618,'Key Metrics'!$E$16:$E$19,0),MATCH(V$1,'Key Metrics'!$E$16:$M$16,0))</f>
        <v>112500</v>
      </c>
      <c r="W618" s="9">
        <f>IF($H618&gt;I618, MIN($H618-I618, J618-I618)*INDEX('Key Metrics'!$E$16:$N$19,MATCH($E618,'Key Metrics'!$E$16:$E$19,0),MATCH(W$1,'Key Metrics'!$E$16:$M$16,0)),0)</f>
        <v>32750.3</v>
      </c>
      <c r="X618" s="9">
        <f>IF($H618&gt;J618, MIN($H618-J618, K618-J618)*INDEX('Key Metrics'!$E$16:$N$19,MATCH($E618,'Key Metrics'!$E$16:$E$19,0),MATCH(X$1,'Key Metrics'!$E$16:$M$16,0)),0)</f>
        <v>0</v>
      </c>
      <c r="Y618" s="9">
        <f>IF($H618&gt;K618, MIN($H618-K618, L618-K618)*INDEX('Key Metrics'!$E$16:$N$19,MATCH($E618,'Key Metrics'!$E$16:$E$19,0),MATCH(Y$1,'Key Metrics'!$E$16:$M$16,0)),0)</f>
        <v>0</v>
      </c>
      <c r="Z618" s="9">
        <f>IF($H618&gt;L618,($H618-L618)*INDEX('Key Metrics'!$E$16:$N$19,MATCH($E618,'Key Metrics'!$E$16:$E$19,0),MATCH(Z$1,'Key Metrics'!$E$16:$M$16,0)),0)</f>
        <v>0</v>
      </c>
      <c r="AA618" s="9">
        <f t="shared" si="99"/>
        <v>145250.29999999999</v>
      </c>
      <c r="AB618" s="9">
        <f t="shared" si="101"/>
        <v>145251.49848666665</v>
      </c>
    </row>
    <row r="619" spans="1:28" x14ac:dyDescent="0.55000000000000004">
      <c r="A619" t="str">
        <f t="shared" si="92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COUNTIF(deals_closed!$D$2:$D$20001,Calculations!B745)</f>
        <v>19</v>
      </c>
      <c r="H619" s="7">
        <f>SUMIF(deals_closed!$D:$D,Calculations!B745,deals_closed!$C:$C)</f>
        <v>549569</v>
      </c>
      <c r="I619" s="5">
        <f>VLOOKUP(E619,'2018_commission_structure'!$A$1:$I$4,9,FALSE)</f>
        <v>750000</v>
      </c>
      <c r="J619" s="9">
        <f t="shared" si="93"/>
        <v>937500</v>
      </c>
      <c r="K619" s="10">
        <f t="shared" si="94"/>
        <v>1125000</v>
      </c>
      <c r="L619" s="9">
        <f t="shared" si="95"/>
        <v>1500000</v>
      </c>
      <c r="M619" s="8">
        <f t="shared" si="96"/>
        <v>0.73275866666666667</v>
      </c>
      <c r="N619" t="str">
        <f t="shared" si="97"/>
        <v>0-100%</v>
      </c>
      <c r="O619" s="9">
        <f>MIN($H619,$I619)*INDEX('2018_commission_structure'!$A$1:$I$4,MATCH($E619,'2018_commission_structure'!$A$1:$A$4,0),MATCH(O$1,'2018_commission_structure'!$A$1:$I$1,0))</f>
        <v>82435.349999999991</v>
      </c>
      <c r="P619" s="9">
        <f>IF(H619&gt;I619, MIN(H619-I619, J619-I619)*INDEX('2018_commission_structure'!$A$1:$I$4,MATCH($E619,'2018_commission_structure'!$A$1:$A$4,0),MATCH(P$1,'2018_commission_structure'!$A$1:$I$1,0)),0)</f>
        <v>0</v>
      </c>
      <c r="Q619" s="9">
        <f>IF($H619&gt;J619, MIN($H619-J619, K619-J619)*INDEX('2018_commission_structure'!$A$1:$I$4,MATCH($E619,'2018_commission_structure'!$A$1:$A$4,0),MATCH(Q$1,'2018_commission_structure'!$A$1:$I$1,0)),0)</f>
        <v>0</v>
      </c>
      <c r="R619" s="9">
        <f>IF($H619&gt;K619, MIN($H619-K619, L619-K619)*INDEX('2018_commission_structure'!$A$1:$I$4,MATCH($E619,'2018_commission_structure'!$A$1:$A$4,0),MATCH(R$1,'2018_commission_structure'!$A$1:$I$1,0)),0)</f>
        <v>0</v>
      </c>
      <c r="S619" s="9">
        <f>IF(H619&gt;L619,(H619-L619)*INDEX('2018_commission_structure'!$A$1:$I$4,MATCH($E619,'2018_commission_structure'!$A$1:$A$4,0),MATCH(S$1,'2018_commission_structure'!$A$1:$I$1,0)),0)</f>
        <v>0</v>
      </c>
      <c r="T619" s="9">
        <f t="shared" si="98"/>
        <v>82435.349999999991</v>
      </c>
      <c r="U619" s="9">
        <f t="shared" si="100"/>
        <v>170258.34999999998</v>
      </c>
      <c r="V619" s="9">
        <f>MIN($I619,$H619)*INDEX('Key Metrics'!$E$16:$N$19,MATCH($E619,'Key Metrics'!$E$16:$E$19,0),MATCH(V$1,'Key Metrics'!$E$16:$M$16,0))</f>
        <v>82435.349999999991</v>
      </c>
      <c r="W619" s="9">
        <f>IF($H619&gt;I619, MIN($H619-I619, J619-I619)*INDEX('Key Metrics'!$E$16:$N$19,MATCH($E619,'Key Metrics'!$E$16:$E$19,0),MATCH(W$1,'Key Metrics'!$E$16:$M$16,0)),0)</f>
        <v>0</v>
      </c>
      <c r="X619" s="9">
        <f>IF($H619&gt;J619, MIN($H619-J619, K619-J619)*INDEX('Key Metrics'!$E$16:$N$19,MATCH($E619,'Key Metrics'!$E$16:$E$19,0),MATCH(X$1,'Key Metrics'!$E$16:$M$16,0)),0)</f>
        <v>0</v>
      </c>
      <c r="Y619" s="9">
        <f>IF($H619&gt;K619, MIN($H619-K619, L619-K619)*INDEX('Key Metrics'!$E$16:$N$19,MATCH($E619,'Key Metrics'!$E$16:$E$19,0),MATCH(Y$1,'Key Metrics'!$E$16:$M$16,0)),0)</f>
        <v>0</v>
      </c>
      <c r="Z619" s="9">
        <f>IF($H619&gt;L619,($H619-L619)*INDEX('Key Metrics'!$E$16:$N$19,MATCH($E619,'Key Metrics'!$E$16:$E$19,0),MATCH(Z$1,'Key Metrics'!$E$16:$M$16,0)),0)</f>
        <v>0</v>
      </c>
      <c r="AA619" s="9">
        <f t="shared" si="99"/>
        <v>82435.349999999991</v>
      </c>
      <c r="AB619" s="9">
        <f t="shared" si="101"/>
        <v>82436.082758666656</v>
      </c>
    </row>
    <row r="620" spans="1:28" x14ac:dyDescent="0.55000000000000004">
      <c r="A620" t="str">
        <f t="shared" si="92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COUNTIF(deals_closed!$D$2:$D$20001,Calculations!B190)</f>
        <v>18</v>
      </c>
      <c r="H620" s="7">
        <f>SUMIF(deals_closed!$D:$D,Calculations!B190,deals_closed!$C:$C)</f>
        <v>719283</v>
      </c>
      <c r="I620" s="5">
        <f>VLOOKUP(E620,'2018_commission_structure'!$A$1:$I$4,9,FALSE)</f>
        <v>750000</v>
      </c>
      <c r="J620" s="9">
        <f t="shared" si="93"/>
        <v>937500</v>
      </c>
      <c r="K620" s="10">
        <f t="shared" si="94"/>
        <v>1125000</v>
      </c>
      <c r="L620" s="9">
        <f t="shared" si="95"/>
        <v>1500000</v>
      </c>
      <c r="M620" s="8">
        <f t="shared" si="96"/>
        <v>0.95904400000000001</v>
      </c>
      <c r="N620" t="str">
        <f t="shared" si="97"/>
        <v>0-100%</v>
      </c>
      <c r="O620" s="9">
        <f>MIN($H620,$I620)*INDEX('2018_commission_structure'!$A$1:$I$4,MATCH($E620,'2018_commission_structure'!$A$1:$A$4,0),MATCH(O$1,'2018_commission_structure'!$A$1:$I$1,0))</f>
        <v>107892.45</v>
      </c>
      <c r="P620" s="9">
        <f>IF(H620&gt;I620, MIN(H620-I620, J620-I620)*INDEX('2018_commission_structure'!$A$1:$I$4,MATCH($E620,'2018_commission_structure'!$A$1:$A$4,0),MATCH(P$1,'2018_commission_structure'!$A$1:$I$1,0)),0)</f>
        <v>0</v>
      </c>
      <c r="Q620" s="9">
        <f>IF($H620&gt;J620, MIN($H620-J620, K620-J620)*INDEX('2018_commission_structure'!$A$1:$I$4,MATCH($E620,'2018_commission_structure'!$A$1:$A$4,0),MATCH(Q$1,'2018_commission_structure'!$A$1:$I$1,0)),0)</f>
        <v>0</v>
      </c>
      <c r="R620" s="9">
        <f>IF($H620&gt;K620, MIN($H620-K620, L620-K620)*INDEX('2018_commission_structure'!$A$1:$I$4,MATCH($E620,'2018_commission_structure'!$A$1:$A$4,0),MATCH(R$1,'2018_commission_structure'!$A$1:$I$1,0)),0)</f>
        <v>0</v>
      </c>
      <c r="S620" s="9">
        <f>IF(H620&gt;L620,(H620-L620)*INDEX('2018_commission_structure'!$A$1:$I$4,MATCH($E620,'2018_commission_structure'!$A$1:$A$4,0),MATCH(S$1,'2018_commission_structure'!$A$1:$I$1,0)),0)</f>
        <v>0</v>
      </c>
      <c r="T620" s="9">
        <f t="shared" si="98"/>
        <v>107892.45</v>
      </c>
      <c r="U620" s="9">
        <f t="shared" si="100"/>
        <v>210603.45</v>
      </c>
      <c r="V620" s="9">
        <f>MIN($I620,$H620)*INDEX('Key Metrics'!$E$16:$N$19,MATCH($E620,'Key Metrics'!$E$16:$E$19,0),MATCH(V$1,'Key Metrics'!$E$16:$M$16,0))</f>
        <v>107892.45</v>
      </c>
      <c r="W620" s="9">
        <f>IF($H620&gt;I620, MIN($H620-I620, J620-I620)*INDEX('Key Metrics'!$E$16:$N$19,MATCH($E620,'Key Metrics'!$E$16:$E$19,0),MATCH(W$1,'Key Metrics'!$E$16:$M$16,0)),0)</f>
        <v>0</v>
      </c>
      <c r="X620" s="9">
        <f>IF($H620&gt;J620, MIN($H620-J620, K620-J620)*INDEX('Key Metrics'!$E$16:$N$19,MATCH($E620,'Key Metrics'!$E$16:$E$19,0),MATCH(X$1,'Key Metrics'!$E$16:$M$16,0)),0)</f>
        <v>0</v>
      </c>
      <c r="Y620" s="9">
        <f>IF($H620&gt;K620, MIN($H620-K620, L620-K620)*INDEX('Key Metrics'!$E$16:$N$19,MATCH($E620,'Key Metrics'!$E$16:$E$19,0),MATCH(Y$1,'Key Metrics'!$E$16:$M$16,0)),0)</f>
        <v>0</v>
      </c>
      <c r="Z620" s="9">
        <f>IF($H620&gt;L620,($H620-L620)*INDEX('Key Metrics'!$E$16:$N$19,MATCH($E620,'Key Metrics'!$E$16:$E$19,0),MATCH(Z$1,'Key Metrics'!$E$16:$M$16,0)),0)</f>
        <v>0</v>
      </c>
      <c r="AA620" s="9">
        <f t="shared" si="99"/>
        <v>107892.45</v>
      </c>
      <c r="AB620" s="9">
        <f t="shared" si="101"/>
        <v>107893.409044</v>
      </c>
    </row>
    <row r="621" spans="1:28" x14ac:dyDescent="0.55000000000000004">
      <c r="A621" t="str">
        <f t="shared" si="92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COUNTIF(deals_closed!$D$2:$D$20001,Calculations!B938)</f>
        <v>18</v>
      </c>
      <c r="H621" s="7">
        <f>SUMIF(deals_closed!$D:$D,Calculations!B938,deals_closed!$C:$C)</f>
        <v>580833</v>
      </c>
      <c r="I621" s="5">
        <f>VLOOKUP(E621,'2018_commission_structure'!$A$1:$I$4,9,FALSE)</f>
        <v>500000</v>
      </c>
      <c r="J621" s="9">
        <f t="shared" si="93"/>
        <v>625000</v>
      </c>
      <c r="K621" s="10">
        <f t="shared" si="94"/>
        <v>750000</v>
      </c>
      <c r="L621" s="9">
        <f t="shared" si="95"/>
        <v>1000000</v>
      </c>
      <c r="M621" s="8">
        <f t="shared" si="96"/>
        <v>1.1616660000000001</v>
      </c>
      <c r="N621" t="str">
        <f t="shared" si="97"/>
        <v>100-125%</v>
      </c>
      <c r="O621" s="9">
        <f>MIN($H621,$I621)*INDEX('2018_commission_structure'!$A$1:$I$4,MATCH($E621,'2018_commission_structure'!$A$1:$A$4,0),MATCH(O$1,'2018_commission_structure'!$A$1:$I$1,0))</f>
        <v>50000</v>
      </c>
      <c r="P621" s="9">
        <f>IF(H621&gt;I621, MIN(H621-I621, J621-I621)*INDEX('2018_commission_structure'!$A$1:$I$4,MATCH($E621,'2018_commission_structure'!$A$1:$A$4,0),MATCH(P$1,'2018_commission_structure'!$A$1:$I$1,0)),0)</f>
        <v>12124.949999999999</v>
      </c>
      <c r="Q621" s="9">
        <f>IF($H621&gt;J621, MIN($H621-J621, K621-J621)*INDEX('2018_commission_structure'!$A$1:$I$4,MATCH($E621,'2018_commission_structure'!$A$1:$A$4,0),MATCH(Q$1,'2018_commission_structure'!$A$1:$I$1,0)),0)</f>
        <v>0</v>
      </c>
      <c r="R621" s="9">
        <f>IF($H621&gt;K621, MIN($H621-K621, L621-K621)*INDEX('2018_commission_structure'!$A$1:$I$4,MATCH($E621,'2018_commission_structure'!$A$1:$A$4,0),MATCH(R$1,'2018_commission_structure'!$A$1:$I$1,0)),0)</f>
        <v>0</v>
      </c>
      <c r="S621" s="9">
        <f>IF(H621&gt;L621,(H621-L621)*INDEX('2018_commission_structure'!$A$1:$I$4,MATCH($E621,'2018_commission_structure'!$A$1:$A$4,0),MATCH(S$1,'2018_commission_structure'!$A$1:$I$1,0)),0)</f>
        <v>0</v>
      </c>
      <c r="T621" s="9">
        <f t="shared" si="98"/>
        <v>62124.95</v>
      </c>
      <c r="U621" s="9">
        <f t="shared" si="100"/>
        <v>114240.95</v>
      </c>
      <c r="V621" s="9">
        <f>MIN($I621,$H621)*INDEX('Key Metrics'!$E$16:$N$19,MATCH($E621,'Key Metrics'!$E$16:$E$19,0),MATCH(V$1,'Key Metrics'!$E$16:$M$16,0))</f>
        <v>60000</v>
      </c>
      <c r="W621" s="9">
        <f>IF($H621&gt;I621, MIN($H621-I621, J621-I621)*INDEX('Key Metrics'!$E$16:$N$19,MATCH($E621,'Key Metrics'!$E$16:$E$19,0),MATCH(W$1,'Key Metrics'!$E$16:$M$16,0)),0)</f>
        <v>13741.61</v>
      </c>
      <c r="X621" s="9">
        <f>IF($H621&gt;J621, MIN($H621-J621, K621-J621)*INDEX('Key Metrics'!$E$16:$N$19,MATCH($E621,'Key Metrics'!$E$16:$E$19,0),MATCH(X$1,'Key Metrics'!$E$16:$M$16,0)),0)</f>
        <v>0</v>
      </c>
      <c r="Y621" s="9">
        <f>IF($H621&gt;K621, MIN($H621-K621, L621-K621)*INDEX('Key Metrics'!$E$16:$N$19,MATCH($E621,'Key Metrics'!$E$16:$E$19,0),MATCH(Y$1,'Key Metrics'!$E$16:$M$16,0)),0)</f>
        <v>0</v>
      </c>
      <c r="Z621" s="9">
        <f>IF($H621&gt;L621,($H621-L621)*INDEX('Key Metrics'!$E$16:$N$19,MATCH($E621,'Key Metrics'!$E$16:$E$19,0),MATCH(Z$1,'Key Metrics'!$E$16:$M$16,0)),0)</f>
        <v>0</v>
      </c>
      <c r="AA621" s="9">
        <f t="shared" si="99"/>
        <v>73741.61</v>
      </c>
      <c r="AB621" s="9">
        <f t="shared" si="101"/>
        <v>73742.771666000001</v>
      </c>
    </row>
    <row r="622" spans="1:28" x14ac:dyDescent="0.55000000000000004">
      <c r="A622" t="str">
        <f t="shared" si="92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COUNTIF(deals_closed!$D$2:$D$20001,Calculations!B973)</f>
        <v>22</v>
      </c>
      <c r="H622" s="7">
        <f>SUMIF(deals_closed!$D:$D,Calculations!B973,deals_closed!$C:$C)</f>
        <v>826741</v>
      </c>
      <c r="I622" s="5">
        <f>VLOOKUP(E622,'2018_commission_structure'!$A$1:$I$4,9,FALSE)</f>
        <v>750000</v>
      </c>
      <c r="J622" s="9">
        <f t="shared" si="93"/>
        <v>937500</v>
      </c>
      <c r="K622" s="10">
        <f t="shared" si="94"/>
        <v>1125000</v>
      </c>
      <c r="L622" s="9">
        <f t="shared" si="95"/>
        <v>1500000</v>
      </c>
      <c r="M622" s="8">
        <f t="shared" si="96"/>
        <v>1.1023213333333333</v>
      </c>
      <c r="N622" t="str">
        <f t="shared" si="97"/>
        <v>100-125%</v>
      </c>
      <c r="O622" s="9">
        <f>MIN($H622,$I622)*INDEX('2018_commission_structure'!$A$1:$I$4,MATCH($E622,'2018_commission_structure'!$A$1:$A$4,0),MATCH(O$1,'2018_commission_structure'!$A$1:$I$1,0))</f>
        <v>112500</v>
      </c>
      <c r="P622" s="9">
        <f>IF(H622&gt;I622, MIN(H622-I622, J622-I622)*INDEX('2018_commission_structure'!$A$1:$I$4,MATCH($E622,'2018_commission_structure'!$A$1:$A$4,0),MATCH(P$1,'2018_commission_structure'!$A$1:$I$1,0)),0)</f>
        <v>14580.79</v>
      </c>
      <c r="Q622" s="9">
        <f>IF($H622&gt;J622, MIN($H622-J622, K622-J622)*INDEX('2018_commission_structure'!$A$1:$I$4,MATCH($E622,'2018_commission_structure'!$A$1:$A$4,0),MATCH(Q$1,'2018_commission_structure'!$A$1:$I$1,0)),0)</f>
        <v>0</v>
      </c>
      <c r="R622" s="9">
        <f>IF($H622&gt;K622, MIN($H622-K622, L622-K622)*INDEX('2018_commission_structure'!$A$1:$I$4,MATCH($E622,'2018_commission_structure'!$A$1:$A$4,0),MATCH(R$1,'2018_commission_structure'!$A$1:$I$1,0)),0)</f>
        <v>0</v>
      </c>
      <c r="S622" s="9">
        <f>IF(H622&gt;L622,(H622-L622)*INDEX('2018_commission_structure'!$A$1:$I$4,MATCH($E622,'2018_commission_structure'!$A$1:$A$4,0),MATCH(S$1,'2018_commission_structure'!$A$1:$I$1,0)),0)</f>
        <v>0</v>
      </c>
      <c r="T622" s="9">
        <f t="shared" si="98"/>
        <v>127080.79000000001</v>
      </c>
      <c r="U622" s="9">
        <f t="shared" si="100"/>
        <v>218359.79</v>
      </c>
      <c r="V622" s="9">
        <f>MIN($I622,$H622)*INDEX('Key Metrics'!$E$16:$N$19,MATCH($E622,'Key Metrics'!$E$16:$E$19,0),MATCH(V$1,'Key Metrics'!$E$16:$M$16,0))</f>
        <v>112500</v>
      </c>
      <c r="W622" s="9">
        <f>IF($H622&gt;I622, MIN($H622-I622, J622-I622)*INDEX('Key Metrics'!$E$16:$N$19,MATCH($E622,'Key Metrics'!$E$16:$E$19,0),MATCH(W$1,'Key Metrics'!$E$16:$M$16,0)),0)</f>
        <v>16883.02</v>
      </c>
      <c r="X622" s="9">
        <f>IF($H622&gt;J622, MIN($H622-J622, K622-J622)*INDEX('Key Metrics'!$E$16:$N$19,MATCH($E622,'Key Metrics'!$E$16:$E$19,0),MATCH(X$1,'Key Metrics'!$E$16:$M$16,0)),0)</f>
        <v>0</v>
      </c>
      <c r="Y622" s="9">
        <f>IF($H622&gt;K622, MIN($H622-K622, L622-K622)*INDEX('Key Metrics'!$E$16:$N$19,MATCH($E622,'Key Metrics'!$E$16:$E$19,0),MATCH(Y$1,'Key Metrics'!$E$16:$M$16,0)),0)</f>
        <v>0</v>
      </c>
      <c r="Z622" s="9">
        <f>IF($H622&gt;L622,($H622-L622)*INDEX('Key Metrics'!$E$16:$N$19,MATCH($E622,'Key Metrics'!$E$16:$E$19,0),MATCH(Z$1,'Key Metrics'!$E$16:$M$16,0)),0)</f>
        <v>0</v>
      </c>
      <c r="AA622" s="9">
        <f t="shared" si="99"/>
        <v>129383.02</v>
      </c>
      <c r="AB622" s="9">
        <f t="shared" si="101"/>
        <v>129384.12232133334</v>
      </c>
    </row>
    <row r="623" spans="1:28" x14ac:dyDescent="0.55000000000000004">
      <c r="A623" t="str">
        <f t="shared" si="92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COUNTIF(deals_closed!$D$2:$D$20001,Calculations!B694)</f>
        <v>29</v>
      </c>
      <c r="H623" s="7">
        <f>SUMIF(deals_closed!$D:$D,Calculations!B694,deals_closed!$C:$C)</f>
        <v>869443</v>
      </c>
      <c r="I623" s="5">
        <f>VLOOKUP(E623,'2018_commission_structure'!$A$1:$I$4,9,FALSE)</f>
        <v>750000</v>
      </c>
      <c r="J623" s="9">
        <f t="shared" si="93"/>
        <v>937500</v>
      </c>
      <c r="K623" s="10">
        <f t="shared" si="94"/>
        <v>1125000</v>
      </c>
      <c r="L623" s="9">
        <f t="shared" si="95"/>
        <v>1500000</v>
      </c>
      <c r="M623" s="8">
        <f t="shared" si="96"/>
        <v>1.1592573333333334</v>
      </c>
      <c r="N623" t="str">
        <f t="shared" si="97"/>
        <v>100-125%</v>
      </c>
      <c r="O623" s="9">
        <f>MIN($H623,$I623)*INDEX('2018_commission_structure'!$A$1:$I$4,MATCH($E623,'2018_commission_structure'!$A$1:$A$4,0),MATCH(O$1,'2018_commission_structure'!$A$1:$I$1,0))</f>
        <v>112500</v>
      </c>
      <c r="P623" s="9">
        <f>IF(H623&gt;I623, MIN(H623-I623, J623-I623)*INDEX('2018_commission_structure'!$A$1:$I$4,MATCH($E623,'2018_commission_structure'!$A$1:$A$4,0),MATCH(P$1,'2018_commission_structure'!$A$1:$I$1,0)),0)</f>
        <v>22694.170000000002</v>
      </c>
      <c r="Q623" s="9">
        <f>IF($H623&gt;J623, MIN($H623-J623, K623-J623)*INDEX('2018_commission_structure'!$A$1:$I$4,MATCH($E623,'2018_commission_structure'!$A$1:$A$4,0),MATCH(Q$1,'2018_commission_structure'!$A$1:$I$1,0)),0)</f>
        <v>0</v>
      </c>
      <c r="R623" s="9">
        <f>IF($H623&gt;K623, MIN($H623-K623, L623-K623)*INDEX('2018_commission_structure'!$A$1:$I$4,MATCH($E623,'2018_commission_structure'!$A$1:$A$4,0),MATCH(R$1,'2018_commission_structure'!$A$1:$I$1,0)),0)</f>
        <v>0</v>
      </c>
      <c r="S623" s="9">
        <f>IF(H623&gt;L623,(H623-L623)*INDEX('2018_commission_structure'!$A$1:$I$4,MATCH($E623,'2018_commission_structure'!$A$1:$A$4,0),MATCH(S$1,'2018_commission_structure'!$A$1:$I$1,0)),0)</f>
        <v>0</v>
      </c>
      <c r="T623" s="9">
        <f t="shared" si="98"/>
        <v>135194.17000000001</v>
      </c>
      <c r="U623" s="9">
        <f t="shared" si="100"/>
        <v>216077.17</v>
      </c>
      <c r="V623" s="9">
        <f>MIN($I623,$H623)*INDEX('Key Metrics'!$E$16:$N$19,MATCH($E623,'Key Metrics'!$E$16:$E$19,0),MATCH(V$1,'Key Metrics'!$E$16:$M$16,0))</f>
        <v>112500</v>
      </c>
      <c r="W623" s="9">
        <f>IF($H623&gt;I623, MIN($H623-I623, J623-I623)*INDEX('Key Metrics'!$E$16:$N$19,MATCH($E623,'Key Metrics'!$E$16:$E$19,0),MATCH(W$1,'Key Metrics'!$E$16:$M$16,0)),0)</f>
        <v>26277.46</v>
      </c>
      <c r="X623" s="9">
        <f>IF($H623&gt;J623, MIN($H623-J623, K623-J623)*INDEX('Key Metrics'!$E$16:$N$19,MATCH($E623,'Key Metrics'!$E$16:$E$19,0),MATCH(X$1,'Key Metrics'!$E$16:$M$16,0)),0)</f>
        <v>0</v>
      </c>
      <c r="Y623" s="9">
        <f>IF($H623&gt;K623, MIN($H623-K623, L623-K623)*INDEX('Key Metrics'!$E$16:$N$19,MATCH($E623,'Key Metrics'!$E$16:$E$19,0),MATCH(Y$1,'Key Metrics'!$E$16:$M$16,0)),0)</f>
        <v>0</v>
      </c>
      <c r="Z623" s="9">
        <f>IF($H623&gt;L623,($H623-L623)*INDEX('Key Metrics'!$E$16:$N$19,MATCH($E623,'Key Metrics'!$E$16:$E$19,0),MATCH(Z$1,'Key Metrics'!$E$16:$M$16,0)),0)</f>
        <v>0</v>
      </c>
      <c r="AA623" s="9">
        <f t="shared" si="99"/>
        <v>138777.46</v>
      </c>
      <c r="AB623" s="9">
        <f t="shared" si="101"/>
        <v>138778.61925733334</v>
      </c>
    </row>
    <row r="624" spans="1:28" x14ac:dyDescent="0.55000000000000004">
      <c r="A624" t="str">
        <f t="shared" si="92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COUNTIF(deals_closed!$D$2:$D$20001,Calculations!B643)</f>
        <v>20</v>
      </c>
      <c r="H624" s="7">
        <f>SUMIF(deals_closed!$D:$D,Calculations!B643,deals_closed!$C:$C)</f>
        <v>712930</v>
      </c>
      <c r="I624" s="5">
        <f>VLOOKUP(E624,'2018_commission_structure'!$A$1:$I$4,9,FALSE)</f>
        <v>600000</v>
      </c>
      <c r="J624" s="9">
        <f t="shared" si="93"/>
        <v>750000</v>
      </c>
      <c r="K624" s="10">
        <f t="shared" si="94"/>
        <v>900000</v>
      </c>
      <c r="L624" s="9">
        <f t="shared" si="95"/>
        <v>1200000</v>
      </c>
      <c r="M624" s="8">
        <f t="shared" si="96"/>
        <v>1.1882166666666667</v>
      </c>
      <c r="N624" t="str">
        <f t="shared" si="97"/>
        <v>100-125%</v>
      </c>
      <c r="O624" s="9">
        <f>MIN($H624,$I624)*INDEX('2018_commission_structure'!$A$1:$I$4,MATCH($E624,'2018_commission_structure'!$A$1:$A$4,0),MATCH(O$1,'2018_commission_structure'!$A$1:$I$1,0))</f>
        <v>78000</v>
      </c>
      <c r="P624" s="9">
        <f>IF(H624&gt;I624, MIN(H624-I624, J624-I624)*INDEX('2018_commission_structure'!$A$1:$I$4,MATCH($E624,'2018_commission_structure'!$A$1:$A$4,0),MATCH(P$1,'2018_commission_structure'!$A$1:$I$1,0)),0)</f>
        <v>19198.100000000002</v>
      </c>
      <c r="Q624" s="9">
        <f>IF($H624&gt;J624, MIN($H624-J624, K624-J624)*INDEX('2018_commission_structure'!$A$1:$I$4,MATCH($E624,'2018_commission_structure'!$A$1:$A$4,0),MATCH(Q$1,'2018_commission_structure'!$A$1:$I$1,0)),0)</f>
        <v>0</v>
      </c>
      <c r="R624" s="9">
        <f>IF($H624&gt;K624, MIN($H624-K624, L624-K624)*INDEX('2018_commission_structure'!$A$1:$I$4,MATCH($E624,'2018_commission_structure'!$A$1:$A$4,0),MATCH(R$1,'2018_commission_structure'!$A$1:$I$1,0)),0)</f>
        <v>0</v>
      </c>
      <c r="S624" s="9">
        <f>IF(H624&gt;L624,(H624-L624)*INDEX('2018_commission_structure'!$A$1:$I$4,MATCH($E624,'2018_commission_structure'!$A$1:$A$4,0),MATCH(S$1,'2018_commission_structure'!$A$1:$I$1,0)),0)</f>
        <v>0</v>
      </c>
      <c r="T624" s="9">
        <f t="shared" si="98"/>
        <v>97198.1</v>
      </c>
      <c r="U624" s="9">
        <f t="shared" si="100"/>
        <v>173153.1</v>
      </c>
      <c r="V624" s="9">
        <f>MIN($I624,$H624)*INDEX('Key Metrics'!$E$16:$N$19,MATCH($E624,'Key Metrics'!$E$16:$E$19,0),MATCH(V$1,'Key Metrics'!$E$16:$M$16,0))</f>
        <v>90000</v>
      </c>
      <c r="W624" s="9">
        <f>IF($H624&gt;I624, MIN($H624-I624, J624-I624)*INDEX('Key Metrics'!$E$16:$N$19,MATCH($E624,'Key Metrics'!$E$16:$E$19,0),MATCH(W$1,'Key Metrics'!$E$16:$M$16,0)),0)</f>
        <v>20327.399999999998</v>
      </c>
      <c r="X624" s="9">
        <f>IF($H624&gt;J624, MIN($H624-J624, K624-J624)*INDEX('Key Metrics'!$E$16:$N$19,MATCH($E624,'Key Metrics'!$E$16:$E$19,0),MATCH(X$1,'Key Metrics'!$E$16:$M$16,0)),0)</f>
        <v>0</v>
      </c>
      <c r="Y624" s="9">
        <f>IF($H624&gt;K624, MIN($H624-K624, L624-K624)*INDEX('Key Metrics'!$E$16:$N$19,MATCH($E624,'Key Metrics'!$E$16:$E$19,0),MATCH(Y$1,'Key Metrics'!$E$16:$M$16,0)),0)</f>
        <v>0</v>
      </c>
      <c r="Z624" s="9">
        <f>IF($H624&gt;L624,($H624-L624)*INDEX('Key Metrics'!$E$16:$N$19,MATCH($E624,'Key Metrics'!$E$16:$E$19,0),MATCH(Z$1,'Key Metrics'!$E$16:$M$16,0)),0)</f>
        <v>0</v>
      </c>
      <c r="AA624" s="9">
        <f t="shared" si="99"/>
        <v>110327.4</v>
      </c>
      <c r="AB624" s="9">
        <f t="shared" si="101"/>
        <v>110328.58821666666</v>
      </c>
    </row>
    <row r="625" spans="1:28" x14ac:dyDescent="0.55000000000000004">
      <c r="A625" t="str">
        <f t="shared" si="92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COUNTIF(deals_closed!$D$2:$D$20001,Calculations!B819)</f>
        <v>25</v>
      </c>
      <c r="H625" s="7">
        <f>SUMIF(deals_closed!$D:$D,Calculations!B819,deals_closed!$C:$C)</f>
        <v>961796</v>
      </c>
      <c r="I625" s="5">
        <f>VLOOKUP(E625,'2018_commission_structure'!$A$1:$I$4,9,FALSE)</f>
        <v>600000</v>
      </c>
      <c r="J625" s="9">
        <f t="shared" si="93"/>
        <v>750000</v>
      </c>
      <c r="K625" s="10">
        <f t="shared" si="94"/>
        <v>900000</v>
      </c>
      <c r="L625" s="9">
        <f t="shared" si="95"/>
        <v>1200000</v>
      </c>
      <c r="M625" s="8">
        <f t="shared" si="96"/>
        <v>1.6029933333333333</v>
      </c>
      <c r="N625" t="str">
        <f t="shared" si="97"/>
        <v>150-200%</v>
      </c>
      <c r="O625" s="9">
        <f>MIN($H625,$I625)*INDEX('2018_commission_structure'!$A$1:$I$4,MATCH($E625,'2018_commission_structure'!$A$1:$A$4,0),MATCH(O$1,'2018_commission_structure'!$A$1:$I$1,0))</f>
        <v>78000</v>
      </c>
      <c r="P625" s="9">
        <f>IF(H625&gt;I625, MIN(H625-I625, J625-I625)*INDEX('2018_commission_structure'!$A$1:$I$4,MATCH($E625,'2018_commission_structure'!$A$1:$A$4,0),MATCH(P$1,'2018_commission_structure'!$A$1:$I$1,0)),0)</f>
        <v>25500.000000000004</v>
      </c>
      <c r="Q625" s="9">
        <f>IF($H625&gt;J625, MIN($H625-J625, K625-J625)*INDEX('2018_commission_structure'!$A$1:$I$4,MATCH($E625,'2018_commission_structure'!$A$1:$A$4,0),MATCH(Q$1,'2018_commission_structure'!$A$1:$I$1,0)),0)</f>
        <v>31500</v>
      </c>
      <c r="R625" s="9">
        <f>IF($H625&gt;K625, MIN($H625-K625, L625-K625)*INDEX('2018_commission_structure'!$A$1:$I$4,MATCH($E625,'2018_commission_structure'!$A$1:$A$4,0),MATCH(R$1,'2018_commission_structure'!$A$1:$I$1,0)),0)</f>
        <v>16066.960000000001</v>
      </c>
      <c r="S625" s="9">
        <f>IF(H625&gt;L625,(H625-L625)*INDEX('2018_commission_structure'!$A$1:$I$4,MATCH($E625,'2018_commission_structure'!$A$1:$A$4,0),MATCH(S$1,'2018_commission_structure'!$A$1:$I$1,0)),0)</f>
        <v>0</v>
      </c>
      <c r="T625" s="9">
        <f t="shared" si="98"/>
        <v>151066.96</v>
      </c>
      <c r="U625" s="9">
        <f t="shared" si="100"/>
        <v>208847.96</v>
      </c>
      <c r="V625" s="9">
        <f>MIN($I625,$H625)*INDEX('Key Metrics'!$E$16:$N$19,MATCH($E625,'Key Metrics'!$E$16:$E$19,0),MATCH(V$1,'Key Metrics'!$E$16:$M$16,0))</f>
        <v>90000</v>
      </c>
      <c r="W625" s="9">
        <f>IF($H625&gt;I625, MIN($H625-I625, J625-I625)*INDEX('Key Metrics'!$E$16:$N$19,MATCH($E625,'Key Metrics'!$E$16:$E$19,0),MATCH(W$1,'Key Metrics'!$E$16:$M$16,0)),0)</f>
        <v>27000</v>
      </c>
      <c r="X625" s="9">
        <f>IF($H625&gt;J625, MIN($H625-J625, K625-J625)*INDEX('Key Metrics'!$E$16:$N$19,MATCH($E625,'Key Metrics'!$E$16:$E$19,0),MATCH(X$1,'Key Metrics'!$E$16:$M$16,0)),0)</f>
        <v>37500</v>
      </c>
      <c r="Y625" s="9">
        <f>IF($H625&gt;K625, MIN($H625-K625, L625-K625)*INDEX('Key Metrics'!$E$16:$N$19,MATCH($E625,'Key Metrics'!$E$16:$E$19,0),MATCH(Y$1,'Key Metrics'!$E$16:$M$16,0)),0)</f>
        <v>18538.8</v>
      </c>
      <c r="Z625" s="9">
        <f>IF($H625&gt;L625,($H625-L625)*INDEX('Key Metrics'!$E$16:$N$19,MATCH($E625,'Key Metrics'!$E$16:$E$19,0),MATCH(Z$1,'Key Metrics'!$E$16:$M$16,0)),0)</f>
        <v>0</v>
      </c>
      <c r="AA625" s="9">
        <f t="shared" si="99"/>
        <v>173038.8</v>
      </c>
      <c r="AB625" s="9">
        <f t="shared" si="101"/>
        <v>173040.40299333332</v>
      </c>
    </row>
    <row r="626" spans="1:28" x14ac:dyDescent="0.55000000000000004">
      <c r="A626" t="str">
        <f t="shared" si="92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COUNTIF(deals_closed!$D$2:$D$20001,Calculations!B363)</f>
        <v>25</v>
      </c>
      <c r="H626" s="7">
        <f>SUMIF(deals_closed!$D:$D,Calculations!B363,deals_closed!$C:$C)</f>
        <v>945309</v>
      </c>
      <c r="I626" s="5">
        <f>VLOOKUP(E626,'2018_commission_structure'!$A$1:$I$4,9,FALSE)</f>
        <v>750000</v>
      </c>
      <c r="J626" s="9">
        <f t="shared" si="93"/>
        <v>937500</v>
      </c>
      <c r="K626" s="10">
        <f t="shared" si="94"/>
        <v>1125000</v>
      </c>
      <c r="L626" s="9">
        <f t="shared" si="95"/>
        <v>1500000</v>
      </c>
      <c r="M626" s="8">
        <f t="shared" si="96"/>
        <v>1.2604120000000001</v>
      </c>
      <c r="N626" t="str">
        <f t="shared" si="97"/>
        <v>125-150%</v>
      </c>
      <c r="O626" s="9">
        <f>MIN($H626,$I626)*INDEX('2018_commission_structure'!$A$1:$I$4,MATCH($E626,'2018_commission_structure'!$A$1:$A$4,0),MATCH(O$1,'2018_commission_structure'!$A$1:$I$1,0))</f>
        <v>112500</v>
      </c>
      <c r="P626" s="9">
        <f>IF(H626&gt;I626, MIN(H626-I626, J626-I626)*INDEX('2018_commission_structure'!$A$1:$I$4,MATCH($E626,'2018_commission_structure'!$A$1:$A$4,0),MATCH(P$1,'2018_commission_structure'!$A$1:$I$1,0)),0)</f>
        <v>35625</v>
      </c>
      <c r="Q626" s="9">
        <f>IF($H626&gt;J626, MIN($H626-J626, K626-J626)*INDEX('2018_commission_structure'!$A$1:$I$4,MATCH($E626,'2018_commission_structure'!$A$1:$A$4,0),MATCH(Q$1,'2018_commission_structure'!$A$1:$I$1,0)),0)</f>
        <v>1796.0700000000002</v>
      </c>
      <c r="R626" s="9">
        <f>IF($H626&gt;K626, MIN($H626-K626, L626-K626)*INDEX('2018_commission_structure'!$A$1:$I$4,MATCH($E626,'2018_commission_structure'!$A$1:$A$4,0),MATCH(R$1,'2018_commission_structure'!$A$1:$I$1,0)),0)</f>
        <v>0</v>
      </c>
      <c r="S626" s="9">
        <f>IF(H626&gt;L626,(H626-L626)*INDEX('2018_commission_structure'!$A$1:$I$4,MATCH($E626,'2018_commission_structure'!$A$1:$A$4,0),MATCH(S$1,'2018_commission_structure'!$A$1:$I$1,0)),0)</f>
        <v>0</v>
      </c>
      <c r="T626" s="9">
        <f t="shared" si="98"/>
        <v>149921.07</v>
      </c>
      <c r="U626" s="9">
        <f t="shared" si="100"/>
        <v>232576.07</v>
      </c>
      <c r="V626" s="9">
        <f>MIN($I626,$H626)*INDEX('Key Metrics'!$E$16:$N$19,MATCH($E626,'Key Metrics'!$E$16:$E$19,0),MATCH(V$1,'Key Metrics'!$E$16:$M$16,0))</f>
        <v>112500</v>
      </c>
      <c r="W626" s="9">
        <f>IF($H626&gt;I626, MIN($H626-I626, J626-I626)*INDEX('Key Metrics'!$E$16:$N$19,MATCH($E626,'Key Metrics'!$E$16:$E$19,0),MATCH(W$1,'Key Metrics'!$E$16:$M$16,0)),0)</f>
        <v>41250</v>
      </c>
      <c r="X626" s="9">
        <f>IF($H626&gt;J626, MIN($H626-J626, K626-J626)*INDEX('Key Metrics'!$E$16:$N$19,MATCH($E626,'Key Metrics'!$E$16:$E$19,0),MATCH(X$1,'Key Metrics'!$E$16:$M$16,0)),0)</f>
        <v>1952.25</v>
      </c>
      <c r="Y626" s="9">
        <f>IF($H626&gt;K626, MIN($H626-K626, L626-K626)*INDEX('Key Metrics'!$E$16:$N$19,MATCH($E626,'Key Metrics'!$E$16:$E$19,0),MATCH(Y$1,'Key Metrics'!$E$16:$M$16,0)),0)</f>
        <v>0</v>
      </c>
      <c r="Z626" s="9">
        <f>IF($H626&gt;L626,($H626-L626)*INDEX('Key Metrics'!$E$16:$N$19,MATCH($E626,'Key Metrics'!$E$16:$E$19,0),MATCH(Z$1,'Key Metrics'!$E$16:$M$16,0)),0)</f>
        <v>0</v>
      </c>
      <c r="AA626" s="9">
        <f t="shared" si="99"/>
        <v>155702.25</v>
      </c>
      <c r="AB626" s="9">
        <f t="shared" si="101"/>
        <v>155703.510412</v>
      </c>
    </row>
    <row r="627" spans="1:28" x14ac:dyDescent="0.55000000000000004">
      <c r="A627" t="str">
        <f t="shared" si="92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COUNTIF(deals_closed!$D$2:$D$20001,Calculations!B941)</f>
        <v>23</v>
      </c>
      <c r="H627" s="7">
        <f>SUMIF(deals_closed!$D:$D,Calculations!B941,deals_closed!$C:$C)</f>
        <v>793311</v>
      </c>
      <c r="I627" s="5">
        <f>VLOOKUP(E627,'2018_commission_structure'!$A$1:$I$4,9,FALSE)</f>
        <v>600000</v>
      </c>
      <c r="J627" s="9">
        <f t="shared" si="93"/>
        <v>750000</v>
      </c>
      <c r="K627" s="10">
        <f t="shared" si="94"/>
        <v>900000</v>
      </c>
      <c r="L627" s="9">
        <f t="shared" si="95"/>
        <v>1200000</v>
      </c>
      <c r="M627" s="8">
        <f t="shared" si="96"/>
        <v>1.3221849999999999</v>
      </c>
      <c r="N627" t="str">
        <f t="shared" si="97"/>
        <v>125-150%</v>
      </c>
      <c r="O627" s="9">
        <f>MIN($H627,$I627)*INDEX('2018_commission_structure'!$A$1:$I$4,MATCH($E627,'2018_commission_structure'!$A$1:$A$4,0),MATCH(O$1,'2018_commission_structure'!$A$1:$I$1,0))</f>
        <v>78000</v>
      </c>
      <c r="P627" s="9">
        <f>IF(H627&gt;I627, MIN(H627-I627, J627-I627)*INDEX('2018_commission_structure'!$A$1:$I$4,MATCH($E627,'2018_commission_structure'!$A$1:$A$4,0),MATCH(P$1,'2018_commission_structure'!$A$1:$I$1,0)),0)</f>
        <v>25500.000000000004</v>
      </c>
      <c r="Q627" s="9">
        <f>IF($H627&gt;J627, MIN($H627-J627, K627-J627)*INDEX('2018_commission_structure'!$A$1:$I$4,MATCH($E627,'2018_commission_structure'!$A$1:$A$4,0),MATCH(Q$1,'2018_commission_structure'!$A$1:$I$1,0)),0)</f>
        <v>9095.31</v>
      </c>
      <c r="R627" s="9">
        <f>IF($H627&gt;K627, MIN($H627-K627, L627-K627)*INDEX('2018_commission_structure'!$A$1:$I$4,MATCH($E627,'2018_commission_structure'!$A$1:$A$4,0),MATCH(R$1,'2018_commission_structure'!$A$1:$I$1,0)),0)</f>
        <v>0</v>
      </c>
      <c r="S627" s="9">
        <f>IF(H627&gt;L627,(H627-L627)*INDEX('2018_commission_structure'!$A$1:$I$4,MATCH($E627,'2018_commission_structure'!$A$1:$A$4,0),MATCH(S$1,'2018_commission_structure'!$A$1:$I$1,0)),0)</f>
        <v>0</v>
      </c>
      <c r="T627" s="9">
        <f t="shared" si="98"/>
        <v>112595.31</v>
      </c>
      <c r="U627" s="9">
        <f t="shared" si="100"/>
        <v>184623.31</v>
      </c>
      <c r="V627" s="9">
        <f>MIN($I627,$H627)*INDEX('Key Metrics'!$E$16:$N$19,MATCH($E627,'Key Metrics'!$E$16:$E$19,0),MATCH(V$1,'Key Metrics'!$E$16:$M$16,0))</f>
        <v>90000</v>
      </c>
      <c r="W627" s="9">
        <f>IF($H627&gt;I627, MIN($H627-I627, J627-I627)*INDEX('Key Metrics'!$E$16:$N$19,MATCH($E627,'Key Metrics'!$E$16:$E$19,0),MATCH(W$1,'Key Metrics'!$E$16:$M$16,0)),0)</f>
        <v>27000</v>
      </c>
      <c r="X627" s="9">
        <f>IF($H627&gt;J627, MIN($H627-J627, K627-J627)*INDEX('Key Metrics'!$E$16:$N$19,MATCH($E627,'Key Metrics'!$E$16:$E$19,0),MATCH(X$1,'Key Metrics'!$E$16:$M$16,0)),0)</f>
        <v>10827.75</v>
      </c>
      <c r="Y627" s="9">
        <f>IF($H627&gt;K627, MIN($H627-K627, L627-K627)*INDEX('Key Metrics'!$E$16:$N$19,MATCH($E627,'Key Metrics'!$E$16:$E$19,0),MATCH(Y$1,'Key Metrics'!$E$16:$M$16,0)),0)</f>
        <v>0</v>
      </c>
      <c r="Z627" s="9">
        <f>IF($H627&gt;L627,($H627-L627)*INDEX('Key Metrics'!$E$16:$N$19,MATCH($E627,'Key Metrics'!$E$16:$E$19,0),MATCH(Z$1,'Key Metrics'!$E$16:$M$16,0)),0)</f>
        <v>0</v>
      </c>
      <c r="AA627" s="9">
        <f t="shared" si="99"/>
        <v>127827.75</v>
      </c>
      <c r="AB627" s="9">
        <f t="shared" si="101"/>
        <v>127829.072185</v>
      </c>
    </row>
    <row r="628" spans="1:28" x14ac:dyDescent="0.55000000000000004">
      <c r="A628" t="str">
        <f t="shared" si="92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COUNTIF(deals_closed!$D$2:$D$20001,Calculations!B27)</f>
        <v>20</v>
      </c>
      <c r="H628" s="7">
        <f>SUMIF(deals_closed!$D:$D,Calculations!B27,deals_closed!$C:$C)</f>
        <v>711184</v>
      </c>
      <c r="I628" s="5">
        <f>VLOOKUP(E628,'2018_commission_structure'!$A$1:$I$4,9,FALSE)</f>
        <v>750000</v>
      </c>
      <c r="J628" s="9">
        <f t="shared" si="93"/>
        <v>937500</v>
      </c>
      <c r="K628" s="10">
        <f t="shared" si="94"/>
        <v>1125000</v>
      </c>
      <c r="L628" s="9">
        <f t="shared" si="95"/>
        <v>1500000</v>
      </c>
      <c r="M628" s="8">
        <f t="shared" si="96"/>
        <v>0.94824533333333338</v>
      </c>
      <c r="N628" t="str">
        <f t="shared" si="97"/>
        <v>0-100%</v>
      </c>
      <c r="O628" s="9">
        <f>MIN($H628,$I628)*INDEX('2018_commission_structure'!$A$1:$I$4,MATCH($E628,'2018_commission_structure'!$A$1:$A$4,0),MATCH(O$1,'2018_commission_structure'!$A$1:$I$1,0))</f>
        <v>106677.59999999999</v>
      </c>
      <c r="P628" s="9">
        <f>IF(H628&gt;I628, MIN(H628-I628, J628-I628)*INDEX('2018_commission_structure'!$A$1:$I$4,MATCH($E628,'2018_commission_structure'!$A$1:$A$4,0),MATCH(P$1,'2018_commission_structure'!$A$1:$I$1,0)),0)</f>
        <v>0</v>
      </c>
      <c r="Q628" s="9">
        <f>IF($H628&gt;J628, MIN($H628-J628, K628-J628)*INDEX('2018_commission_structure'!$A$1:$I$4,MATCH($E628,'2018_commission_structure'!$A$1:$A$4,0),MATCH(Q$1,'2018_commission_structure'!$A$1:$I$1,0)),0)</f>
        <v>0</v>
      </c>
      <c r="R628" s="9">
        <f>IF($H628&gt;K628, MIN($H628-K628, L628-K628)*INDEX('2018_commission_structure'!$A$1:$I$4,MATCH($E628,'2018_commission_structure'!$A$1:$A$4,0),MATCH(R$1,'2018_commission_structure'!$A$1:$I$1,0)),0)</f>
        <v>0</v>
      </c>
      <c r="S628" s="9">
        <f>IF(H628&gt;L628,(H628-L628)*INDEX('2018_commission_structure'!$A$1:$I$4,MATCH($E628,'2018_commission_structure'!$A$1:$A$4,0),MATCH(S$1,'2018_commission_structure'!$A$1:$I$1,0)),0)</f>
        <v>0</v>
      </c>
      <c r="T628" s="9">
        <f t="shared" si="98"/>
        <v>106677.59999999999</v>
      </c>
      <c r="U628" s="9">
        <f t="shared" si="100"/>
        <v>201141.59999999998</v>
      </c>
      <c r="V628" s="9">
        <f>MIN($I628,$H628)*INDEX('Key Metrics'!$E$16:$N$19,MATCH($E628,'Key Metrics'!$E$16:$E$19,0),MATCH(V$1,'Key Metrics'!$E$16:$M$16,0))</f>
        <v>106677.59999999999</v>
      </c>
      <c r="W628" s="9">
        <f>IF($H628&gt;I628, MIN($H628-I628, J628-I628)*INDEX('Key Metrics'!$E$16:$N$19,MATCH($E628,'Key Metrics'!$E$16:$E$19,0),MATCH(W$1,'Key Metrics'!$E$16:$M$16,0)),0)</f>
        <v>0</v>
      </c>
      <c r="X628" s="9">
        <f>IF($H628&gt;J628, MIN($H628-J628, K628-J628)*INDEX('Key Metrics'!$E$16:$N$19,MATCH($E628,'Key Metrics'!$E$16:$E$19,0),MATCH(X$1,'Key Metrics'!$E$16:$M$16,0)),0)</f>
        <v>0</v>
      </c>
      <c r="Y628" s="9">
        <f>IF($H628&gt;K628, MIN($H628-K628, L628-K628)*INDEX('Key Metrics'!$E$16:$N$19,MATCH($E628,'Key Metrics'!$E$16:$E$19,0),MATCH(Y$1,'Key Metrics'!$E$16:$M$16,0)),0)</f>
        <v>0</v>
      </c>
      <c r="Z628" s="9">
        <f>IF($H628&gt;L628,($H628-L628)*INDEX('Key Metrics'!$E$16:$N$19,MATCH($E628,'Key Metrics'!$E$16:$E$19,0),MATCH(Z$1,'Key Metrics'!$E$16:$M$16,0)),0)</f>
        <v>0</v>
      </c>
      <c r="AA628" s="9">
        <f t="shared" si="99"/>
        <v>106677.59999999999</v>
      </c>
      <c r="AB628" s="9">
        <f t="shared" si="101"/>
        <v>106678.54824533332</v>
      </c>
    </row>
    <row r="629" spans="1:28" x14ac:dyDescent="0.55000000000000004">
      <c r="A629" t="str">
        <f t="shared" si="92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COUNTIF(deals_closed!$D$2:$D$20001,Calculations!B450)</f>
        <v>20</v>
      </c>
      <c r="H629" s="7">
        <f>SUMIF(deals_closed!$D:$D,Calculations!B450,deals_closed!$C:$C)</f>
        <v>740914</v>
      </c>
      <c r="I629" s="5">
        <f>VLOOKUP(E629,'2018_commission_structure'!$A$1:$I$4,9,FALSE)</f>
        <v>600000</v>
      </c>
      <c r="J629" s="9">
        <f t="shared" si="93"/>
        <v>750000</v>
      </c>
      <c r="K629" s="10">
        <f t="shared" si="94"/>
        <v>900000</v>
      </c>
      <c r="L629" s="9">
        <f t="shared" si="95"/>
        <v>1200000</v>
      </c>
      <c r="M629" s="8">
        <f t="shared" si="96"/>
        <v>1.2348566666666667</v>
      </c>
      <c r="N629" t="str">
        <f t="shared" si="97"/>
        <v>100-125%</v>
      </c>
      <c r="O629" s="9">
        <f>MIN($H629,$I629)*INDEX('2018_commission_structure'!$A$1:$I$4,MATCH($E629,'2018_commission_structure'!$A$1:$A$4,0),MATCH(O$1,'2018_commission_structure'!$A$1:$I$1,0))</f>
        <v>78000</v>
      </c>
      <c r="P629" s="9">
        <f>IF(H629&gt;I629, MIN(H629-I629, J629-I629)*INDEX('2018_commission_structure'!$A$1:$I$4,MATCH($E629,'2018_commission_structure'!$A$1:$A$4,0),MATCH(P$1,'2018_commission_structure'!$A$1:$I$1,0)),0)</f>
        <v>23955.38</v>
      </c>
      <c r="Q629" s="9">
        <f>IF($H629&gt;J629, MIN($H629-J629, K629-J629)*INDEX('2018_commission_structure'!$A$1:$I$4,MATCH($E629,'2018_commission_structure'!$A$1:$A$4,0),MATCH(Q$1,'2018_commission_structure'!$A$1:$I$1,0)),0)</f>
        <v>0</v>
      </c>
      <c r="R629" s="9">
        <f>IF($H629&gt;K629, MIN($H629-K629, L629-K629)*INDEX('2018_commission_structure'!$A$1:$I$4,MATCH($E629,'2018_commission_structure'!$A$1:$A$4,0),MATCH(R$1,'2018_commission_structure'!$A$1:$I$1,0)),0)</f>
        <v>0</v>
      </c>
      <c r="S629" s="9">
        <f>IF(H629&gt;L629,(H629-L629)*INDEX('2018_commission_structure'!$A$1:$I$4,MATCH($E629,'2018_commission_structure'!$A$1:$A$4,0),MATCH(S$1,'2018_commission_structure'!$A$1:$I$1,0)),0)</f>
        <v>0</v>
      </c>
      <c r="T629" s="9">
        <f t="shared" si="98"/>
        <v>101955.38</v>
      </c>
      <c r="U629" s="9">
        <f t="shared" si="100"/>
        <v>165656.38</v>
      </c>
      <c r="V629" s="9">
        <f>MIN($I629,$H629)*INDEX('Key Metrics'!$E$16:$N$19,MATCH($E629,'Key Metrics'!$E$16:$E$19,0),MATCH(V$1,'Key Metrics'!$E$16:$M$16,0))</f>
        <v>90000</v>
      </c>
      <c r="W629" s="9">
        <f>IF($H629&gt;I629, MIN($H629-I629, J629-I629)*INDEX('Key Metrics'!$E$16:$N$19,MATCH($E629,'Key Metrics'!$E$16:$E$19,0),MATCH(W$1,'Key Metrics'!$E$16:$M$16,0)),0)</f>
        <v>25364.52</v>
      </c>
      <c r="X629" s="9">
        <f>IF($H629&gt;J629, MIN($H629-J629, K629-J629)*INDEX('Key Metrics'!$E$16:$N$19,MATCH($E629,'Key Metrics'!$E$16:$E$19,0),MATCH(X$1,'Key Metrics'!$E$16:$M$16,0)),0)</f>
        <v>0</v>
      </c>
      <c r="Y629" s="9">
        <f>IF($H629&gt;K629, MIN($H629-K629, L629-K629)*INDEX('Key Metrics'!$E$16:$N$19,MATCH($E629,'Key Metrics'!$E$16:$E$19,0),MATCH(Y$1,'Key Metrics'!$E$16:$M$16,0)),0)</f>
        <v>0</v>
      </c>
      <c r="Z629" s="9">
        <f>IF($H629&gt;L629,($H629-L629)*INDEX('Key Metrics'!$E$16:$N$19,MATCH($E629,'Key Metrics'!$E$16:$E$19,0),MATCH(Z$1,'Key Metrics'!$E$16:$M$16,0)),0)</f>
        <v>0</v>
      </c>
      <c r="AA629" s="9">
        <f t="shared" si="99"/>
        <v>115364.52</v>
      </c>
      <c r="AB629" s="9">
        <f t="shared" si="101"/>
        <v>115365.75485666667</v>
      </c>
    </row>
    <row r="630" spans="1:28" x14ac:dyDescent="0.55000000000000004">
      <c r="A630" t="str">
        <f t="shared" si="92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COUNTIF(deals_closed!$D$2:$D$20001,Calculations!B620)</f>
        <v>18</v>
      </c>
      <c r="H630" s="7">
        <f>SUMIF(deals_closed!$D:$D,Calculations!B620,deals_closed!$C:$C)</f>
        <v>659526</v>
      </c>
      <c r="I630" s="5">
        <f>VLOOKUP(E630,'2018_commission_structure'!$A$1:$I$4,9,FALSE)</f>
        <v>600000</v>
      </c>
      <c r="J630" s="9">
        <f t="shared" si="93"/>
        <v>750000</v>
      </c>
      <c r="K630" s="10">
        <f t="shared" si="94"/>
        <v>900000</v>
      </c>
      <c r="L630" s="9">
        <f t="shared" si="95"/>
        <v>1200000</v>
      </c>
      <c r="M630" s="8">
        <f t="shared" si="96"/>
        <v>1.09921</v>
      </c>
      <c r="N630" t="str">
        <f t="shared" si="97"/>
        <v>100-125%</v>
      </c>
      <c r="O630" s="9">
        <f>MIN($H630,$I630)*INDEX('2018_commission_structure'!$A$1:$I$4,MATCH($E630,'2018_commission_structure'!$A$1:$A$4,0),MATCH(O$1,'2018_commission_structure'!$A$1:$I$1,0))</f>
        <v>78000</v>
      </c>
      <c r="P630" s="9">
        <f>IF(H630&gt;I630, MIN(H630-I630, J630-I630)*INDEX('2018_commission_structure'!$A$1:$I$4,MATCH($E630,'2018_commission_structure'!$A$1:$A$4,0),MATCH(P$1,'2018_commission_structure'!$A$1:$I$1,0)),0)</f>
        <v>10119.42</v>
      </c>
      <c r="Q630" s="9">
        <f>IF($H630&gt;J630, MIN($H630-J630, K630-J630)*INDEX('2018_commission_structure'!$A$1:$I$4,MATCH($E630,'2018_commission_structure'!$A$1:$A$4,0),MATCH(Q$1,'2018_commission_structure'!$A$1:$I$1,0)),0)</f>
        <v>0</v>
      </c>
      <c r="R630" s="9">
        <f>IF($H630&gt;K630, MIN($H630-K630, L630-K630)*INDEX('2018_commission_structure'!$A$1:$I$4,MATCH($E630,'2018_commission_structure'!$A$1:$A$4,0),MATCH(R$1,'2018_commission_structure'!$A$1:$I$1,0)),0)</f>
        <v>0</v>
      </c>
      <c r="S630" s="9">
        <f>IF(H630&gt;L630,(H630-L630)*INDEX('2018_commission_structure'!$A$1:$I$4,MATCH($E630,'2018_commission_structure'!$A$1:$A$4,0),MATCH(S$1,'2018_commission_structure'!$A$1:$I$1,0)),0)</f>
        <v>0</v>
      </c>
      <c r="T630" s="9">
        <f t="shared" si="98"/>
        <v>88119.42</v>
      </c>
      <c r="U630" s="9">
        <f t="shared" si="100"/>
        <v>167239.41999999998</v>
      </c>
      <c r="V630" s="9">
        <f>MIN($I630,$H630)*INDEX('Key Metrics'!$E$16:$N$19,MATCH($E630,'Key Metrics'!$E$16:$E$19,0),MATCH(V$1,'Key Metrics'!$E$16:$M$16,0))</f>
        <v>90000</v>
      </c>
      <c r="W630" s="9">
        <f>IF($H630&gt;I630, MIN($H630-I630, J630-I630)*INDEX('Key Metrics'!$E$16:$N$19,MATCH($E630,'Key Metrics'!$E$16:$E$19,0),MATCH(W$1,'Key Metrics'!$E$16:$M$16,0)),0)</f>
        <v>10714.68</v>
      </c>
      <c r="X630" s="9">
        <f>IF($H630&gt;J630, MIN($H630-J630, K630-J630)*INDEX('Key Metrics'!$E$16:$N$19,MATCH($E630,'Key Metrics'!$E$16:$E$19,0),MATCH(X$1,'Key Metrics'!$E$16:$M$16,0)),0)</f>
        <v>0</v>
      </c>
      <c r="Y630" s="9">
        <f>IF($H630&gt;K630, MIN($H630-K630, L630-K630)*INDEX('Key Metrics'!$E$16:$N$19,MATCH($E630,'Key Metrics'!$E$16:$E$19,0),MATCH(Y$1,'Key Metrics'!$E$16:$M$16,0)),0)</f>
        <v>0</v>
      </c>
      <c r="Z630" s="9">
        <f>IF($H630&gt;L630,($H630-L630)*INDEX('Key Metrics'!$E$16:$N$19,MATCH($E630,'Key Metrics'!$E$16:$E$19,0),MATCH(Z$1,'Key Metrics'!$E$16:$M$16,0)),0)</f>
        <v>0</v>
      </c>
      <c r="AA630" s="9">
        <f t="shared" si="99"/>
        <v>100714.68</v>
      </c>
      <c r="AB630" s="9">
        <f t="shared" si="101"/>
        <v>100715.77920999999</v>
      </c>
    </row>
    <row r="631" spans="1:28" x14ac:dyDescent="0.55000000000000004">
      <c r="A631" t="str">
        <f t="shared" si="92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COUNTIF(deals_closed!$D$2:$D$20001,Calculations!B31)</f>
        <v>15</v>
      </c>
      <c r="H631" s="7">
        <f>SUMIF(deals_closed!$D:$D,Calculations!B31,deals_closed!$C:$C)</f>
        <v>637396</v>
      </c>
      <c r="I631" s="5">
        <f>VLOOKUP(E631,'2018_commission_structure'!$A$1:$I$4,9,FALSE)</f>
        <v>500000</v>
      </c>
      <c r="J631" s="9">
        <f t="shared" si="93"/>
        <v>625000</v>
      </c>
      <c r="K631" s="10">
        <f t="shared" si="94"/>
        <v>750000</v>
      </c>
      <c r="L631" s="9">
        <f t="shared" si="95"/>
        <v>1000000</v>
      </c>
      <c r="M631" s="8">
        <f t="shared" si="96"/>
        <v>1.2747919999999999</v>
      </c>
      <c r="N631" t="str">
        <f t="shared" si="97"/>
        <v>125-150%</v>
      </c>
      <c r="O631" s="9">
        <f>MIN($H631,$I631)*INDEX('2018_commission_structure'!$A$1:$I$4,MATCH($E631,'2018_commission_structure'!$A$1:$A$4,0),MATCH(O$1,'2018_commission_structure'!$A$1:$I$1,0))</f>
        <v>50000</v>
      </c>
      <c r="P631" s="9">
        <f>IF(H631&gt;I631, MIN(H631-I631, J631-I631)*INDEX('2018_commission_structure'!$A$1:$I$4,MATCH($E631,'2018_commission_structure'!$A$1:$A$4,0),MATCH(P$1,'2018_commission_structure'!$A$1:$I$1,0)),0)</f>
        <v>18750</v>
      </c>
      <c r="Q631" s="9">
        <f>IF($H631&gt;J631, MIN($H631-J631, K631-J631)*INDEX('2018_commission_structure'!$A$1:$I$4,MATCH($E631,'2018_commission_structure'!$A$1:$A$4,0),MATCH(Q$1,'2018_commission_structure'!$A$1:$I$1,0)),0)</f>
        <v>2231.2799999999997</v>
      </c>
      <c r="R631" s="9">
        <f>IF($H631&gt;K631, MIN($H631-K631, L631-K631)*INDEX('2018_commission_structure'!$A$1:$I$4,MATCH($E631,'2018_commission_structure'!$A$1:$A$4,0),MATCH(R$1,'2018_commission_structure'!$A$1:$I$1,0)),0)</f>
        <v>0</v>
      </c>
      <c r="S631" s="9">
        <f>IF(H631&gt;L631,(H631-L631)*INDEX('2018_commission_structure'!$A$1:$I$4,MATCH($E631,'2018_commission_structure'!$A$1:$A$4,0),MATCH(S$1,'2018_commission_structure'!$A$1:$I$1,0)),0)</f>
        <v>0</v>
      </c>
      <c r="T631" s="9">
        <f t="shared" si="98"/>
        <v>70981.279999999999</v>
      </c>
      <c r="U631" s="9">
        <f t="shared" si="100"/>
        <v>109885.28</v>
      </c>
      <c r="V631" s="9">
        <f>MIN($I631,$H631)*INDEX('Key Metrics'!$E$16:$N$19,MATCH($E631,'Key Metrics'!$E$16:$E$19,0),MATCH(V$1,'Key Metrics'!$E$16:$M$16,0))</f>
        <v>60000</v>
      </c>
      <c r="W631" s="9">
        <f>IF($H631&gt;I631, MIN($H631-I631, J631-I631)*INDEX('Key Metrics'!$E$16:$N$19,MATCH($E631,'Key Metrics'!$E$16:$E$19,0),MATCH(W$1,'Key Metrics'!$E$16:$M$16,0)),0)</f>
        <v>21250</v>
      </c>
      <c r="X631" s="9">
        <f>IF($H631&gt;J631, MIN($H631-J631, K631-J631)*INDEX('Key Metrics'!$E$16:$N$19,MATCH($E631,'Key Metrics'!$E$16:$E$19,0),MATCH(X$1,'Key Metrics'!$E$16:$M$16,0)),0)</f>
        <v>2479.2000000000003</v>
      </c>
      <c r="Y631" s="9">
        <f>IF($H631&gt;K631, MIN($H631-K631, L631-K631)*INDEX('Key Metrics'!$E$16:$N$19,MATCH($E631,'Key Metrics'!$E$16:$E$19,0),MATCH(Y$1,'Key Metrics'!$E$16:$M$16,0)),0)</f>
        <v>0</v>
      </c>
      <c r="Z631" s="9">
        <f>IF($H631&gt;L631,($H631-L631)*INDEX('Key Metrics'!$E$16:$N$19,MATCH($E631,'Key Metrics'!$E$16:$E$19,0),MATCH(Z$1,'Key Metrics'!$E$16:$M$16,0)),0)</f>
        <v>0</v>
      </c>
      <c r="AA631" s="9">
        <f t="shared" si="99"/>
        <v>83729.2</v>
      </c>
      <c r="AB631" s="9">
        <f t="shared" si="101"/>
        <v>83730.474791999994</v>
      </c>
    </row>
    <row r="632" spans="1:28" x14ac:dyDescent="0.55000000000000004">
      <c r="A632" t="str">
        <f t="shared" si="92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COUNTIF(deals_closed!$D$2:$D$20001,Calculations!B253)</f>
        <v>20</v>
      </c>
      <c r="H632" s="7">
        <f>SUMIF(deals_closed!$D:$D,Calculations!B253,deals_closed!$C:$C)</f>
        <v>722703</v>
      </c>
      <c r="I632" s="5">
        <f>VLOOKUP(E632,'2018_commission_structure'!$A$1:$I$4,9,FALSE)</f>
        <v>600000</v>
      </c>
      <c r="J632" s="9">
        <f t="shared" si="93"/>
        <v>750000</v>
      </c>
      <c r="K632" s="10">
        <f t="shared" si="94"/>
        <v>900000</v>
      </c>
      <c r="L632" s="9">
        <f t="shared" si="95"/>
        <v>1200000</v>
      </c>
      <c r="M632" s="8">
        <f t="shared" si="96"/>
        <v>1.2045049999999999</v>
      </c>
      <c r="N632" t="str">
        <f t="shared" si="97"/>
        <v>100-125%</v>
      </c>
      <c r="O632" s="9">
        <f>MIN($H632,$I632)*INDEX('2018_commission_structure'!$A$1:$I$4,MATCH($E632,'2018_commission_structure'!$A$1:$A$4,0),MATCH(O$1,'2018_commission_structure'!$A$1:$I$1,0))</f>
        <v>78000</v>
      </c>
      <c r="P632" s="9">
        <f>IF(H632&gt;I632, MIN(H632-I632, J632-I632)*INDEX('2018_commission_structure'!$A$1:$I$4,MATCH($E632,'2018_commission_structure'!$A$1:$A$4,0),MATCH(P$1,'2018_commission_structure'!$A$1:$I$1,0)),0)</f>
        <v>20859.510000000002</v>
      </c>
      <c r="Q632" s="9">
        <f>IF($H632&gt;J632, MIN($H632-J632, K632-J632)*INDEX('2018_commission_structure'!$A$1:$I$4,MATCH($E632,'2018_commission_structure'!$A$1:$A$4,0),MATCH(Q$1,'2018_commission_structure'!$A$1:$I$1,0)),0)</f>
        <v>0</v>
      </c>
      <c r="R632" s="9">
        <f>IF($H632&gt;K632, MIN($H632-K632, L632-K632)*INDEX('2018_commission_structure'!$A$1:$I$4,MATCH($E632,'2018_commission_structure'!$A$1:$A$4,0),MATCH(R$1,'2018_commission_structure'!$A$1:$I$1,0)),0)</f>
        <v>0</v>
      </c>
      <c r="S632" s="9">
        <f>IF(H632&gt;L632,(H632-L632)*INDEX('2018_commission_structure'!$A$1:$I$4,MATCH($E632,'2018_commission_structure'!$A$1:$A$4,0),MATCH(S$1,'2018_commission_structure'!$A$1:$I$1,0)),0)</f>
        <v>0</v>
      </c>
      <c r="T632" s="9">
        <f t="shared" si="98"/>
        <v>98859.510000000009</v>
      </c>
      <c r="U632" s="9">
        <f t="shared" si="100"/>
        <v>159512.51</v>
      </c>
      <c r="V632" s="9">
        <f>MIN($I632,$H632)*INDEX('Key Metrics'!$E$16:$N$19,MATCH($E632,'Key Metrics'!$E$16:$E$19,0),MATCH(V$1,'Key Metrics'!$E$16:$M$16,0))</f>
        <v>90000</v>
      </c>
      <c r="W632" s="9">
        <f>IF($H632&gt;I632, MIN($H632-I632, J632-I632)*INDEX('Key Metrics'!$E$16:$N$19,MATCH($E632,'Key Metrics'!$E$16:$E$19,0),MATCH(W$1,'Key Metrics'!$E$16:$M$16,0)),0)</f>
        <v>22086.54</v>
      </c>
      <c r="X632" s="9">
        <f>IF($H632&gt;J632, MIN($H632-J632, K632-J632)*INDEX('Key Metrics'!$E$16:$N$19,MATCH($E632,'Key Metrics'!$E$16:$E$19,0),MATCH(X$1,'Key Metrics'!$E$16:$M$16,0)),0)</f>
        <v>0</v>
      </c>
      <c r="Y632" s="9">
        <f>IF($H632&gt;K632, MIN($H632-K632, L632-K632)*INDEX('Key Metrics'!$E$16:$N$19,MATCH($E632,'Key Metrics'!$E$16:$E$19,0),MATCH(Y$1,'Key Metrics'!$E$16:$M$16,0)),0)</f>
        <v>0</v>
      </c>
      <c r="Z632" s="9">
        <f>IF($H632&gt;L632,($H632-L632)*INDEX('Key Metrics'!$E$16:$N$19,MATCH($E632,'Key Metrics'!$E$16:$E$19,0),MATCH(Z$1,'Key Metrics'!$E$16:$M$16,0)),0)</f>
        <v>0</v>
      </c>
      <c r="AA632" s="9">
        <f t="shared" si="99"/>
        <v>112086.54000000001</v>
      </c>
      <c r="AB632" s="9">
        <f t="shared" si="101"/>
        <v>112087.74450500001</v>
      </c>
    </row>
    <row r="633" spans="1:28" x14ac:dyDescent="0.55000000000000004">
      <c r="A633" t="str">
        <f t="shared" si="92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COUNTIF(deals_closed!$D$2:$D$20001,Calculations!B613)</f>
        <v>22</v>
      </c>
      <c r="H633" s="7">
        <f>SUMIF(deals_closed!$D:$D,Calculations!B613,deals_closed!$C:$C)</f>
        <v>789567</v>
      </c>
      <c r="I633" s="5">
        <f>VLOOKUP(E633,'2018_commission_structure'!$A$1:$I$4,9,FALSE)</f>
        <v>750000</v>
      </c>
      <c r="J633" s="9">
        <f t="shared" si="93"/>
        <v>937500</v>
      </c>
      <c r="K633" s="10">
        <f t="shared" si="94"/>
        <v>1125000</v>
      </c>
      <c r="L633" s="9">
        <f t="shared" si="95"/>
        <v>1500000</v>
      </c>
      <c r="M633" s="8">
        <f t="shared" si="96"/>
        <v>1.052756</v>
      </c>
      <c r="N633" t="str">
        <f t="shared" si="97"/>
        <v>100-125%</v>
      </c>
      <c r="O633" s="9">
        <f>MIN($H633,$I633)*INDEX('2018_commission_structure'!$A$1:$I$4,MATCH($E633,'2018_commission_structure'!$A$1:$A$4,0),MATCH(O$1,'2018_commission_structure'!$A$1:$I$1,0))</f>
        <v>112500</v>
      </c>
      <c r="P633" s="9">
        <f>IF(H633&gt;I633, MIN(H633-I633, J633-I633)*INDEX('2018_commission_structure'!$A$1:$I$4,MATCH($E633,'2018_commission_structure'!$A$1:$A$4,0),MATCH(P$1,'2018_commission_structure'!$A$1:$I$1,0)),0)</f>
        <v>7517.7300000000005</v>
      </c>
      <c r="Q633" s="9">
        <f>IF($H633&gt;J633, MIN($H633-J633, K633-J633)*INDEX('2018_commission_structure'!$A$1:$I$4,MATCH($E633,'2018_commission_structure'!$A$1:$A$4,0),MATCH(Q$1,'2018_commission_structure'!$A$1:$I$1,0)),0)</f>
        <v>0</v>
      </c>
      <c r="R633" s="9">
        <f>IF($H633&gt;K633, MIN($H633-K633, L633-K633)*INDEX('2018_commission_structure'!$A$1:$I$4,MATCH($E633,'2018_commission_structure'!$A$1:$A$4,0),MATCH(R$1,'2018_commission_structure'!$A$1:$I$1,0)),0)</f>
        <v>0</v>
      </c>
      <c r="S633" s="9">
        <f>IF(H633&gt;L633,(H633-L633)*INDEX('2018_commission_structure'!$A$1:$I$4,MATCH($E633,'2018_commission_structure'!$A$1:$A$4,0),MATCH(S$1,'2018_commission_structure'!$A$1:$I$1,0)),0)</f>
        <v>0</v>
      </c>
      <c r="T633" s="9">
        <f t="shared" si="98"/>
        <v>120017.73</v>
      </c>
      <c r="U633" s="9">
        <f t="shared" si="100"/>
        <v>233697.72999999998</v>
      </c>
      <c r="V633" s="9">
        <f>MIN($I633,$H633)*INDEX('Key Metrics'!$E$16:$N$19,MATCH($E633,'Key Metrics'!$E$16:$E$19,0),MATCH(V$1,'Key Metrics'!$E$16:$M$16,0))</f>
        <v>112500</v>
      </c>
      <c r="W633" s="9">
        <f>IF($H633&gt;I633, MIN($H633-I633, J633-I633)*INDEX('Key Metrics'!$E$16:$N$19,MATCH($E633,'Key Metrics'!$E$16:$E$19,0),MATCH(W$1,'Key Metrics'!$E$16:$M$16,0)),0)</f>
        <v>8704.74</v>
      </c>
      <c r="X633" s="9">
        <f>IF($H633&gt;J633, MIN($H633-J633, K633-J633)*INDEX('Key Metrics'!$E$16:$N$19,MATCH($E633,'Key Metrics'!$E$16:$E$19,0),MATCH(X$1,'Key Metrics'!$E$16:$M$16,0)),0)</f>
        <v>0</v>
      </c>
      <c r="Y633" s="9">
        <f>IF($H633&gt;K633, MIN($H633-K633, L633-K633)*INDEX('Key Metrics'!$E$16:$N$19,MATCH($E633,'Key Metrics'!$E$16:$E$19,0),MATCH(Y$1,'Key Metrics'!$E$16:$M$16,0)),0)</f>
        <v>0</v>
      </c>
      <c r="Z633" s="9">
        <f>IF($H633&gt;L633,($H633-L633)*INDEX('Key Metrics'!$E$16:$N$19,MATCH($E633,'Key Metrics'!$E$16:$E$19,0),MATCH(Z$1,'Key Metrics'!$E$16:$M$16,0)),0)</f>
        <v>0</v>
      </c>
      <c r="AA633" s="9">
        <f t="shared" si="99"/>
        <v>121204.74</v>
      </c>
      <c r="AB633" s="9">
        <f t="shared" si="101"/>
        <v>121205.79275600001</v>
      </c>
    </row>
    <row r="634" spans="1:28" x14ac:dyDescent="0.55000000000000004">
      <c r="A634" t="str">
        <f t="shared" si="92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COUNTIF(deals_closed!$D$2:$D$20001,Calculations!B758)</f>
        <v>11</v>
      </c>
      <c r="H634" s="7">
        <f>SUMIF(deals_closed!$D:$D,Calculations!B758,deals_closed!$C:$C)</f>
        <v>281806</v>
      </c>
      <c r="I634" s="5">
        <f>VLOOKUP(E634,'2018_commission_structure'!$A$1:$I$4,9,FALSE)</f>
        <v>600000</v>
      </c>
      <c r="J634" s="9">
        <f t="shared" si="93"/>
        <v>750000</v>
      </c>
      <c r="K634" s="10">
        <f t="shared" si="94"/>
        <v>900000</v>
      </c>
      <c r="L634" s="9">
        <f t="shared" si="95"/>
        <v>1200000</v>
      </c>
      <c r="M634" s="8">
        <f t="shared" si="96"/>
        <v>0.46967666666666669</v>
      </c>
      <c r="N634" t="str">
        <f t="shared" si="97"/>
        <v>0-100%</v>
      </c>
      <c r="O634" s="9">
        <f>MIN($H634,$I634)*INDEX('2018_commission_structure'!$A$1:$I$4,MATCH($E634,'2018_commission_structure'!$A$1:$A$4,0),MATCH(O$1,'2018_commission_structure'!$A$1:$I$1,0))</f>
        <v>36634.78</v>
      </c>
      <c r="P634" s="9">
        <f>IF(H634&gt;I634, MIN(H634-I634, J634-I634)*INDEX('2018_commission_structure'!$A$1:$I$4,MATCH($E634,'2018_commission_structure'!$A$1:$A$4,0),MATCH(P$1,'2018_commission_structure'!$A$1:$I$1,0)),0)</f>
        <v>0</v>
      </c>
      <c r="Q634" s="9">
        <f>IF($H634&gt;J634, MIN($H634-J634, K634-J634)*INDEX('2018_commission_structure'!$A$1:$I$4,MATCH($E634,'2018_commission_structure'!$A$1:$A$4,0),MATCH(Q$1,'2018_commission_structure'!$A$1:$I$1,0)),0)</f>
        <v>0</v>
      </c>
      <c r="R634" s="9">
        <f>IF($H634&gt;K634, MIN($H634-K634, L634-K634)*INDEX('2018_commission_structure'!$A$1:$I$4,MATCH($E634,'2018_commission_structure'!$A$1:$A$4,0),MATCH(R$1,'2018_commission_structure'!$A$1:$I$1,0)),0)</f>
        <v>0</v>
      </c>
      <c r="S634" s="9">
        <f>IF(H634&gt;L634,(H634-L634)*INDEX('2018_commission_structure'!$A$1:$I$4,MATCH($E634,'2018_commission_structure'!$A$1:$A$4,0),MATCH(S$1,'2018_commission_structure'!$A$1:$I$1,0)),0)</f>
        <v>0</v>
      </c>
      <c r="T634" s="9">
        <f t="shared" si="98"/>
        <v>36634.78</v>
      </c>
      <c r="U634" s="9">
        <f t="shared" si="100"/>
        <v>95086.78</v>
      </c>
      <c r="V634" s="9">
        <f>MIN($I634,$H634)*INDEX('Key Metrics'!$E$16:$N$19,MATCH($E634,'Key Metrics'!$E$16:$E$19,0),MATCH(V$1,'Key Metrics'!$E$16:$M$16,0))</f>
        <v>42270.9</v>
      </c>
      <c r="W634" s="9">
        <f>IF($H634&gt;I634, MIN($H634-I634, J634-I634)*INDEX('Key Metrics'!$E$16:$N$19,MATCH($E634,'Key Metrics'!$E$16:$E$19,0),MATCH(W$1,'Key Metrics'!$E$16:$M$16,0)),0)</f>
        <v>0</v>
      </c>
      <c r="X634" s="9">
        <f>IF($H634&gt;J634, MIN($H634-J634, K634-J634)*INDEX('Key Metrics'!$E$16:$N$19,MATCH($E634,'Key Metrics'!$E$16:$E$19,0),MATCH(X$1,'Key Metrics'!$E$16:$M$16,0)),0)</f>
        <v>0</v>
      </c>
      <c r="Y634" s="9">
        <f>IF($H634&gt;K634, MIN($H634-K634, L634-K634)*INDEX('Key Metrics'!$E$16:$N$19,MATCH($E634,'Key Metrics'!$E$16:$E$19,0),MATCH(Y$1,'Key Metrics'!$E$16:$M$16,0)),0)</f>
        <v>0</v>
      </c>
      <c r="Z634" s="9">
        <f>IF($H634&gt;L634,($H634-L634)*INDEX('Key Metrics'!$E$16:$N$19,MATCH($E634,'Key Metrics'!$E$16:$E$19,0),MATCH(Z$1,'Key Metrics'!$E$16:$M$16,0)),0)</f>
        <v>0</v>
      </c>
      <c r="AA634" s="9">
        <f t="shared" si="99"/>
        <v>42270.9</v>
      </c>
      <c r="AB634" s="9">
        <f t="shared" si="101"/>
        <v>42271.369676666669</v>
      </c>
    </row>
    <row r="635" spans="1:28" x14ac:dyDescent="0.55000000000000004">
      <c r="A635" t="str">
        <f t="shared" si="92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COUNTIF(deals_closed!$D$2:$D$20001,Calculations!B800)</f>
        <v>12</v>
      </c>
      <c r="H635" s="7">
        <f>SUMIF(deals_closed!$D:$D,Calculations!B800,deals_closed!$C:$C)</f>
        <v>336646</v>
      </c>
      <c r="I635" s="5">
        <f>VLOOKUP(E635,'2018_commission_structure'!$A$1:$I$4,9,FALSE)</f>
        <v>600000</v>
      </c>
      <c r="J635" s="9">
        <f t="shared" si="93"/>
        <v>750000</v>
      </c>
      <c r="K635" s="10">
        <f t="shared" si="94"/>
        <v>900000</v>
      </c>
      <c r="L635" s="9">
        <f t="shared" si="95"/>
        <v>1200000</v>
      </c>
      <c r="M635" s="8">
        <f t="shared" si="96"/>
        <v>0.56107666666666667</v>
      </c>
      <c r="N635" t="str">
        <f t="shared" si="97"/>
        <v>0-100%</v>
      </c>
      <c r="O635" s="9">
        <f>MIN($H635,$I635)*INDEX('2018_commission_structure'!$A$1:$I$4,MATCH($E635,'2018_commission_structure'!$A$1:$A$4,0),MATCH(O$1,'2018_commission_structure'!$A$1:$I$1,0))</f>
        <v>43763.98</v>
      </c>
      <c r="P635" s="9">
        <f>IF(H635&gt;I635, MIN(H635-I635, J635-I635)*INDEX('2018_commission_structure'!$A$1:$I$4,MATCH($E635,'2018_commission_structure'!$A$1:$A$4,0),MATCH(P$1,'2018_commission_structure'!$A$1:$I$1,0)),0)</f>
        <v>0</v>
      </c>
      <c r="Q635" s="9">
        <f>IF($H635&gt;J635, MIN($H635-J635, K635-J635)*INDEX('2018_commission_structure'!$A$1:$I$4,MATCH($E635,'2018_commission_structure'!$A$1:$A$4,0),MATCH(Q$1,'2018_commission_structure'!$A$1:$I$1,0)),0)</f>
        <v>0</v>
      </c>
      <c r="R635" s="9">
        <f>IF($H635&gt;K635, MIN($H635-K635, L635-K635)*INDEX('2018_commission_structure'!$A$1:$I$4,MATCH($E635,'2018_commission_structure'!$A$1:$A$4,0),MATCH(R$1,'2018_commission_structure'!$A$1:$I$1,0)),0)</f>
        <v>0</v>
      </c>
      <c r="S635" s="9">
        <f>IF(H635&gt;L635,(H635-L635)*INDEX('2018_commission_structure'!$A$1:$I$4,MATCH($E635,'2018_commission_structure'!$A$1:$A$4,0),MATCH(S$1,'2018_commission_structure'!$A$1:$I$1,0)),0)</f>
        <v>0</v>
      </c>
      <c r="T635" s="9">
        <f t="shared" si="98"/>
        <v>43763.98</v>
      </c>
      <c r="U635" s="9">
        <f t="shared" si="100"/>
        <v>97418.98000000001</v>
      </c>
      <c r="V635" s="9">
        <f>MIN($I635,$H635)*INDEX('Key Metrics'!$E$16:$N$19,MATCH($E635,'Key Metrics'!$E$16:$E$19,0),MATCH(V$1,'Key Metrics'!$E$16:$M$16,0))</f>
        <v>50496.9</v>
      </c>
      <c r="W635" s="9">
        <f>IF($H635&gt;I635, MIN($H635-I635, J635-I635)*INDEX('Key Metrics'!$E$16:$N$19,MATCH($E635,'Key Metrics'!$E$16:$E$19,0),MATCH(W$1,'Key Metrics'!$E$16:$M$16,0)),0)</f>
        <v>0</v>
      </c>
      <c r="X635" s="9">
        <f>IF($H635&gt;J635, MIN($H635-J635, K635-J635)*INDEX('Key Metrics'!$E$16:$N$19,MATCH($E635,'Key Metrics'!$E$16:$E$19,0),MATCH(X$1,'Key Metrics'!$E$16:$M$16,0)),0)</f>
        <v>0</v>
      </c>
      <c r="Y635" s="9">
        <f>IF($H635&gt;K635, MIN($H635-K635, L635-K635)*INDEX('Key Metrics'!$E$16:$N$19,MATCH($E635,'Key Metrics'!$E$16:$E$19,0),MATCH(Y$1,'Key Metrics'!$E$16:$M$16,0)),0)</f>
        <v>0</v>
      </c>
      <c r="Z635" s="9">
        <f>IF($H635&gt;L635,($H635-L635)*INDEX('Key Metrics'!$E$16:$N$19,MATCH($E635,'Key Metrics'!$E$16:$E$19,0),MATCH(Z$1,'Key Metrics'!$E$16:$M$16,0)),0)</f>
        <v>0</v>
      </c>
      <c r="AA635" s="9">
        <f t="shared" si="99"/>
        <v>50496.9</v>
      </c>
      <c r="AB635" s="9">
        <f t="shared" si="101"/>
        <v>50497.461076666666</v>
      </c>
    </row>
    <row r="636" spans="1:28" x14ac:dyDescent="0.55000000000000004">
      <c r="A636" t="str">
        <f t="shared" si="92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COUNTIF(deals_closed!$D$2:$D$20001,Calculations!B285)</f>
        <v>22</v>
      </c>
      <c r="H636" s="7">
        <f>SUMIF(deals_closed!$D:$D,Calculations!B285,deals_closed!$C:$C)</f>
        <v>671936</v>
      </c>
      <c r="I636" s="5">
        <f>VLOOKUP(E636,'2018_commission_structure'!$A$1:$I$4,9,FALSE)</f>
        <v>750000</v>
      </c>
      <c r="J636" s="9">
        <f t="shared" si="93"/>
        <v>937500</v>
      </c>
      <c r="K636" s="10">
        <f t="shared" si="94"/>
        <v>1125000</v>
      </c>
      <c r="L636" s="9">
        <f t="shared" si="95"/>
        <v>1500000</v>
      </c>
      <c r="M636" s="8">
        <f t="shared" si="96"/>
        <v>0.89591466666666664</v>
      </c>
      <c r="N636" t="str">
        <f t="shared" si="97"/>
        <v>0-100%</v>
      </c>
      <c r="O636" s="9">
        <f>MIN($H636,$I636)*INDEX('2018_commission_structure'!$A$1:$I$4,MATCH($E636,'2018_commission_structure'!$A$1:$A$4,0),MATCH(O$1,'2018_commission_structure'!$A$1:$I$1,0))</f>
        <v>100790.39999999999</v>
      </c>
      <c r="P636" s="9">
        <f>IF(H636&gt;I636, MIN(H636-I636, J636-I636)*INDEX('2018_commission_structure'!$A$1:$I$4,MATCH($E636,'2018_commission_structure'!$A$1:$A$4,0),MATCH(P$1,'2018_commission_structure'!$A$1:$I$1,0)),0)</f>
        <v>0</v>
      </c>
      <c r="Q636" s="9">
        <f>IF($H636&gt;J636, MIN($H636-J636, K636-J636)*INDEX('2018_commission_structure'!$A$1:$I$4,MATCH($E636,'2018_commission_structure'!$A$1:$A$4,0),MATCH(Q$1,'2018_commission_structure'!$A$1:$I$1,0)),0)</f>
        <v>0</v>
      </c>
      <c r="R636" s="9">
        <f>IF($H636&gt;K636, MIN($H636-K636, L636-K636)*INDEX('2018_commission_structure'!$A$1:$I$4,MATCH($E636,'2018_commission_structure'!$A$1:$A$4,0),MATCH(R$1,'2018_commission_structure'!$A$1:$I$1,0)),0)</f>
        <v>0</v>
      </c>
      <c r="S636" s="9">
        <f>IF(H636&gt;L636,(H636-L636)*INDEX('2018_commission_structure'!$A$1:$I$4,MATCH($E636,'2018_commission_structure'!$A$1:$A$4,0),MATCH(S$1,'2018_commission_structure'!$A$1:$I$1,0)),0)</f>
        <v>0</v>
      </c>
      <c r="T636" s="9">
        <f t="shared" si="98"/>
        <v>100790.39999999999</v>
      </c>
      <c r="U636" s="9">
        <f t="shared" si="100"/>
        <v>194512.4</v>
      </c>
      <c r="V636" s="9">
        <f>MIN($I636,$H636)*INDEX('Key Metrics'!$E$16:$N$19,MATCH($E636,'Key Metrics'!$E$16:$E$19,0),MATCH(V$1,'Key Metrics'!$E$16:$M$16,0))</f>
        <v>100790.39999999999</v>
      </c>
      <c r="W636" s="9">
        <f>IF($H636&gt;I636, MIN($H636-I636, J636-I636)*INDEX('Key Metrics'!$E$16:$N$19,MATCH($E636,'Key Metrics'!$E$16:$E$19,0),MATCH(W$1,'Key Metrics'!$E$16:$M$16,0)),0)</f>
        <v>0</v>
      </c>
      <c r="X636" s="9">
        <f>IF($H636&gt;J636, MIN($H636-J636, K636-J636)*INDEX('Key Metrics'!$E$16:$N$19,MATCH($E636,'Key Metrics'!$E$16:$E$19,0),MATCH(X$1,'Key Metrics'!$E$16:$M$16,0)),0)</f>
        <v>0</v>
      </c>
      <c r="Y636" s="9">
        <f>IF($H636&gt;K636, MIN($H636-K636, L636-K636)*INDEX('Key Metrics'!$E$16:$N$19,MATCH($E636,'Key Metrics'!$E$16:$E$19,0),MATCH(Y$1,'Key Metrics'!$E$16:$M$16,0)),0)</f>
        <v>0</v>
      </c>
      <c r="Z636" s="9">
        <f>IF($H636&gt;L636,($H636-L636)*INDEX('Key Metrics'!$E$16:$N$19,MATCH($E636,'Key Metrics'!$E$16:$E$19,0),MATCH(Z$1,'Key Metrics'!$E$16:$M$16,0)),0)</f>
        <v>0</v>
      </c>
      <c r="AA636" s="9">
        <f t="shared" si="99"/>
        <v>100790.39999999999</v>
      </c>
      <c r="AB636" s="9">
        <f t="shared" si="101"/>
        <v>100791.29591466665</v>
      </c>
    </row>
    <row r="637" spans="1:28" x14ac:dyDescent="0.55000000000000004">
      <c r="A637" t="str">
        <f t="shared" si="92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COUNTIF(deals_closed!$D$2:$D$20001,Calculations!B554)</f>
        <v>18</v>
      </c>
      <c r="H637" s="7">
        <f>SUMIF(deals_closed!$D:$D,Calculations!B554,deals_closed!$C:$C)</f>
        <v>660133</v>
      </c>
      <c r="I637" s="5">
        <f>VLOOKUP(E637,'2018_commission_structure'!$A$1:$I$4,9,FALSE)</f>
        <v>600000</v>
      </c>
      <c r="J637" s="9">
        <f t="shared" si="93"/>
        <v>750000</v>
      </c>
      <c r="K637" s="10">
        <f t="shared" si="94"/>
        <v>900000</v>
      </c>
      <c r="L637" s="9">
        <f t="shared" si="95"/>
        <v>1200000</v>
      </c>
      <c r="M637" s="8">
        <f t="shared" si="96"/>
        <v>1.1002216666666667</v>
      </c>
      <c r="N637" t="str">
        <f t="shared" si="97"/>
        <v>100-125%</v>
      </c>
      <c r="O637" s="9">
        <f>MIN($H637,$I637)*INDEX('2018_commission_structure'!$A$1:$I$4,MATCH($E637,'2018_commission_structure'!$A$1:$A$4,0),MATCH(O$1,'2018_commission_structure'!$A$1:$I$1,0))</f>
        <v>78000</v>
      </c>
      <c r="P637" s="9">
        <f>IF(H637&gt;I637, MIN(H637-I637, J637-I637)*INDEX('2018_commission_structure'!$A$1:$I$4,MATCH($E637,'2018_commission_structure'!$A$1:$A$4,0),MATCH(P$1,'2018_commission_structure'!$A$1:$I$1,0)),0)</f>
        <v>10222.61</v>
      </c>
      <c r="Q637" s="9">
        <f>IF($H637&gt;J637, MIN($H637-J637, K637-J637)*INDEX('2018_commission_structure'!$A$1:$I$4,MATCH($E637,'2018_commission_structure'!$A$1:$A$4,0),MATCH(Q$1,'2018_commission_structure'!$A$1:$I$1,0)),0)</f>
        <v>0</v>
      </c>
      <c r="R637" s="9">
        <f>IF($H637&gt;K637, MIN($H637-K637, L637-K637)*INDEX('2018_commission_structure'!$A$1:$I$4,MATCH($E637,'2018_commission_structure'!$A$1:$A$4,0),MATCH(R$1,'2018_commission_structure'!$A$1:$I$1,0)),0)</f>
        <v>0</v>
      </c>
      <c r="S637" s="9">
        <f>IF(H637&gt;L637,(H637-L637)*INDEX('2018_commission_structure'!$A$1:$I$4,MATCH($E637,'2018_commission_structure'!$A$1:$A$4,0),MATCH(S$1,'2018_commission_structure'!$A$1:$I$1,0)),0)</f>
        <v>0</v>
      </c>
      <c r="T637" s="9">
        <f t="shared" si="98"/>
        <v>88222.61</v>
      </c>
      <c r="U637" s="9">
        <f t="shared" si="100"/>
        <v>161315.60999999999</v>
      </c>
      <c r="V637" s="9">
        <f>MIN($I637,$H637)*INDEX('Key Metrics'!$E$16:$N$19,MATCH($E637,'Key Metrics'!$E$16:$E$19,0),MATCH(V$1,'Key Metrics'!$E$16:$M$16,0))</f>
        <v>90000</v>
      </c>
      <c r="W637" s="9">
        <f>IF($H637&gt;I637, MIN($H637-I637, J637-I637)*INDEX('Key Metrics'!$E$16:$N$19,MATCH($E637,'Key Metrics'!$E$16:$E$19,0),MATCH(W$1,'Key Metrics'!$E$16:$M$16,0)),0)</f>
        <v>10823.939999999999</v>
      </c>
      <c r="X637" s="9">
        <f>IF($H637&gt;J637, MIN($H637-J637, K637-J637)*INDEX('Key Metrics'!$E$16:$N$19,MATCH($E637,'Key Metrics'!$E$16:$E$19,0),MATCH(X$1,'Key Metrics'!$E$16:$M$16,0)),0)</f>
        <v>0</v>
      </c>
      <c r="Y637" s="9">
        <f>IF($H637&gt;K637, MIN($H637-K637, L637-K637)*INDEX('Key Metrics'!$E$16:$N$19,MATCH($E637,'Key Metrics'!$E$16:$E$19,0),MATCH(Y$1,'Key Metrics'!$E$16:$M$16,0)),0)</f>
        <v>0</v>
      </c>
      <c r="Z637" s="9">
        <f>IF($H637&gt;L637,($H637-L637)*INDEX('Key Metrics'!$E$16:$N$19,MATCH($E637,'Key Metrics'!$E$16:$E$19,0),MATCH(Z$1,'Key Metrics'!$E$16:$M$16,0)),0)</f>
        <v>0</v>
      </c>
      <c r="AA637" s="9">
        <f t="shared" si="99"/>
        <v>100823.94</v>
      </c>
      <c r="AB637" s="9">
        <f t="shared" si="101"/>
        <v>100825.04022166667</v>
      </c>
    </row>
    <row r="638" spans="1:28" x14ac:dyDescent="0.55000000000000004">
      <c r="A638" t="str">
        <f t="shared" si="92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COUNTIF(deals_closed!$D$2:$D$20001,Calculations!B589)</f>
        <v>28</v>
      </c>
      <c r="H638" s="7">
        <f>SUMIF(deals_closed!$D:$D,Calculations!B589,deals_closed!$C:$C)</f>
        <v>1127142</v>
      </c>
      <c r="I638" s="5">
        <f>VLOOKUP(E638,'2018_commission_structure'!$A$1:$I$4,9,FALSE)</f>
        <v>600000</v>
      </c>
      <c r="J638" s="9">
        <f t="shared" si="93"/>
        <v>750000</v>
      </c>
      <c r="K638" s="10">
        <f t="shared" si="94"/>
        <v>900000</v>
      </c>
      <c r="L638" s="9">
        <f t="shared" si="95"/>
        <v>1200000</v>
      </c>
      <c r="M638" s="8">
        <f t="shared" si="96"/>
        <v>1.8785700000000001</v>
      </c>
      <c r="N638" t="str">
        <f t="shared" si="97"/>
        <v>150-200%</v>
      </c>
      <c r="O638" s="9">
        <f>MIN($H638,$I638)*INDEX('2018_commission_structure'!$A$1:$I$4,MATCH($E638,'2018_commission_structure'!$A$1:$A$4,0),MATCH(O$1,'2018_commission_structure'!$A$1:$I$1,0))</f>
        <v>78000</v>
      </c>
      <c r="P638" s="9">
        <f>IF(H638&gt;I638, MIN(H638-I638, J638-I638)*INDEX('2018_commission_structure'!$A$1:$I$4,MATCH($E638,'2018_commission_structure'!$A$1:$A$4,0),MATCH(P$1,'2018_commission_structure'!$A$1:$I$1,0)),0)</f>
        <v>25500.000000000004</v>
      </c>
      <c r="Q638" s="9">
        <f>IF($H638&gt;J638, MIN($H638-J638, K638-J638)*INDEX('2018_commission_structure'!$A$1:$I$4,MATCH($E638,'2018_commission_structure'!$A$1:$A$4,0),MATCH(Q$1,'2018_commission_structure'!$A$1:$I$1,0)),0)</f>
        <v>31500</v>
      </c>
      <c r="R638" s="9">
        <f>IF($H638&gt;K638, MIN($H638-K638, L638-K638)*INDEX('2018_commission_structure'!$A$1:$I$4,MATCH($E638,'2018_commission_structure'!$A$1:$A$4,0),MATCH(R$1,'2018_commission_structure'!$A$1:$I$1,0)),0)</f>
        <v>59056.920000000006</v>
      </c>
      <c r="S638" s="9">
        <f>IF(H638&gt;L638,(H638-L638)*INDEX('2018_commission_structure'!$A$1:$I$4,MATCH($E638,'2018_commission_structure'!$A$1:$A$4,0),MATCH(S$1,'2018_commission_structure'!$A$1:$I$1,0)),0)</f>
        <v>0</v>
      </c>
      <c r="T638" s="9">
        <f t="shared" si="98"/>
        <v>194056.92</v>
      </c>
      <c r="U638" s="9">
        <f t="shared" si="100"/>
        <v>259644.92</v>
      </c>
      <c r="V638" s="9">
        <f>MIN($I638,$H638)*INDEX('Key Metrics'!$E$16:$N$19,MATCH($E638,'Key Metrics'!$E$16:$E$19,0),MATCH(V$1,'Key Metrics'!$E$16:$M$16,0))</f>
        <v>90000</v>
      </c>
      <c r="W638" s="9">
        <f>IF($H638&gt;I638, MIN($H638-I638, J638-I638)*INDEX('Key Metrics'!$E$16:$N$19,MATCH($E638,'Key Metrics'!$E$16:$E$19,0),MATCH(W$1,'Key Metrics'!$E$16:$M$16,0)),0)</f>
        <v>27000</v>
      </c>
      <c r="X638" s="9">
        <f>IF($H638&gt;J638, MIN($H638-J638, K638-J638)*INDEX('Key Metrics'!$E$16:$N$19,MATCH($E638,'Key Metrics'!$E$16:$E$19,0),MATCH(X$1,'Key Metrics'!$E$16:$M$16,0)),0)</f>
        <v>37500</v>
      </c>
      <c r="Y638" s="9">
        <f>IF($H638&gt;K638, MIN($H638-K638, L638-K638)*INDEX('Key Metrics'!$E$16:$N$19,MATCH($E638,'Key Metrics'!$E$16:$E$19,0),MATCH(Y$1,'Key Metrics'!$E$16:$M$16,0)),0)</f>
        <v>68142.599999999991</v>
      </c>
      <c r="Z638" s="9">
        <f>IF($H638&gt;L638,($H638-L638)*INDEX('Key Metrics'!$E$16:$N$19,MATCH($E638,'Key Metrics'!$E$16:$E$19,0),MATCH(Z$1,'Key Metrics'!$E$16:$M$16,0)),0)</f>
        <v>0</v>
      </c>
      <c r="AA638" s="9">
        <f t="shared" si="99"/>
        <v>222642.59999999998</v>
      </c>
      <c r="AB638" s="9">
        <f t="shared" si="101"/>
        <v>222644.47856999998</v>
      </c>
    </row>
    <row r="639" spans="1:28" x14ac:dyDescent="0.55000000000000004">
      <c r="A639" t="str">
        <f t="shared" si="92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COUNTIF(deals_closed!$D$2:$D$20001,Calculations!B323)</f>
        <v>22</v>
      </c>
      <c r="H639" s="7">
        <f>SUMIF(deals_closed!$D:$D,Calculations!B323,deals_closed!$C:$C)</f>
        <v>780989</v>
      </c>
      <c r="I639" s="5">
        <f>VLOOKUP(E639,'2018_commission_structure'!$A$1:$I$4,9,FALSE)</f>
        <v>500000</v>
      </c>
      <c r="J639" s="9">
        <f t="shared" si="93"/>
        <v>625000</v>
      </c>
      <c r="K639" s="10">
        <f t="shared" si="94"/>
        <v>750000</v>
      </c>
      <c r="L639" s="9">
        <f t="shared" si="95"/>
        <v>1000000</v>
      </c>
      <c r="M639" s="8">
        <f t="shared" si="96"/>
        <v>1.5619780000000001</v>
      </c>
      <c r="N639" t="str">
        <f t="shared" si="97"/>
        <v>150-200%</v>
      </c>
      <c r="O639" s="9">
        <f>MIN($H639,$I639)*INDEX('2018_commission_structure'!$A$1:$I$4,MATCH($E639,'2018_commission_structure'!$A$1:$A$4,0),MATCH(O$1,'2018_commission_structure'!$A$1:$I$1,0))</f>
        <v>50000</v>
      </c>
      <c r="P639" s="9">
        <f>IF(H639&gt;I639, MIN(H639-I639, J639-I639)*INDEX('2018_commission_structure'!$A$1:$I$4,MATCH($E639,'2018_commission_structure'!$A$1:$A$4,0),MATCH(P$1,'2018_commission_structure'!$A$1:$I$1,0)),0)</f>
        <v>18750</v>
      </c>
      <c r="Q639" s="9">
        <f>IF($H639&gt;J639, MIN($H639-J639, K639-J639)*INDEX('2018_commission_structure'!$A$1:$I$4,MATCH($E639,'2018_commission_structure'!$A$1:$A$4,0),MATCH(Q$1,'2018_commission_structure'!$A$1:$I$1,0)),0)</f>
        <v>22500</v>
      </c>
      <c r="R639" s="9">
        <f>IF($H639&gt;K639, MIN($H639-K639, L639-K639)*INDEX('2018_commission_structure'!$A$1:$I$4,MATCH($E639,'2018_commission_structure'!$A$1:$A$4,0),MATCH(R$1,'2018_commission_structure'!$A$1:$I$1,0)),0)</f>
        <v>6817.58</v>
      </c>
      <c r="S639" s="9">
        <f>IF(H639&gt;L639,(H639-L639)*INDEX('2018_commission_structure'!$A$1:$I$4,MATCH($E639,'2018_commission_structure'!$A$1:$A$4,0),MATCH(S$1,'2018_commission_structure'!$A$1:$I$1,0)),0)</f>
        <v>0</v>
      </c>
      <c r="T639" s="9">
        <f t="shared" si="98"/>
        <v>98067.58</v>
      </c>
      <c r="U639" s="9">
        <f t="shared" si="100"/>
        <v>137570.58000000002</v>
      </c>
      <c r="V639" s="9">
        <f>MIN($I639,$H639)*INDEX('Key Metrics'!$E$16:$N$19,MATCH($E639,'Key Metrics'!$E$16:$E$19,0),MATCH(V$1,'Key Metrics'!$E$16:$M$16,0))</f>
        <v>60000</v>
      </c>
      <c r="W639" s="9">
        <f>IF($H639&gt;I639, MIN($H639-I639, J639-I639)*INDEX('Key Metrics'!$E$16:$N$19,MATCH($E639,'Key Metrics'!$E$16:$E$19,0),MATCH(W$1,'Key Metrics'!$E$16:$M$16,0)),0)</f>
        <v>21250</v>
      </c>
      <c r="X639" s="9">
        <f>IF($H639&gt;J639, MIN($H639-J639, K639-J639)*INDEX('Key Metrics'!$E$16:$N$19,MATCH($E639,'Key Metrics'!$E$16:$E$19,0),MATCH(X$1,'Key Metrics'!$E$16:$M$16,0)),0)</f>
        <v>25000</v>
      </c>
      <c r="Y639" s="9">
        <f>IF($H639&gt;K639, MIN($H639-K639, L639-K639)*INDEX('Key Metrics'!$E$16:$N$19,MATCH($E639,'Key Metrics'!$E$16:$E$19,0),MATCH(Y$1,'Key Metrics'!$E$16:$M$16,0)),0)</f>
        <v>6817.58</v>
      </c>
      <c r="Z639" s="9">
        <f>IF($H639&gt;L639,($H639-L639)*INDEX('Key Metrics'!$E$16:$N$19,MATCH($E639,'Key Metrics'!$E$16:$E$19,0),MATCH(Z$1,'Key Metrics'!$E$16:$M$16,0)),0)</f>
        <v>0</v>
      </c>
      <c r="AA639" s="9">
        <f t="shared" si="99"/>
        <v>113067.58</v>
      </c>
      <c r="AB639" s="9">
        <f t="shared" si="101"/>
        <v>113069.141978</v>
      </c>
    </row>
    <row r="640" spans="1:28" x14ac:dyDescent="0.55000000000000004">
      <c r="A640" t="str">
        <f t="shared" si="92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COUNTIF(deals_closed!$D$2:$D$20001,Calculations!B931)</f>
        <v>27</v>
      </c>
      <c r="H640" s="7">
        <f>SUMIF(deals_closed!$D:$D,Calculations!B931,deals_closed!$C:$C)</f>
        <v>929293</v>
      </c>
      <c r="I640" s="5">
        <f>VLOOKUP(E640,'2018_commission_structure'!$A$1:$I$4,9,FALSE)</f>
        <v>600000</v>
      </c>
      <c r="J640" s="9">
        <f t="shared" si="93"/>
        <v>750000</v>
      </c>
      <c r="K640" s="10">
        <f t="shared" si="94"/>
        <v>900000</v>
      </c>
      <c r="L640" s="9">
        <f t="shared" si="95"/>
        <v>1200000</v>
      </c>
      <c r="M640" s="8">
        <f t="shared" si="96"/>
        <v>1.5488216666666668</v>
      </c>
      <c r="N640" t="str">
        <f t="shared" si="97"/>
        <v>150-200%</v>
      </c>
      <c r="O640" s="9">
        <f>MIN($H640,$I640)*INDEX('2018_commission_structure'!$A$1:$I$4,MATCH($E640,'2018_commission_structure'!$A$1:$A$4,0),MATCH(O$1,'2018_commission_structure'!$A$1:$I$1,0))</f>
        <v>78000</v>
      </c>
      <c r="P640" s="9">
        <f>IF(H640&gt;I640, MIN(H640-I640, J640-I640)*INDEX('2018_commission_structure'!$A$1:$I$4,MATCH($E640,'2018_commission_structure'!$A$1:$A$4,0),MATCH(P$1,'2018_commission_structure'!$A$1:$I$1,0)),0)</f>
        <v>25500.000000000004</v>
      </c>
      <c r="Q640" s="9">
        <f>IF($H640&gt;J640, MIN($H640-J640, K640-J640)*INDEX('2018_commission_structure'!$A$1:$I$4,MATCH($E640,'2018_commission_structure'!$A$1:$A$4,0),MATCH(Q$1,'2018_commission_structure'!$A$1:$I$1,0)),0)</f>
        <v>31500</v>
      </c>
      <c r="R640" s="9">
        <f>IF($H640&gt;K640, MIN($H640-K640, L640-K640)*INDEX('2018_commission_structure'!$A$1:$I$4,MATCH($E640,'2018_commission_structure'!$A$1:$A$4,0),MATCH(R$1,'2018_commission_structure'!$A$1:$I$1,0)),0)</f>
        <v>7616.18</v>
      </c>
      <c r="S640" s="9">
        <f>IF(H640&gt;L640,(H640-L640)*INDEX('2018_commission_structure'!$A$1:$I$4,MATCH($E640,'2018_commission_structure'!$A$1:$A$4,0),MATCH(S$1,'2018_commission_structure'!$A$1:$I$1,0)),0)</f>
        <v>0</v>
      </c>
      <c r="T640" s="9">
        <f t="shared" si="98"/>
        <v>142616.18</v>
      </c>
      <c r="U640" s="9">
        <f t="shared" si="100"/>
        <v>213339.18</v>
      </c>
      <c r="V640" s="9">
        <f>MIN($I640,$H640)*INDEX('Key Metrics'!$E$16:$N$19,MATCH($E640,'Key Metrics'!$E$16:$E$19,0),MATCH(V$1,'Key Metrics'!$E$16:$M$16,0))</f>
        <v>90000</v>
      </c>
      <c r="W640" s="9">
        <f>IF($H640&gt;I640, MIN($H640-I640, J640-I640)*INDEX('Key Metrics'!$E$16:$N$19,MATCH($E640,'Key Metrics'!$E$16:$E$19,0),MATCH(W$1,'Key Metrics'!$E$16:$M$16,0)),0)</f>
        <v>27000</v>
      </c>
      <c r="X640" s="9">
        <f>IF($H640&gt;J640, MIN($H640-J640, K640-J640)*INDEX('Key Metrics'!$E$16:$N$19,MATCH($E640,'Key Metrics'!$E$16:$E$19,0),MATCH(X$1,'Key Metrics'!$E$16:$M$16,0)),0)</f>
        <v>37500</v>
      </c>
      <c r="Y640" s="9">
        <f>IF($H640&gt;K640, MIN($H640-K640, L640-K640)*INDEX('Key Metrics'!$E$16:$N$19,MATCH($E640,'Key Metrics'!$E$16:$E$19,0),MATCH(Y$1,'Key Metrics'!$E$16:$M$16,0)),0)</f>
        <v>8787.9</v>
      </c>
      <c r="Z640" s="9">
        <f>IF($H640&gt;L640,($H640-L640)*INDEX('Key Metrics'!$E$16:$N$19,MATCH($E640,'Key Metrics'!$E$16:$E$19,0),MATCH(Z$1,'Key Metrics'!$E$16:$M$16,0)),0)</f>
        <v>0</v>
      </c>
      <c r="AA640" s="9">
        <f t="shared" si="99"/>
        <v>163287.9</v>
      </c>
      <c r="AB640" s="9">
        <f t="shared" si="101"/>
        <v>163289.44882166665</v>
      </c>
    </row>
    <row r="641" spans="1:28" x14ac:dyDescent="0.55000000000000004">
      <c r="A641" t="str">
        <f t="shared" si="92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COUNTIF(deals_closed!$D$2:$D$20001,Calculations!B548)</f>
        <v>21</v>
      </c>
      <c r="H641" s="7">
        <f>SUMIF(deals_closed!$D:$D,Calculations!B548,deals_closed!$C:$C)</f>
        <v>808131</v>
      </c>
      <c r="I641" s="5">
        <f>VLOOKUP(E641,'2018_commission_structure'!$A$1:$I$4,9,FALSE)</f>
        <v>750000</v>
      </c>
      <c r="J641" s="9">
        <f t="shared" si="93"/>
        <v>937500</v>
      </c>
      <c r="K641" s="10">
        <f t="shared" si="94"/>
        <v>1125000</v>
      </c>
      <c r="L641" s="9">
        <f t="shared" si="95"/>
        <v>1500000</v>
      </c>
      <c r="M641" s="8">
        <f t="shared" si="96"/>
        <v>1.0775079999999999</v>
      </c>
      <c r="N641" t="str">
        <f t="shared" si="97"/>
        <v>100-125%</v>
      </c>
      <c r="O641" s="9">
        <f>MIN($H641,$I641)*INDEX('2018_commission_structure'!$A$1:$I$4,MATCH($E641,'2018_commission_structure'!$A$1:$A$4,0),MATCH(O$1,'2018_commission_structure'!$A$1:$I$1,0))</f>
        <v>112500</v>
      </c>
      <c r="P641" s="9">
        <f>IF(H641&gt;I641, MIN(H641-I641, J641-I641)*INDEX('2018_commission_structure'!$A$1:$I$4,MATCH($E641,'2018_commission_structure'!$A$1:$A$4,0),MATCH(P$1,'2018_commission_structure'!$A$1:$I$1,0)),0)</f>
        <v>11044.89</v>
      </c>
      <c r="Q641" s="9">
        <f>IF($H641&gt;J641, MIN($H641-J641, K641-J641)*INDEX('2018_commission_structure'!$A$1:$I$4,MATCH($E641,'2018_commission_structure'!$A$1:$A$4,0),MATCH(Q$1,'2018_commission_structure'!$A$1:$I$1,0)),0)</f>
        <v>0</v>
      </c>
      <c r="R641" s="9">
        <f>IF($H641&gt;K641, MIN($H641-K641, L641-K641)*INDEX('2018_commission_structure'!$A$1:$I$4,MATCH($E641,'2018_commission_structure'!$A$1:$A$4,0),MATCH(R$1,'2018_commission_structure'!$A$1:$I$1,0)),0)</f>
        <v>0</v>
      </c>
      <c r="S641" s="9">
        <f>IF(H641&gt;L641,(H641-L641)*INDEX('2018_commission_structure'!$A$1:$I$4,MATCH($E641,'2018_commission_structure'!$A$1:$A$4,0),MATCH(S$1,'2018_commission_structure'!$A$1:$I$1,0)),0)</f>
        <v>0</v>
      </c>
      <c r="T641" s="9">
        <f t="shared" si="98"/>
        <v>123544.89</v>
      </c>
      <c r="U641" s="9">
        <f t="shared" si="100"/>
        <v>248062.89</v>
      </c>
      <c r="V641" s="9">
        <f>MIN($I641,$H641)*INDEX('Key Metrics'!$E$16:$N$19,MATCH($E641,'Key Metrics'!$E$16:$E$19,0),MATCH(V$1,'Key Metrics'!$E$16:$M$16,0))</f>
        <v>112500</v>
      </c>
      <c r="W641" s="9">
        <f>IF($H641&gt;I641, MIN($H641-I641, J641-I641)*INDEX('Key Metrics'!$E$16:$N$19,MATCH($E641,'Key Metrics'!$E$16:$E$19,0),MATCH(W$1,'Key Metrics'!$E$16:$M$16,0)),0)</f>
        <v>12788.82</v>
      </c>
      <c r="X641" s="9">
        <f>IF($H641&gt;J641, MIN($H641-J641, K641-J641)*INDEX('Key Metrics'!$E$16:$N$19,MATCH($E641,'Key Metrics'!$E$16:$E$19,0),MATCH(X$1,'Key Metrics'!$E$16:$M$16,0)),0)</f>
        <v>0</v>
      </c>
      <c r="Y641" s="9">
        <f>IF($H641&gt;K641, MIN($H641-K641, L641-K641)*INDEX('Key Metrics'!$E$16:$N$19,MATCH($E641,'Key Metrics'!$E$16:$E$19,0),MATCH(Y$1,'Key Metrics'!$E$16:$M$16,0)),0)</f>
        <v>0</v>
      </c>
      <c r="Z641" s="9">
        <f>IF($H641&gt;L641,($H641-L641)*INDEX('Key Metrics'!$E$16:$N$19,MATCH($E641,'Key Metrics'!$E$16:$E$19,0),MATCH(Z$1,'Key Metrics'!$E$16:$M$16,0)),0)</f>
        <v>0</v>
      </c>
      <c r="AA641" s="9">
        <f t="shared" si="99"/>
        <v>125288.82</v>
      </c>
      <c r="AB641" s="9">
        <f t="shared" si="101"/>
        <v>125289.89750800001</v>
      </c>
    </row>
    <row r="642" spans="1:28" x14ac:dyDescent="0.55000000000000004">
      <c r="A642" t="str">
        <f t="shared" ref="A642:A705" si="102">CONCATENATE(C642," ",D642)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COUNTIF(deals_closed!$D$2:$D$20001,Calculations!B137)</f>
        <v>25</v>
      </c>
      <c r="H642" s="7">
        <f>SUMIF(deals_closed!$D:$D,Calculations!B137,deals_closed!$C:$C)</f>
        <v>851032</v>
      </c>
      <c r="I642" s="5">
        <f>VLOOKUP(E642,'2018_commission_structure'!$A$1:$I$4,9,FALSE)</f>
        <v>750000</v>
      </c>
      <c r="J642" s="9">
        <f t="shared" ref="J642:J705" si="103">I642*1.25</f>
        <v>937500</v>
      </c>
      <c r="K642" s="10">
        <f t="shared" ref="K642:K705" si="104">I642*1.5</f>
        <v>1125000</v>
      </c>
      <c r="L642" s="9">
        <f t="shared" ref="L642:L705" si="105">I642*2</f>
        <v>1500000</v>
      </c>
      <c r="M642" s="8">
        <f t="shared" ref="M642:M705" si="106">H642/I642</f>
        <v>1.1347093333333333</v>
      </c>
      <c r="N642" t="str">
        <f t="shared" ref="N642:N705" si="107">IF(M642&lt;=100%,"0-100%",IF(M642&lt;=125%,"100-125%",IF(M642&lt;=150%,"125-150%",IF(M642&lt;=200%,"150-200%","&gt;200%"))))</f>
        <v>100-125%</v>
      </c>
      <c r="O642" s="9">
        <f>MIN($H642,$I642)*INDEX('2018_commission_structure'!$A$1:$I$4,MATCH($E642,'2018_commission_structure'!$A$1:$A$4,0),MATCH(O$1,'2018_commission_structure'!$A$1:$I$1,0))</f>
        <v>112500</v>
      </c>
      <c r="P642" s="9">
        <f>IF(H642&gt;I642, MIN(H642-I642, J642-I642)*INDEX('2018_commission_structure'!$A$1:$I$4,MATCH($E642,'2018_commission_structure'!$A$1:$A$4,0),MATCH(P$1,'2018_commission_structure'!$A$1:$I$1,0)),0)</f>
        <v>19196.080000000002</v>
      </c>
      <c r="Q642" s="9">
        <f>IF($H642&gt;J642, MIN($H642-J642, K642-J642)*INDEX('2018_commission_structure'!$A$1:$I$4,MATCH($E642,'2018_commission_structure'!$A$1:$A$4,0),MATCH(Q$1,'2018_commission_structure'!$A$1:$I$1,0)),0)</f>
        <v>0</v>
      </c>
      <c r="R642" s="9">
        <f>IF($H642&gt;K642, MIN($H642-K642, L642-K642)*INDEX('2018_commission_structure'!$A$1:$I$4,MATCH($E642,'2018_commission_structure'!$A$1:$A$4,0),MATCH(R$1,'2018_commission_structure'!$A$1:$I$1,0)),0)</f>
        <v>0</v>
      </c>
      <c r="S642" s="9">
        <f>IF(H642&gt;L642,(H642-L642)*INDEX('2018_commission_structure'!$A$1:$I$4,MATCH($E642,'2018_commission_structure'!$A$1:$A$4,0),MATCH(S$1,'2018_commission_structure'!$A$1:$I$1,0)),0)</f>
        <v>0</v>
      </c>
      <c r="T642" s="9">
        <f t="shared" ref="T642:T705" si="108">SUM(O642:S642)</f>
        <v>131696.08000000002</v>
      </c>
      <c r="U642" s="9">
        <f t="shared" si="100"/>
        <v>253080.08000000002</v>
      </c>
      <c r="V642" s="9">
        <f>MIN($I642,$H642)*INDEX('Key Metrics'!$E$16:$N$19,MATCH($E642,'Key Metrics'!$E$16:$E$19,0),MATCH(V$1,'Key Metrics'!$E$16:$M$16,0))</f>
        <v>112500</v>
      </c>
      <c r="W642" s="9">
        <f>IF($H642&gt;I642, MIN($H642-I642, J642-I642)*INDEX('Key Metrics'!$E$16:$N$19,MATCH($E642,'Key Metrics'!$E$16:$E$19,0),MATCH(W$1,'Key Metrics'!$E$16:$M$16,0)),0)</f>
        <v>22227.040000000001</v>
      </c>
      <c r="X642" s="9">
        <f>IF($H642&gt;J642, MIN($H642-J642, K642-J642)*INDEX('Key Metrics'!$E$16:$N$19,MATCH($E642,'Key Metrics'!$E$16:$E$19,0),MATCH(X$1,'Key Metrics'!$E$16:$M$16,0)),0)</f>
        <v>0</v>
      </c>
      <c r="Y642" s="9">
        <f>IF($H642&gt;K642, MIN($H642-K642, L642-K642)*INDEX('Key Metrics'!$E$16:$N$19,MATCH($E642,'Key Metrics'!$E$16:$E$19,0),MATCH(Y$1,'Key Metrics'!$E$16:$M$16,0)),0)</f>
        <v>0</v>
      </c>
      <c r="Z642" s="9">
        <f>IF($H642&gt;L642,($H642-L642)*INDEX('Key Metrics'!$E$16:$N$19,MATCH($E642,'Key Metrics'!$E$16:$E$19,0),MATCH(Z$1,'Key Metrics'!$E$16:$M$16,0)),0)</f>
        <v>0</v>
      </c>
      <c r="AA642" s="9">
        <f t="shared" ref="AA642:AA705" si="109">SUM(V642:Z642)</f>
        <v>134727.04000000001</v>
      </c>
      <c r="AB642" s="9">
        <f t="shared" si="101"/>
        <v>134728.17470933334</v>
      </c>
    </row>
    <row r="643" spans="1:28" x14ac:dyDescent="0.55000000000000004">
      <c r="A643" t="str">
        <f t="shared" si="102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COUNTIF(deals_closed!$D$2:$D$20001,Calculations!B557)</f>
        <v>18</v>
      </c>
      <c r="H643" s="7">
        <f>SUMIF(deals_closed!$D:$D,Calculations!B557,deals_closed!$C:$C)</f>
        <v>637903</v>
      </c>
      <c r="I643" s="5">
        <f>VLOOKUP(E643,'2018_commission_structure'!$A$1:$I$4,9,FALSE)</f>
        <v>500000</v>
      </c>
      <c r="J643" s="9">
        <f t="shared" si="103"/>
        <v>625000</v>
      </c>
      <c r="K643" s="10">
        <f t="shared" si="104"/>
        <v>750000</v>
      </c>
      <c r="L643" s="9">
        <f t="shared" si="105"/>
        <v>1000000</v>
      </c>
      <c r="M643" s="8">
        <f t="shared" si="106"/>
        <v>1.275806</v>
      </c>
      <c r="N643" t="str">
        <f t="shared" si="107"/>
        <v>125-150%</v>
      </c>
      <c r="O643" s="9">
        <f>MIN($H643,$I643)*INDEX('2018_commission_structure'!$A$1:$I$4,MATCH($E643,'2018_commission_structure'!$A$1:$A$4,0),MATCH(O$1,'2018_commission_structure'!$A$1:$I$1,0))</f>
        <v>50000</v>
      </c>
      <c r="P643" s="9">
        <f>IF(H643&gt;I643, MIN(H643-I643, J643-I643)*INDEX('2018_commission_structure'!$A$1:$I$4,MATCH($E643,'2018_commission_structure'!$A$1:$A$4,0),MATCH(P$1,'2018_commission_structure'!$A$1:$I$1,0)),0)</f>
        <v>18750</v>
      </c>
      <c r="Q643" s="9">
        <f>IF($H643&gt;J643, MIN($H643-J643, K643-J643)*INDEX('2018_commission_structure'!$A$1:$I$4,MATCH($E643,'2018_commission_structure'!$A$1:$A$4,0),MATCH(Q$1,'2018_commission_structure'!$A$1:$I$1,0)),0)</f>
        <v>2322.54</v>
      </c>
      <c r="R643" s="9">
        <f>IF($H643&gt;K643, MIN($H643-K643, L643-K643)*INDEX('2018_commission_structure'!$A$1:$I$4,MATCH($E643,'2018_commission_structure'!$A$1:$A$4,0),MATCH(R$1,'2018_commission_structure'!$A$1:$I$1,0)),0)</f>
        <v>0</v>
      </c>
      <c r="S643" s="9">
        <f>IF(H643&gt;L643,(H643-L643)*INDEX('2018_commission_structure'!$A$1:$I$4,MATCH($E643,'2018_commission_structure'!$A$1:$A$4,0),MATCH(S$1,'2018_commission_structure'!$A$1:$I$1,0)),0)</f>
        <v>0</v>
      </c>
      <c r="T643" s="9">
        <f t="shared" si="108"/>
        <v>71072.539999999994</v>
      </c>
      <c r="U643" s="9">
        <f t="shared" si="100"/>
        <v>120611.54</v>
      </c>
      <c r="V643" s="9">
        <f>MIN($I643,$H643)*INDEX('Key Metrics'!$E$16:$N$19,MATCH($E643,'Key Metrics'!$E$16:$E$19,0),MATCH(V$1,'Key Metrics'!$E$16:$M$16,0))</f>
        <v>60000</v>
      </c>
      <c r="W643" s="9">
        <f>IF($H643&gt;I643, MIN($H643-I643, J643-I643)*INDEX('Key Metrics'!$E$16:$N$19,MATCH($E643,'Key Metrics'!$E$16:$E$19,0),MATCH(W$1,'Key Metrics'!$E$16:$M$16,0)),0)</f>
        <v>21250</v>
      </c>
      <c r="X643" s="9">
        <f>IF($H643&gt;J643, MIN($H643-J643, K643-J643)*INDEX('Key Metrics'!$E$16:$N$19,MATCH($E643,'Key Metrics'!$E$16:$E$19,0),MATCH(X$1,'Key Metrics'!$E$16:$M$16,0)),0)</f>
        <v>2580.6000000000004</v>
      </c>
      <c r="Y643" s="9">
        <f>IF($H643&gt;K643, MIN($H643-K643, L643-K643)*INDEX('Key Metrics'!$E$16:$N$19,MATCH($E643,'Key Metrics'!$E$16:$E$19,0),MATCH(Y$1,'Key Metrics'!$E$16:$M$16,0)),0)</f>
        <v>0</v>
      </c>
      <c r="Z643" s="9">
        <f>IF($H643&gt;L643,($H643-L643)*INDEX('Key Metrics'!$E$16:$N$19,MATCH($E643,'Key Metrics'!$E$16:$E$19,0),MATCH(Z$1,'Key Metrics'!$E$16:$M$16,0)),0)</f>
        <v>0</v>
      </c>
      <c r="AA643" s="9">
        <f t="shared" si="109"/>
        <v>83830.600000000006</v>
      </c>
      <c r="AB643" s="9">
        <f t="shared" si="101"/>
        <v>83831.875806000011</v>
      </c>
    </row>
    <row r="644" spans="1:28" x14ac:dyDescent="0.55000000000000004">
      <c r="A644" t="str">
        <f t="shared" si="102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COUNTIF(deals_closed!$D$2:$D$20001,Calculations!B653)</f>
        <v>21</v>
      </c>
      <c r="H644" s="7">
        <f>SUMIF(deals_closed!$D:$D,Calculations!B653,deals_closed!$C:$C)</f>
        <v>781397</v>
      </c>
      <c r="I644" s="5">
        <f>VLOOKUP(E644,'2018_commission_structure'!$A$1:$I$4,9,FALSE)</f>
        <v>750000</v>
      </c>
      <c r="J644" s="9">
        <f t="shared" si="103"/>
        <v>937500</v>
      </c>
      <c r="K644" s="10">
        <f t="shared" si="104"/>
        <v>1125000</v>
      </c>
      <c r="L644" s="9">
        <f t="shared" si="105"/>
        <v>1500000</v>
      </c>
      <c r="M644" s="8">
        <f t="shared" si="106"/>
        <v>1.0418626666666666</v>
      </c>
      <c r="N644" t="str">
        <f t="shared" si="107"/>
        <v>100-125%</v>
      </c>
      <c r="O644" s="9">
        <f>MIN($H644,$I644)*INDEX('2018_commission_structure'!$A$1:$I$4,MATCH($E644,'2018_commission_structure'!$A$1:$A$4,0),MATCH(O$1,'2018_commission_structure'!$A$1:$I$1,0))</f>
        <v>112500</v>
      </c>
      <c r="P644" s="9">
        <f>IF(H644&gt;I644, MIN(H644-I644, J644-I644)*INDEX('2018_commission_structure'!$A$1:$I$4,MATCH($E644,'2018_commission_structure'!$A$1:$A$4,0),MATCH(P$1,'2018_commission_structure'!$A$1:$I$1,0)),0)</f>
        <v>5965.43</v>
      </c>
      <c r="Q644" s="9">
        <f>IF($H644&gt;J644, MIN($H644-J644, K644-J644)*INDEX('2018_commission_structure'!$A$1:$I$4,MATCH($E644,'2018_commission_structure'!$A$1:$A$4,0),MATCH(Q$1,'2018_commission_structure'!$A$1:$I$1,0)),0)</f>
        <v>0</v>
      </c>
      <c r="R644" s="9">
        <f>IF($H644&gt;K644, MIN($H644-K644, L644-K644)*INDEX('2018_commission_structure'!$A$1:$I$4,MATCH($E644,'2018_commission_structure'!$A$1:$A$4,0),MATCH(R$1,'2018_commission_structure'!$A$1:$I$1,0)),0)</f>
        <v>0</v>
      </c>
      <c r="S644" s="9">
        <f>IF(H644&gt;L644,(H644-L644)*INDEX('2018_commission_structure'!$A$1:$I$4,MATCH($E644,'2018_commission_structure'!$A$1:$A$4,0),MATCH(S$1,'2018_commission_structure'!$A$1:$I$1,0)),0)</f>
        <v>0</v>
      </c>
      <c r="T644" s="9">
        <f t="shared" si="108"/>
        <v>118465.43</v>
      </c>
      <c r="U644" s="9">
        <f t="shared" si="100"/>
        <v>241316.43</v>
      </c>
      <c r="V644" s="9">
        <f>MIN($I644,$H644)*INDEX('Key Metrics'!$E$16:$N$19,MATCH($E644,'Key Metrics'!$E$16:$E$19,0),MATCH(V$1,'Key Metrics'!$E$16:$M$16,0))</f>
        <v>112500</v>
      </c>
      <c r="W644" s="9">
        <f>IF($H644&gt;I644, MIN($H644-I644, J644-I644)*INDEX('Key Metrics'!$E$16:$N$19,MATCH($E644,'Key Metrics'!$E$16:$E$19,0),MATCH(W$1,'Key Metrics'!$E$16:$M$16,0)),0)</f>
        <v>6907.34</v>
      </c>
      <c r="X644" s="9">
        <f>IF($H644&gt;J644, MIN($H644-J644, K644-J644)*INDEX('Key Metrics'!$E$16:$N$19,MATCH($E644,'Key Metrics'!$E$16:$E$19,0),MATCH(X$1,'Key Metrics'!$E$16:$M$16,0)),0)</f>
        <v>0</v>
      </c>
      <c r="Y644" s="9">
        <f>IF($H644&gt;K644, MIN($H644-K644, L644-K644)*INDEX('Key Metrics'!$E$16:$N$19,MATCH($E644,'Key Metrics'!$E$16:$E$19,0),MATCH(Y$1,'Key Metrics'!$E$16:$M$16,0)),0)</f>
        <v>0</v>
      </c>
      <c r="Z644" s="9">
        <f>IF($H644&gt;L644,($H644-L644)*INDEX('Key Metrics'!$E$16:$N$19,MATCH($E644,'Key Metrics'!$E$16:$E$19,0),MATCH(Z$1,'Key Metrics'!$E$16:$M$16,0)),0)</f>
        <v>0</v>
      </c>
      <c r="AA644" s="9">
        <f t="shared" si="109"/>
        <v>119407.34</v>
      </c>
      <c r="AB644" s="9">
        <f t="shared" si="101"/>
        <v>119408.38186266666</v>
      </c>
    </row>
    <row r="645" spans="1:28" x14ac:dyDescent="0.55000000000000004">
      <c r="A645" t="str">
        <f t="shared" si="102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COUNTIF(deals_closed!$D$2:$D$20001,Calculations!B646)</f>
        <v>20</v>
      </c>
      <c r="H645" s="7">
        <f>SUMIF(deals_closed!$D:$D,Calculations!B646,deals_closed!$C:$C)</f>
        <v>683641</v>
      </c>
      <c r="I645" s="5">
        <f>VLOOKUP(E645,'2018_commission_structure'!$A$1:$I$4,9,FALSE)</f>
        <v>600000</v>
      </c>
      <c r="J645" s="9">
        <f t="shared" si="103"/>
        <v>750000</v>
      </c>
      <c r="K645" s="10">
        <f t="shared" si="104"/>
        <v>900000</v>
      </c>
      <c r="L645" s="9">
        <f t="shared" si="105"/>
        <v>1200000</v>
      </c>
      <c r="M645" s="8">
        <f t="shared" si="106"/>
        <v>1.1394016666666666</v>
      </c>
      <c r="N645" t="str">
        <f t="shared" si="107"/>
        <v>100-125%</v>
      </c>
      <c r="O645" s="9">
        <f>MIN($H645,$I645)*INDEX('2018_commission_structure'!$A$1:$I$4,MATCH($E645,'2018_commission_structure'!$A$1:$A$4,0),MATCH(O$1,'2018_commission_structure'!$A$1:$I$1,0))</f>
        <v>78000</v>
      </c>
      <c r="P645" s="9">
        <f>IF(H645&gt;I645, MIN(H645-I645, J645-I645)*INDEX('2018_commission_structure'!$A$1:$I$4,MATCH($E645,'2018_commission_structure'!$A$1:$A$4,0),MATCH(P$1,'2018_commission_structure'!$A$1:$I$1,0)),0)</f>
        <v>14218.970000000001</v>
      </c>
      <c r="Q645" s="9">
        <f>IF($H645&gt;J645, MIN($H645-J645, K645-J645)*INDEX('2018_commission_structure'!$A$1:$I$4,MATCH($E645,'2018_commission_structure'!$A$1:$A$4,0),MATCH(Q$1,'2018_commission_structure'!$A$1:$I$1,0)),0)</f>
        <v>0</v>
      </c>
      <c r="R645" s="9">
        <f>IF($H645&gt;K645, MIN($H645-K645, L645-K645)*INDEX('2018_commission_structure'!$A$1:$I$4,MATCH($E645,'2018_commission_structure'!$A$1:$A$4,0),MATCH(R$1,'2018_commission_structure'!$A$1:$I$1,0)),0)</f>
        <v>0</v>
      </c>
      <c r="S645" s="9">
        <f>IF(H645&gt;L645,(H645-L645)*INDEX('2018_commission_structure'!$A$1:$I$4,MATCH($E645,'2018_commission_structure'!$A$1:$A$4,0),MATCH(S$1,'2018_commission_structure'!$A$1:$I$1,0)),0)</f>
        <v>0</v>
      </c>
      <c r="T645" s="9">
        <f t="shared" si="108"/>
        <v>92218.97</v>
      </c>
      <c r="U645" s="9">
        <f t="shared" si="100"/>
        <v>157864.97</v>
      </c>
      <c r="V645" s="9">
        <f>MIN($I645,$H645)*INDEX('Key Metrics'!$E$16:$N$19,MATCH($E645,'Key Metrics'!$E$16:$E$19,0),MATCH(V$1,'Key Metrics'!$E$16:$M$16,0))</f>
        <v>90000</v>
      </c>
      <c r="W645" s="9">
        <f>IF($H645&gt;I645, MIN($H645-I645, J645-I645)*INDEX('Key Metrics'!$E$16:$N$19,MATCH($E645,'Key Metrics'!$E$16:$E$19,0),MATCH(W$1,'Key Metrics'!$E$16:$M$16,0)),0)</f>
        <v>15055.38</v>
      </c>
      <c r="X645" s="9">
        <f>IF($H645&gt;J645, MIN($H645-J645, K645-J645)*INDEX('Key Metrics'!$E$16:$N$19,MATCH($E645,'Key Metrics'!$E$16:$E$19,0),MATCH(X$1,'Key Metrics'!$E$16:$M$16,0)),0)</f>
        <v>0</v>
      </c>
      <c r="Y645" s="9">
        <f>IF($H645&gt;K645, MIN($H645-K645, L645-K645)*INDEX('Key Metrics'!$E$16:$N$19,MATCH($E645,'Key Metrics'!$E$16:$E$19,0),MATCH(Y$1,'Key Metrics'!$E$16:$M$16,0)),0)</f>
        <v>0</v>
      </c>
      <c r="Z645" s="9">
        <f>IF($H645&gt;L645,($H645-L645)*INDEX('Key Metrics'!$E$16:$N$19,MATCH($E645,'Key Metrics'!$E$16:$E$19,0),MATCH(Z$1,'Key Metrics'!$E$16:$M$16,0)),0)</f>
        <v>0</v>
      </c>
      <c r="AA645" s="9">
        <f t="shared" si="109"/>
        <v>105055.38</v>
      </c>
      <c r="AB645" s="9">
        <f t="shared" si="101"/>
        <v>105056.51940166666</v>
      </c>
    </row>
    <row r="646" spans="1:28" x14ac:dyDescent="0.55000000000000004">
      <c r="A646" t="str">
        <f t="shared" si="102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COUNTIF(deals_closed!$D$2:$D$20001,Calculations!B762)</f>
        <v>15</v>
      </c>
      <c r="H646" s="7">
        <f>SUMIF(deals_closed!$D:$D,Calculations!B762,deals_closed!$C:$C)</f>
        <v>551370</v>
      </c>
      <c r="I646" s="5">
        <f>VLOOKUP(E646,'2018_commission_structure'!$A$1:$I$4,9,FALSE)</f>
        <v>500000</v>
      </c>
      <c r="J646" s="9">
        <f t="shared" si="103"/>
        <v>625000</v>
      </c>
      <c r="K646" s="10">
        <f t="shared" si="104"/>
        <v>750000</v>
      </c>
      <c r="L646" s="9">
        <f t="shared" si="105"/>
        <v>1000000</v>
      </c>
      <c r="M646" s="8">
        <f t="shared" si="106"/>
        <v>1.1027400000000001</v>
      </c>
      <c r="N646" t="str">
        <f t="shared" si="107"/>
        <v>100-125%</v>
      </c>
      <c r="O646" s="9">
        <f>MIN($H646,$I646)*INDEX('2018_commission_structure'!$A$1:$I$4,MATCH($E646,'2018_commission_structure'!$A$1:$A$4,0),MATCH(O$1,'2018_commission_structure'!$A$1:$I$1,0))</f>
        <v>50000</v>
      </c>
      <c r="P646" s="9">
        <f>IF(H646&gt;I646, MIN(H646-I646, J646-I646)*INDEX('2018_commission_structure'!$A$1:$I$4,MATCH($E646,'2018_commission_structure'!$A$1:$A$4,0),MATCH(P$1,'2018_commission_structure'!$A$1:$I$1,0)),0)</f>
        <v>7705.5</v>
      </c>
      <c r="Q646" s="9">
        <f>IF($H646&gt;J646, MIN($H646-J646, K646-J646)*INDEX('2018_commission_structure'!$A$1:$I$4,MATCH($E646,'2018_commission_structure'!$A$1:$A$4,0),MATCH(Q$1,'2018_commission_structure'!$A$1:$I$1,0)),0)</f>
        <v>0</v>
      </c>
      <c r="R646" s="9">
        <f>IF($H646&gt;K646, MIN($H646-K646, L646-K646)*INDEX('2018_commission_structure'!$A$1:$I$4,MATCH($E646,'2018_commission_structure'!$A$1:$A$4,0),MATCH(R$1,'2018_commission_structure'!$A$1:$I$1,0)),0)</f>
        <v>0</v>
      </c>
      <c r="S646" s="9">
        <f>IF(H646&gt;L646,(H646-L646)*INDEX('2018_commission_structure'!$A$1:$I$4,MATCH($E646,'2018_commission_structure'!$A$1:$A$4,0),MATCH(S$1,'2018_commission_structure'!$A$1:$I$1,0)),0)</f>
        <v>0</v>
      </c>
      <c r="T646" s="9">
        <f t="shared" si="108"/>
        <v>57705.5</v>
      </c>
      <c r="U646" s="9">
        <f t="shared" si="100"/>
        <v>91365.5</v>
      </c>
      <c r="V646" s="9">
        <f>MIN($I646,$H646)*INDEX('Key Metrics'!$E$16:$N$19,MATCH($E646,'Key Metrics'!$E$16:$E$19,0),MATCH(V$1,'Key Metrics'!$E$16:$M$16,0))</f>
        <v>60000</v>
      </c>
      <c r="W646" s="9">
        <f>IF($H646&gt;I646, MIN($H646-I646, J646-I646)*INDEX('Key Metrics'!$E$16:$N$19,MATCH($E646,'Key Metrics'!$E$16:$E$19,0),MATCH(W$1,'Key Metrics'!$E$16:$M$16,0)),0)</f>
        <v>8732.9000000000015</v>
      </c>
      <c r="X646" s="9">
        <f>IF($H646&gt;J646, MIN($H646-J646, K646-J646)*INDEX('Key Metrics'!$E$16:$N$19,MATCH($E646,'Key Metrics'!$E$16:$E$19,0),MATCH(X$1,'Key Metrics'!$E$16:$M$16,0)),0)</f>
        <v>0</v>
      </c>
      <c r="Y646" s="9">
        <f>IF($H646&gt;K646, MIN($H646-K646, L646-K646)*INDEX('Key Metrics'!$E$16:$N$19,MATCH($E646,'Key Metrics'!$E$16:$E$19,0),MATCH(Y$1,'Key Metrics'!$E$16:$M$16,0)),0)</f>
        <v>0</v>
      </c>
      <c r="Z646" s="9">
        <f>IF($H646&gt;L646,($H646-L646)*INDEX('Key Metrics'!$E$16:$N$19,MATCH($E646,'Key Metrics'!$E$16:$E$19,0),MATCH(Z$1,'Key Metrics'!$E$16:$M$16,0)),0)</f>
        <v>0</v>
      </c>
      <c r="AA646" s="9">
        <f t="shared" si="109"/>
        <v>68732.899999999994</v>
      </c>
      <c r="AB646" s="9">
        <f t="shared" si="101"/>
        <v>68734.002739999996</v>
      </c>
    </row>
    <row r="647" spans="1:28" x14ac:dyDescent="0.55000000000000004">
      <c r="A647" t="str">
        <f t="shared" si="102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COUNTIF(deals_closed!$D$2:$D$20001,Calculations!B870)</f>
        <v>22</v>
      </c>
      <c r="H647" s="7">
        <f>SUMIF(deals_closed!$D:$D,Calculations!B870,deals_closed!$C:$C)</f>
        <v>823922</v>
      </c>
      <c r="I647" s="5">
        <f>VLOOKUP(E647,'2018_commission_structure'!$A$1:$I$4,9,FALSE)</f>
        <v>750000</v>
      </c>
      <c r="J647" s="9">
        <f t="shared" si="103"/>
        <v>937500</v>
      </c>
      <c r="K647" s="10">
        <f t="shared" si="104"/>
        <v>1125000</v>
      </c>
      <c r="L647" s="9">
        <f t="shared" si="105"/>
        <v>1500000</v>
      </c>
      <c r="M647" s="8">
        <f t="shared" si="106"/>
        <v>1.0985626666666666</v>
      </c>
      <c r="N647" t="str">
        <f t="shared" si="107"/>
        <v>100-125%</v>
      </c>
      <c r="O647" s="9">
        <f>MIN($H647,$I647)*INDEX('2018_commission_structure'!$A$1:$I$4,MATCH($E647,'2018_commission_structure'!$A$1:$A$4,0),MATCH(O$1,'2018_commission_structure'!$A$1:$I$1,0))</f>
        <v>112500</v>
      </c>
      <c r="P647" s="9">
        <f>IF(H647&gt;I647, MIN(H647-I647, J647-I647)*INDEX('2018_commission_structure'!$A$1:$I$4,MATCH($E647,'2018_commission_structure'!$A$1:$A$4,0),MATCH(P$1,'2018_commission_structure'!$A$1:$I$1,0)),0)</f>
        <v>14045.18</v>
      </c>
      <c r="Q647" s="9">
        <f>IF($H647&gt;J647, MIN($H647-J647, K647-J647)*INDEX('2018_commission_structure'!$A$1:$I$4,MATCH($E647,'2018_commission_structure'!$A$1:$A$4,0),MATCH(Q$1,'2018_commission_structure'!$A$1:$I$1,0)),0)</f>
        <v>0</v>
      </c>
      <c r="R647" s="9">
        <f>IF($H647&gt;K647, MIN($H647-K647, L647-K647)*INDEX('2018_commission_structure'!$A$1:$I$4,MATCH($E647,'2018_commission_structure'!$A$1:$A$4,0),MATCH(R$1,'2018_commission_structure'!$A$1:$I$1,0)),0)</f>
        <v>0</v>
      </c>
      <c r="S647" s="9">
        <f>IF(H647&gt;L647,(H647-L647)*INDEX('2018_commission_structure'!$A$1:$I$4,MATCH($E647,'2018_commission_structure'!$A$1:$A$4,0),MATCH(S$1,'2018_commission_structure'!$A$1:$I$1,0)),0)</f>
        <v>0</v>
      </c>
      <c r="T647" s="9">
        <f t="shared" si="108"/>
        <v>126545.18</v>
      </c>
      <c r="U647" s="9">
        <f t="shared" si="100"/>
        <v>246128.18</v>
      </c>
      <c r="V647" s="9">
        <f>MIN($I647,$H647)*INDEX('Key Metrics'!$E$16:$N$19,MATCH($E647,'Key Metrics'!$E$16:$E$19,0),MATCH(V$1,'Key Metrics'!$E$16:$M$16,0))</f>
        <v>112500</v>
      </c>
      <c r="W647" s="9">
        <f>IF($H647&gt;I647, MIN($H647-I647, J647-I647)*INDEX('Key Metrics'!$E$16:$N$19,MATCH($E647,'Key Metrics'!$E$16:$E$19,0),MATCH(W$1,'Key Metrics'!$E$16:$M$16,0)),0)</f>
        <v>16262.84</v>
      </c>
      <c r="X647" s="9">
        <f>IF($H647&gt;J647, MIN($H647-J647, K647-J647)*INDEX('Key Metrics'!$E$16:$N$19,MATCH($E647,'Key Metrics'!$E$16:$E$19,0),MATCH(X$1,'Key Metrics'!$E$16:$M$16,0)),0)</f>
        <v>0</v>
      </c>
      <c r="Y647" s="9">
        <f>IF($H647&gt;K647, MIN($H647-K647, L647-K647)*INDEX('Key Metrics'!$E$16:$N$19,MATCH($E647,'Key Metrics'!$E$16:$E$19,0),MATCH(Y$1,'Key Metrics'!$E$16:$M$16,0)),0)</f>
        <v>0</v>
      </c>
      <c r="Z647" s="9">
        <f>IF($H647&gt;L647,($H647-L647)*INDEX('Key Metrics'!$E$16:$N$19,MATCH($E647,'Key Metrics'!$E$16:$E$19,0),MATCH(Z$1,'Key Metrics'!$E$16:$M$16,0)),0)</f>
        <v>0</v>
      </c>
      <c r="AA647" s="9">
        <f t="shared" si="109"/>
        <v>128762.84</v>
      </c>
      <c r="AB647" s="9">
        <f t="shared" si="101"/>
        <v>128763.93856266666</v>
      </c>
    </row>
    <row r="648" spans="1:28" x14ac:dyDescent="0.55000000000000004">
      <c r="A648" t="str">
        <f t="shared" si="102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COUNTIF(deals_closed!$D$2:$D$20001,Calculations!B544)</f>
        <v>9</v>
      </c>
      <c r="H648" s="7">
        <f>SUMIF(deals_closed!$D:$D,Calculations!B544,deals_closed!$C:$C)</f>
        <v>256286</v>
      </c>
      <c r="I648" s="5">
        <f>VLOOKUP(E648,'2018_commission_structure'!$A$1:$I$4,9,FALSE)</f>
        <v>500000</v>
      </c>
      <c r="J648" s="9">
        <f t="shared" si="103"/>
        <v>625000</v>
      </c>
      <c r="K648" s="10">
        <f t="shared" si="104"/>
        <v>750000</v>
      </c>
      <c r="L648" s="9">
        <f t="shared" si="105"/>
        <v>1000000</v>
      </c>
      <c r="M648" s="8">
        <f t="shared" si="106"/>
        <v>0.51257200000000003</v>
      </c>
      <c r="N648" t="str">
        <f t="shared" si="107"/>
        <v>0-100%</v>
      </c>
      <c r="O648" s="9">
        <f>MIN($H648,$I648)*INDEX('2018_commission_structure'!$A$1:$I$4,MATCH($E648,'2018_commission_structure'!$A$1:$A$4,0),MATCH(O$1,'2018_commission_structure'!$A$1:$I$1,0))</f>
        <v>25628.600000000002</v>
      </c>
      <c r="P648" s="9">
        <f>IF(H648&gt;I648, MIN(H648-I648, J648-I648)*INDEX('2018_commission_structure'!$A$1:$I$4,MATCH($E648,'2018_commission_structure'!$A$1:$A$4,0),MATCH(P$1,'2018_commission_structure'!$A$1:$I$1,0)),0)</f>
        <v>0</v>
      </c>
      <c r="Q648" s="9">
        <f>IF($H648&gt;J648, MIN($H648-J648, K648-J648)*INDEX('2018_commission_structure'!$A$1:$I$4,MATCH($E648,'2018_commission_structure'!$A$1:$A$4,0),MATCH(Q$1,'2018_commission_structure'!$A$1:$I$1,0)),0)</f>
        <v>0</v>
      </c>
      <c r="R648" s="9">
        <f>IF($H648&gt;K648, MIN($H648-K648, L648-K648)*INDEX('2018_commission_structure'!$A$1:$I$4,MATCH($E648,'2018_commission_structure'!$A$1:$A$4,0),MATCH(R$1,'2018_commission_structure'!$A$1:$I$1,0)),0)</f>
        <v>0</v>
      </c>
      <c r="S648" s="9">
        <f>IF(H648&gt;L648,(H648-L648)*INDEX('2018_commission_structure'!$A$1:$I$4,MATCH($E648,'2018_commission_structure'!$A$1:$A$4,0),MATCH(S$1,'2018_commission_structure'!$A$1:$I$1,0)),0)</f>
        <v>0</v>
      </c>
      <c r="T648" s="9">
        <f t="shared" si="108"/>
        <v>25628.600000000002</v>
      </c>
      <c r="U648" s="9">
        <f t="shared" si="100"/>
        <v>71192.600000000006</v>
      </c>
      <c r="V648" s="9">
        <f>MIN($I648,$H648)*INDEX('Key Metrics'!$E$16:$N$19,MATCH($E648,'Key Metrics'!$E$16:$E$19,0),MATCH(V$1,'Key Metrics'!$E$16:$M$16,0))</f>
        <v>30754.32</v>
      </c>
      <c r="W648" s="9">
        <f>IF($H648&gt;I648, MIN($H648-I648, J648-I648)*INDEX('Key Metrics'!$E$16:$N$19,MATCH($E648,'Key Metrics'!$E$16:$E$19,0),MATCH(W$1,'Key Metrics'!$E$16:$M$16,0)),0)</f>
        <v>0</v>
      </c>
      <c r="X648" s="9">
        <f>IF($H648&gt;J648, MIN($H648-J648, K648-J648)*INDEX('Key Metrics'!$E$16:$N$19,MATCH($E648,'Key Metrics'!$E$16:$E$19,0),MATCH(X$1,'Key Metrics'!$E$16:$M$16,0)),0)</f>
        <v>0</v>
      </c>
      <c r="Y648" s="9">
        <f>IF($H648&gt;K648, MIN($H648-K648, L648-K648)*INDEX('Key Metrics'!$E$16:$N$19,MATCH($E648,'Key Metrics'!$E$16:$E$19,0),MATCH(Y$1,'Key Metrics'!$E$16:$M$16,0)),0)</f>
        <v>0</v>
      </c>
      <c r="Z648" s="9">
        <f>IF($H648&gt;L648,($H648-L648)*INDEX('Key Metrics'!$E$16:$N$19,MATCH($E648,'Key Metrics'!$E$16:$E$19,0),MATCH(Z$1,'Key Metrics'!$E$16:$M$16,0)),0)</f>
        <v>0</v>
      </c>
      <c r="AA648" s="9">
        <f t="shared" si="109"/>
        <v>30754.32</v>
      </c>
      <c r="AB648" s="9">
        <f t="shared" si="101"/>
        <v>30754.832571999999</v>
      </c>
    </row>
    <row r="649" spans="1:28" x14ac:dyDescent="0.55000000000000004">
      <c r="A649" t="str">
        <f t="shared" si="102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COUNTIF(deals_closed!$D$2:$D$20001,Calculations!B937)</f>
        <v>24</v>
      </c>
      <c r="H649" s="7">
        <f>SUMIF(deals_closed!$D:$D,Calculations!B937,deals_closed!$C:$C)</f>
        <v>722087</v>
      </c>
      <c r="I649" s="5">
        <f>VLOOKUP(E649,'2018_commission_structure'!$A$1:$I$4,9,FALSE)</f>
        <v>600000</v>
      </c>
      <c r="J649" s="9">
        <f t="shared" si="103"/>
        <v>750000</v>
      </c>
      <c r="K649" s="10">
        <f t="shared" si="104"/>
        <v>900000</v>
      </c>
      <c r="L649" s="9">
        <f t="shared" si="105"/>
        <v>1200000</v>
      </c>
      <c r="M649" s="8">
        <f t="shared" si="106"/>
        <v>1.2034783333333334</v>
      </c>
      <c r="N649" t="str">
        <f t="shared" si="107"/>
        <v>100-125%</v>
      </c>
      <c r="O649" s="9">
        <f>MIN($H649,$I649)*INDEX('2018_commission_structure'!$A$1:$I$4,MATCH($E649,'2018_commission_structure'!$A$1:$A$4,0),MATCH(O$1,'2018_commission_structure'!$A$1:$I$1,0))</f>
        <v>78000</v>
      </c>
      <c r="P649" s="9">
        <f>IF(H649&gt;I649, MIN(H649-I649, J649-I649)*INDEX('2018_commission_structure'!$A$1:$I$4,MATCH($E649,'2018_commission_structure'!$A$1:$A$4,0),MATCH(P$1,'2018_commission_structure'!$A$1:$I$1,0)),0)</f>
        <v>20754.79</v>
      </c>
      <c r="Q649" s="9">
        <f>IF($H649&gt;J649, MIN($H649-J649, K649-J649)*INDEX('2018_commission_structure'!$A$1:$I$4,MATCH($E649,'2018_commission_structure'!$A$1:$A$4,0),MATCH(Q$1,'2018_commission_structure'!$A$1:$I$1,0)),0)</f>
        <v>0</v>
      </c>
      <c r="R649" s="9">
        <f>IF($H649&gt;K649, MIN($H649-K649, L649-K649)*INDEX('2018_commission_structure'!$A$1:$I$4,MATCH($E649,'2018_commission_structure'!$A$1:$A$4,0),MATCH(R$1,'2018_commission_structure'!$A$1:$I$1,0)),0)</f>
        <v>0</v>
      </c>
      <c r="S649" s="9">
        <f>IF(H649&gt;L649,(H649-L649)*INDEX('2018_commission_structure'!$A$1:$I$4,MATCH($E649,'2018_commission_structure'!$A$1:$A$4,0),MATCH(S$1,'2018_commission_structure'!$A$1:$I$1,0)),0)</f>
        <v>0</v>
      </c>
      <c r="T649" s="9">
        <f t="shared" si="108"/>
        <v>98754.790000000008</v>
      </c>
      <c r="U649" s="9">
        <f t="shared" si="100"/>
        <v>151235.79</v>
      </c>
      <c r="V649" s="9">
        <f>MIN($I649,$H649)*INDEX('Key Metrics'!$E$16:$N$19,MATCH($E649,'Key Metrics'!$E$16:$E$19,0),MATCH(V$1,'Key Metrics'!$E$16:$M$16,0))</f>
        <v>90000</v>
      </c>
      <c r="W649" s="9">
        <f>IF($H649&gt;I649, MIN($H649-I649, J649-I649)*INDEX('Key Metrics'!$E$16:$N$19,MATCH($E649,'Key Metrics'!$E$16:$E$19,0),MATCH(W$1,'Key Metrics'!$E$16:$M$16,0)),0)</f>
        <v>21975.66</v>
      </c>
      <c r="X649" s="9">
        <f>IF($H649&gt;J649, MIN($H649-J649, K649-J649)*INDEX('Key Metrics'!$E$16:$N$19,MATCH($E649,'Key Metrics'!$E$16:$E$19,0),MATCH(X$1,'Key Metrics'!$E$16:$M$16,0)),0)</f>
        <v>0</v>
      </c>
      <c r="Y649" s="9">
        <f>IF($H649&gt;K649, MIN($H649-K649, L649-K649)*INDEX('Key Metrics'!$E$16:$N$19,MATCH($E649,'Key Metrics'!$E$16:$E$19,0),MATCH(Y$1,'Key Metrics'!$E$16:$M$16,0)),0)</f>
        <v>0</v>
      </c>
      <c r="Z649" s="9">
        <f>IF($H649&gt;L649,($H649-L649)*INDEX('Key Metrics'!$E$16:$N$19,MATCH($E649,'Key Metrics'!$E$16:$E$19,0),MATCH(Z$1,'Key Metrics'!$E$16:$M$16,0)),0)</f>
        <v>0</v>
      </c>
      <c r="AA649" s="9">
        <f t="shared" si="109"/>
        <v>111975.66</v>
      </c>
      <c r="AB649" s="9">
        <f t="shared" si="101"/>
        <v>111976.86347833334</v>
      </c>
    </row>
    <row r="650" spans="1:28" x14ac:dyDescent="0.55000000000000004">
      <c r="A650" t="str">
        <f t="shared" si="102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COUNTIF(deals_closed!$D$2:$D$20001,Calculations!B757)</f>
        <v>17</v>
      </c>
      <c r="H650" s="7">
        <f>SUMIF(deals_closed!$D:$D,Calculations!B757,deals_closed!$C:$C)</f>
        <v>590606</v>
      </c>
      <c r="I650" s="5">
        <f>VLOOKUP(E650,'2018_commission_structure'!$A$1:$I$4,9,FALSE)</f>
        <v>750000</v>
      </c>
      <c r="J650" s="9">
        <f t="shared" si="103"/>
        <v>937500</v>
      </c>
      <c r="K650" s="10">
        <f t="shared" si="104"/>
        <v>1125000</v>
      </c>
      <c r="L650" s="9">
        <f t="shared" si="105"/>
        <v>1500000</v>
      </c>
      <c r="M650" s="8">
        <f t="shared" si="106"/>
        <v>0.78747466666666666</v>
      </c>
      <c r="N650" t="str">
        <f t="shared" si="107"/>
        <v>0-100%</v>
      </c>
      <c r="O650" s="9">
        <f>MIN($H650,$I650)*INDEX('2018_commission_structure'!$A$1:$I$4,MATCH($E650,'2018_commission_structure'!$A$1:$A$4,0),MATCH(O$1,'2018_commission_structure'!$A$1:$I$1,0))</f>
        <v>88590.9</v>
      </c>
      <c r="P650" s="9">
        <f>IF(H650&gt;I650, MIN(H650-I650, J650-I650)*INDEX('2018_commission_structure'!$A$1:$I$4,MATCH($E650,'2018_commission_structure'!$A$1:$A$4,0),MATCH(P$1,'2018_commission_structure'!$A$1:$I$1,0)),0)</f>
        <v>0</v>
      </c>
      <c r="Q650" s="9">
        <f>IF($H650&gt;J650, MIN($H650-J650, K650-J650)*INDEX('2018_commission_structure'!$A$1:$I$4,MATCH($E650,'2018_commission_structure'!$A$1:$A$4,0),MATCH(Q$1,'2018_commission_structure'!$A$1:$I$1,0)),0)</f>
        <v>0</v>
      </c>
      <c r="R650" s="9">
        <f>IF($H650&gt;K650, MIN($H650-K650, L650-K650)*INDEX('2018_commission_structure'!$A$1:$I$4,MATCH($E650,'2018_commission_structure'!$A$1:$A$4,0),MATCH(R$1,'2018_commission_structure'!$A$1:$I$1,0)),0)</f>
        <v>0</v>
      </c>
      <c r="S650" s="9">
        <f>IF(H650&gt;L650,(H650-L650)*INDEX('2018_commission_structure'!$A$1:$I$4,MATCH($E650,'2018_commission_structure'!$A$1:$A$4,0),MATCH(S$1,'2018_commission_structure'!$A$1:$I$1,0)),0)</f>
        <v>0</v>
      </c>
      <c r="T650" s="9">
        <f t="shared" si="108"/>
        <v>88590.9</v>
      </c>
      <c r="U650" s="9">
        <f t="shared" si="100"/>
        <v>197073.9</v>
      </c>
      <c r="V650" s="9">
        <f>MIN($I650,$H650)*INDEX('Key Metrics'!$E$16:$N$19,MATCH($E650,'Key Metrics'!$E$16:$E$19,0),MATCH(V$1,'Key Metrics'!$E$16:$M$16,0))</f>
        <v>88590.9</v>
      </c>
      <c r="W650" s="9">
        <f>IF($H650&gt;I650, MIN($H650-I650, J650-I650)*INDEX('Key Metrics'!$E$16:$N$19,MATCH($E650,'Key Metrics'!$E$16:$E$19,0),MATCH(W$1,'Key Metrics'!$E$16:$M$16,0)),0)</f>
        <v>0</v>
      </c>
      <c r="X650" s="9">
        <f>IF($H650&gt;J650, MIN($H650-J650, K650-J650)*INDEX('Key Metrics'!$E$16:$N$19,MATCH($E650,'Key Metrics'!$E$16:$E$19,0),MATCH(X$1,'Key Metrics'!$E$16:$M$16,0)),0)</f>
        <v>0</v>
      </c>
      <c r="Y650" s="9">
        <f>IF($H650&gt;K650, MIN($H650-K650, L650-K650)*INDEX('Key Metrics'!$E$16:$N$19,MATCH($E650,'Key Metrics'!$E$16:$E$19,0),MATCH(Y$1,'Key Metrics'!$E$16:$M$16,0)),0)</f>
        <v>0</v>
      </c>
      <c r="Z650" s="9">
        <f>IF($H650&gt;L650,($H650-L650)*INDEX('Key Metrics'!$E$16:$N$19,MATCH($E650,'Key Metrics'!$E$16:$E$19,0),MATCH(Z$1,'Key Metrics'!$E$16:$M$16,0)),0)</f>
        <v>0</v>
      </c>
      <c r="AA650" s="9">
        <f t="shared" si="109"/>
        <v>88590.9</v>
      </c>
      <c r="AB650" s="9">
        <f t="shared" si="101"/>
        <v>88591.687474666658</v>
      </c>
    </row>
    <row r="651" spans="1:28" x14ac:dyDescent="0.55000000000000004">
      <c r="A651" t="str">
        <f t="shared" si="102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COUNTIF(deals_closed!$D$2:$D$20001,Calculations!B559)</f>
        <v>14</v>
      </c>
      <c r="H651" s="7">
        <f>SUMIF(deals_closed!$D:$D,Calculations!B559,deals_closed!$C:$C)</f>
        <v>551500</v>
      </c>
      <c r="I651" s="5">
        <f>VLOOKUP(E651,'2018_commission_structure'!$A$1:$I$4,9,FALSE)</f>
        <v>500000</v>
      </c>
      <c r="J651" s="9">
        <f t="shared" si="103"/>
        <v>625000</v>
      </c>
      <c r="K651" s="10">
        <f t="shared" si="104"/>
        <v>750000</v>
      </c>
      <c r="L651" s="9">
        <f t="shared" si="105"/>
        <v>1000000</v>
      </c>
      <c r="M651" s="8">
        <f t="shared" si="106"/>
        <v>1.103</v>
      </c>
      <c r="N651" t="str">
        <f t="shared" si="107"/>
        <v>100-125%</v>
      </c>
      <c r="O651" s="9">
        <f>MIN($H651,$I651)*INDEX('2018_commission_structure'!$A$1:$I$4,MATCH($E651,'2018_commission_structure'!$A$1:$A$4,0),MATCH(O$1,'2018_commission_structure'!$A$1:$I$1,0))</f>
        <v>50000</v>
      </c>
      <c r="P651" s="9">
        <f>IF(H651&gt;I651, MIN(H651-I651, J651-I651)*INDEX('2018_commission_structure'!$A$1:$I$4,MATCH($E651,'2018_commission_structure'!$A$1:$A$4,0),MATCH(P$1,'2018_commission_structure'!$A$1:$I$1,0)),0)</f>
        <v>7725</v>
      </c>
      <c r="Q651" s="9">
        <f>IF($H651&gt;J651, MIN($H651-J651, K651-J651)*INDEX('2018_commission_structure'!$A$1:$I$4,MATCH($E651,'2018_commission_structure'!$A$1:$A$4,0),MATCH(Q$1,'2018_commission_structure'!$A$1:$I$1,0)),0)</f>
        <v>0</v>
      </c>
      <c r="R651" s="9">
        <f>IF($H651&gt;K651, MIN($H651-K651, L651-K651)*INDEX('2018_commission_structure'!$A$1:$I$4,MATCH($E651,'2018_commission_structure'!$A$1:$A$4,0),MATCH(R$1,'2018_commission_structure'!$A$1:$I$1,0)),0)</f>
        <v>0</v>
      </c>
      <c r="S651" s="9">
        <f>IF(H651&gt;L651,(H651-L651)*INDEX('2018_commission_structure'!$A$1:$I$4,MATCH($E651,'2018_commission_structure'!$A$1:$A$4,0),MATCH(S$1,'2018_commission_structure'!$A$1:$I$1,0)),0)</f>
        <v>0</v>
      </c>
      <c r="T651" s="9">
        <f t="shared" si="108"/>
        <v>57725</v>
      </c>
      <c r="U651" s="9">
        <f t="shared" si="100"/>
        <v>104811</v>
      </c>
      <c r="V651" s="9">
        <f>MIN($I651,$H651)*INDEX('Key Metrics'!$E$16:$N$19,MATCH($E651,'Key Metrics'!$E$16:$E$19,0),MATCH(V$1,'Key Metrics'!$E$16:$M$16,0))</f>
        <v>60000</v>
      </c>
      <c r="W651" s="9">
        <f>IF($H651&gt;I651, MIN($H651-I651, J651-I651)*INDEX('Key Metrics'!$E$16:$N$19,MATCH($E651,'Key Metrics'!$E$16:$E$19,0),MATCH(W$1,'Key Metrics'!$E$16:$M$16,0)),0)</f>
        <v>8755</v>
      </c>
      <c r="X651" s="9">
        <f>IF($H651&gt;J651, MIN($H651-J651, K651-J651)*INDEX('Key Metrics'!$E$16:$N$19,MATCH($E651,'Key Metrics'!$E$16:$E$19,0),MATCH(X$1,'Key Metrics'!$E$16:$M$16,0)),0)</f>
        <v>0</v>
      </c>
      <c r="Y651" s="9">
        <f>IF($H651&gt;K651, MIN($H651-K651, L651-K651)*INDEX('Key Metrics'!$E$16:$N$19,MATCH($E651,'Key Metrics'!$E$16:$E$19,0),MATCH(Y$1,'Key Metrics'!$E$16:$M$16,0)),0)</f>
        <v>0</v>
      </c>
      <c r="Z651" s="9">
        <f>IF($H651&gt;L651,($H651-L651)*INDEX('Key Metrics'!$E$16:$N$19,MATCH($E651,'Key Metrics'!$E$16:$E$19,0),MATCH(Z$1,'Key Metrics'!$E$16:$M$16,0)),0)</f>
        <v>0</v>
      </c>
      <c r="AA651" s="9">
        <f t="shared" si="109"/>
        <v>68755</v>
      </c>
      <c r="AB651" s="9">
        <f t="shared" si="101"/>
        <v>68756.103000000003</v>
      </c>
    </row>
    <row r="652" spans="1:28" x14ac:dyDescent="0.55000000000000004">
      <c r="A652" t="str">
        <f t="shared" si="102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COUNTIF(deals_closed!$D$2:$D$20001,Calculations!B564)</f>
        <v>21</v>
      </c>
      <c r="H652" s="7">
        <f>SUMIF(deals_closed!$D:$D,Calculations!B564,deals_closed!$C:$C)</f>
        <v>729900</v>
      </c>
      <c r="I652" s="5">
        <f>VLOOKUP(E652,'2018_commission_structure'!$A$1:$I$4,9,FALSE)</f>
        <v>500000</v>
      </c>
      <c r="J652" s="9">
        <f t="shared" si="103"/>
        <v>625000</v>
      </c>
      <c r="K652" s="10">
        <f t="shared" si="104"/>
        <v>750000</v>
      </c>
      <c r="L652" s="9">
        <f t="shared" si="105"/>
        <v>1000000</v>
      </c>
      <c r="M652" s="8">
        <f t="shared" si="106"/>
        <v>1.4598</v>
      </c>
      <c r="N652" t="str">
        <f t="shared" si="107"/>
        <v>125-150%</v>
      </c>
      <c r="O652" s="9">
        <f>MIN($H652,$I652)*INDEX('2018_commission_structure'!$A$1:$I$4,MATCH($E652,'2018_commission_structure'!$A$1:$A$4,0),MATCH(O$1,'2018_commission_structure'!$A$1:$I$1,0))</f>
        <v>50000</v>
      </c>
      <c r="P652" s="9">
        <f>IF(H652&gt;I652, MIN(H652-I652, J652-I652)*INDEX('2018_commission_structure'!$A$1:$I$4,MATCH($E652,'2018_commission_structure'!$A$1:$A$4,0),MATCH(P$1,'2018_commission_structure'!$A$1:$I$1,0)),0)</f>
        <v>18750</v>
      </c>
      <c r="Q652" s="9">
        <f>IF($H652&gt;J652, MIN($H652-J652, K652-J652)*INDEX('2018_commission_structure'!$A$1:$I$4,MATCH($E652,'2018_commission_structure'!$A$1:$A$4,0),MATCH(Q$1,'2018_commission_structure'!$A$1:$I$1,0)),0)</f>
        <v>18882</v>
      </c>
      <c r="R652" s="9">
        <f>IF($H652&gt;K652, MIN($H652-K652, L652-K652)*INDEX('2018_commission_structure'!$A$1:$I$4,MATCH($E652,'2018_commission_structure'!$A$1:$A$4,0),MATCH(R$1,'2018_commission_structure'!$A$1:$I$1,0)),0)</f>
        <v>0</v>
      </c>
      <c r="S652" s="9">
        <f>IF(H652&gt;L652,(H652-L652)*INDEX('2018_commission_structure'!$A$1:$I$4,MATCH($E652,'2018_commission_structure'!$A$1:$A$4,0),MATCH(S$1,'2018_commission_structure'!$A$1:$I$1,0)),0)</f>
        <v>0</v>
      </c>
      <c r="T652" s="9">
        <f t="shared" si="108"/>
        <v>87632</v>
      </c>
      <c r="U652" s="9">
        <f t="shared" si="100"/>
        <v>129495</v>
      </c>
      <c r="V652" s="9">
        <f>MIN($I652,$H652)*INDEX('Key Metrics'!$E$16:$N$19,MATCH($E652,'Key Metrics'!$E$16:$E$19,0),MATCH(V$1,'Key Metrics'!$E$16:$M$16,0))</f>
        <v>60000</v>
      </c>
      <c r="W652" s="9">
        <f>IF($H652&gt;I652, MIN($H652-I652, J652-I652)*INDEX('Key Metrics'!$E$16:$N$19,MATCH($E652,'Key Metrics'!$E$16:$E$19,0),MATCH(W$1,'Key Metrics'!$E$16:$M$16,0)),0)</f>
        <v>21250</v>
      </c>
      <c r="X652" s="9">
        <f>IF($H652&gt;J652, MIN($H652-J652, K652-J652)*INDEX('Key Metrics'!$E$16:$N$19,MATCH($E652,'Key Metrics'!$E$16:$E$19,0),MATCH(X$1,'Key Metrics'!$E$16:$M$16,0)),0)</f>
        <v>20980</v>
      </c>
      <c r="Y652" s="9">
        <f>IF($H652&gt;K652, MIN($H652-K652, L652-K652)*INDEX('Key Metrics'!$E$16:$N$19,MATCH($E652,'Key Metrics'!$E$16:$E$19,0),MATCH(Y$1,'Key Metrics'!$E$16:$M$16,0)),0)</f>
        <v>0</v>
      </c>
      <c r="Z652" s="9">
        <f>IF($H652&gt;L652,($H652-L652)*INDEX('Key Metrics'!$E$16:$N$19,MATCH($E652,'Key Metrics'!$E$16:$E$19,0),MATCH(Z$1,'Key Metrics'!$E$16:$M$16,0)),0)</f>
        <v>0</v>
      </c>
      <c r="AA652" s="9">
        <f t="shared" si="109"/>
        <v>102230</v>
      </c>
      <c r="AB652" s="9">
        <f t="shared" si="101"/>
        <v>102231.4598</v>
      </c>
    </row>
    <row r="653" spans="1:28" x14ac:dyDescent="0.55000000000000004">
      <c r="A653" t="str">
        <f t="shared" si="102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COUNTIF(deals_closed!$D$2:$D$20001,Calculations!B167)</f>
        <v>20</v>
      </c>
      <c r="H653" s="7">
        <f>SUMIF(deals_closed!$D:$D,Calculations!B167,deals_closed!$C:$C)</f>
        <v>699440</v>
      </c>
      <c r="I653" s="5">
        <f>VLOOKUP(E653,'2018_commission_structure'!$A$1:$I$4,9,FALSE)</f>
        <v>750000</v>
      </c>
      <c r="J653" s="9">
        <f t="shared" si="103"/>
        <v>937500</v>
      </c>
      <c r="K653" s="10">
        <f t="shared" si="104"/>
        <v>1125000</v>
      </c>
      <c r="L653" s="9">
        <f t="shared" si="105"/>
        <v>1500000</v>
      </c>
      <c r="M653" s="8">
        <f t="shared" si="106"/>
        <v>0.93258666666666667</v>
      </c>
      <c r="N653" t="str">
        <f t="shared" si="107"/>
        <v>0-100%</v>
      </c>
      <c r="O653" s="9">
        <f>MIN($H653,$I653)*INDEX('2018_commission_structure'!$A$1:$I$4,MATCH($E653,'2018_commission_structure'!$A$1:$A$4,0),MATCH(O$1,'2018_commission_structure'!$A$1:$I$1,0))</f>
        <v>104916</v>
      </c>
      <c r="P653" s="9">
        <f>IF(H653&gt;I653, MIN(H653-I653, J653-I653)*INDEX('2018_commission_structure'!$A$1:$I$4,MATCH($E653,'2018_commission_structure'!$A$1:$A$4,0),MATCH(P$1,'2018_commission_structure'!$A$1:$I$1,0)),0)</f>
        <v>0</v>
      </c>
      <c r="Q653" s="9">
        <f>IF($H653&gt;J653, MIN($H653-J653, K653-J653)*INDEX('2018_commission_structure'!$A$1:$I$4,MATCH($E653,'2018_commission_structure'!$A$1:$A$4,0),MATCH(Q$1,'2018_commission_structure'!$A$1:$I$1,0)),0)</f>
        <v>0</v>
      </c>
      <c r="R653" s="9">
        <f>IF($H653&gt;K653, MIN($H653-K653, L653-K653)*INDEX('2018_commission_structure'!$A$1:$I$4,MATCH($E653,'2018_commission_structure'!$A$1:$A$4,0),MATCH(R$1,'2018_commission_structure'!$A$1:$I$1,0)),0)</f>
        <v>0</v>
      </c>
      <c r="S653" s="9">
        <f>IF(H653&gt;L653,(H653-L653)*INDEX('2018_commission_structure'!$A$1:$I$4,MATCH($E653,'2018_commission_structure'!$A$1:$A$4,0),MATCH(S$1,'2018_commission_structure'!$A$1:$I$1,0)),0)</f>
        <v>0</v>
      </c>
      <c r="T653" s="9">
        <f t="shared" si="108"/>
        <v>104916</v>
      </c>
      <c r="U653" s="9">
        <f t="shared" si="100"/>
        <v>180623</v>
      </c>
      <c r="V653" s="9">
        <f>MIN($I653,$H653)*INDEX('Key Metrics'!$E$16:$N$19,MATCH($E653,'Key Metrics'!$E$16:$E$19,0),MATCH(V$1,'Key Metrics'!$E$16:$M$16,0))</f>
        <v>104916</v>
      </c>
      <c r="W653" s="9">
        <f>IF($H653&gt;I653, MIN($H653-I653, J653-I653)*INDEX('Key Metrics'!$E$16:$N$19,MATCH($E653,'Key Metrics'!$E$16:$E$19,0),MATCH(W$1,'Key Metrics'!$E$16:$M$16,0)),0)</f>
        <v>0</v>
      </c>
      <c r="X653" s="9">
        <f>IF($H653&gt;J653, MIN($H653-J653, K653-J653)*INDEX('Key Metrics'!$E$16:$N$19,MATCH($E653,'Key Metrics'!$E$16:$E$19,0),MATCH(X$1,'Key Metrics'!$E$16:$M$16,0)),0)</f>
        <v>0</v>
      </c>
      <c r="Y653" s="9">
        <f>IF($H653&gt;K653, MIN($H653-K653, L653-K653)*INDEX('Key Metrics'!$E$16:$N$19,MATCH($E653,'Key Metrics'!$E$16:$E$19,0),MATCH(Y$1,'Key Metrics'!$E$16:$M$16,0)),0)</f>
        <v>0</v>
      </c>
      <c r="Z653" s="9">
        <f>IF($H653&gt;L653,($H653-L653)*INDEX('Key Metrics'!$E$16:$N$19,MATCH($E653,'Key Metrics'!$E$16:$E$19,0),MATCH(Z$1,'Key Metrics'!$E$16:$M$16,0)),0)</f>
        <v>0</v>
      </c>
      <c r="AA653" s="9">
        <f t="shared" si="109"/>
        <v>104916</v>
      </c>
      <c r="AB653" s="9">
        <f t="shared" si="101"/>
        <v>104916.93258666666</v>
      </c>
    </row>
    <row r="654" spans="1:28" x14ac:dyDescent="0.55000000000000004">
      <c r="A654" t="str">
        <f t="shared" si="102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COUNTIF(deals_closed!$D$2:$D$20001,Calculations!B170)</f>
        <v>27</v>
      </c>
      <c r="H654" s="7">
        <f>SUMIF(deals_closed!$D:$D,Calculations!B170,deals_closed!$C:$C)</f>
        <v>831331</v>
      </c>
      <c r="I654" s="5">
        <f>VLOOKUP(E654,'2018_commission_structure'!$A$1:$I$4,9,FALSE)</f>
        <v>600000</v>
      </c>
      <c r="J654" s="9">
        <f t="shared" si="103"/>
        <v>750000</v>
      </c>
      <c r="K654" s="10">
        <f t="shared" si="104"/>
        <v>900000</v>
      </c>
      <c r="L654" s="9">
        <f t="shared" si="105"/>
        <v>1200000</v>
      </c>
      <c r="M654" s="8">
        <f t="shared" si="106"/>
        <v>1.3855516666666667</v>
      </c>
      <c r="N654" t="str">
        <f t="shared" si="107"/>
        <v>125-150%</v>
      </c>
      <c r="O654" s="9">
        <f>MIN($H654,$I654)*INDEX('2018_commission_structure'!$A$1:$I$4,MATCH($E654,'2018_commission_structure'!$A$1:$A$4,0),MATCH(O$1,'2018_commission_structure'!$A$1:$I$1,0))</f>
        <v>78000</v>
      </c>
      <c r="P654" s="9">
        <f>IF(H654&gt;I654, MIN(H654-I654, J654-I654)*INDEX('2018_commission_structure'!$A$1:$I$4,MATCH($E654,'2018_commission_structure'!$A$1:$A$4,0),MATCH(P$1,'2018_commission_structure'!$A$1:$I$1,0)),0)</f>
        <v>25500.000000000004</v>
      </c>
      <c r="Q654" s="9">
        <f>IF($H654&gt;J654, MIN($H654-J654, K654-J654)*INDEX('2018_commission_structure'!$A$1:$I$4,MATCH($E654,'2018_commission_structure'!$A$1:$A$4,0),MATCH(Q$1,'2018_commission_structure'!$A$1:$I$1,0)),0)</f>
        <v>17079.509999999998</v>
      </c>
      <c r="R654" s="9">
        <f>IF($H654&gt;K654, MIN($H654-K654, L654-K654)*INDEX('2018_commission_structure'!$A$1:$I$4,MATCH($E654,'2018_commission_structure'!$A$1:$A$4,0),MATCH(R$1,'2018_commission_structure'!$A$1:$I$1,0)),0)</f>
        <v>0</v>
      </c>
      <c r="S654" s="9">
        <f>IF(H654&gt;L654,(H654-L654)*INDEX('2018_commission_structure'!$A$1:$I$4,MATCH($E654,'2018_commission_structure'!$A$1:$A$4,0),MATCH(S$1,'2018_commission_structure'!$A$1:$I$1,0)),0)</f>
        <v>0</v>
      </c>
      <c r="T654" s="9">
        <f t="shared" si="108"/>
        <v>120579.51</v>
      </c>
      <c r="U654" s="9">
        <f t="shared" si="100"/>
        <v>182284.51</v>
      </c>
      <c r="V654" s="9">
        <f>MIN($I654,$H654)*INDEX('Key Metrics'!$E$16:$N$19,MATCH($E654,'Key Metrics'!$E$16:$E$19,0),MATCH(V$1,'Key Metrics'!$E$16:$M$16,0))</f>
        <v>90000</v>
      </c>
      <c r="W654" s="9">
        <f>IF($H654&gt;I654, MIN($H654-I654, J654-I654)*INDEX('Key Metrics'!$E$16:$N$19,MATCH($E654,'Key Metrics'!$E$16:$E$19,0),MATCH(W$1,'Key Metrics'!$E$16:$M$16,0)),0)</f>
        <v>27000</v>
      </c>
      <c r="X654" s="9">
        <f>IF($H654&gt;J654, MIN($H654-J654, K654-J654)*INDEX('Key Metrics'!$E$16:$N$19,MATCH($E654,'Key Metrics'!$E$16:$E$19,0),MATCH(X$1,'Key Metrics'!$E$16:$M$16,0)),0)</f>
        <v>20332.75</v>
      </c>
      <c r="Y654" s="9">
        <f>IF($H654&gt;K654, MIN($H654-K654, L654-K654)*INDEX('Key Metrics'!$E$16:$N$19,MATCH($E654,'Key Metrics'!$E$16:$E$19,0),MATCH(Y$1,'Key Metrics'!$E$16:$M$16,0)),0)</f>
        <v>0</v>
      </c>
      <c r="Z654" s="9">
        <f>IF($H654&gt;L654,($H654-L654)*INDEX('Key Metrics'!$E$16:$N$19,MATCH($E654,'Key Metrics'!$E$16:$E$19,0),MATCH(Z$1,'Key Metrics'!$E$16:$M$16,0)),0)</f>
        <v>0</v>
      </c>
      <c r="AA654" s="9">
        <f t="shared" si="109"/>
        <v>137332.75</v>
      </c>
      <c r="AB654" s="9">
        <f t="shared" si="101"/>
        <v>137334.13555166667</v>
      </c>
    </row>
    <row r="655" spans="1:28" x14ac:dyDescent="0.55000000000000004">
      <c r="A655" t="str">
        <f t="shared" si="102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COUNTIF(deals_closed!$D$2:$D$20001,Calculations!B68)</f>
        <v>22</v>
      </c>
      <c r="H655" s="7">
        <f>SUMIF(deals_closed!$D:$D,Calculations!B68,deals_closed!$C:$C)</f>
        <v>876505</v>
      </c>
      <c r="I655" s="5">
        <f>VLOOKUP(E655,'2018_commission_structure'!$A$1:$I$4,9,FALSE)</f>
        <v>750000</v>
      </c>
      <c r="J655" s="9">
        <f t="shared" si="103"/>
        <v>937500</v>
      </c>
      <c r="K655" s="10">
        <f t="shared" si="104"/>
        <v>1125000</v>
      </c>
      <c r="L655" s="9">
        <f t="shared" si="105"/>
        <v>1500000</v>
      </c>
      <c r="M655" s="8">
        <f t="shared" si="106"/>
        <v>1.1686733333333332</v>
      </c>
      <c r="N655" t="str">
        <f t="shared" si="107"/>
        <v>100-125%</v>
      </c>
      <c r="O655" s="9">
        <f>MIN($H655,$I655)*INDEX('2018_commission_structure'!$A$1:$I$4,MATCH($E655,'2018_commission_structure'!$A$1:$A$4,0),MATCH(O$1,'2018_commission_structure'!$A$1:$I$1,0))</f>
        <v>112500</v>
      </c>
      <c r="P655" s="9">
        <f>IF(H655&gt;I655, MIN(H655-I655, J655-I655)*INDEX('2018_commission_structure'!$A$1:$I$4,MATCH($E655,'2018_commission_structure'!$A$1:$A$4,0),MATCH(P$1,'2018_commission_structure'!$A$1:$I$1,0)),0)</f>
        <v>24035.95</v>
      </c>
      <c r="Q655" s="9">
        <f>IF($H655&gt;J655, MIN($H655-J655, K655-J655)*INDEX('2018_commission_structure'!$A$1:$I$4,MATCH($E655,'2018_commission_structure'!$A$1:$A$4,0),MATCH(Q$1,'2018_commission_structure'!$A$1:$I$1,0)),0)</f>
        <v>0</v>
      </c>
      <c r="R655" s="9">
        <f>IF($H655&gt;K655, MIN($H655-K655, L655-K655)*INDEX('2018_commission_structure'!$A$1:$I$4,MATCH($E655,'2018_commission_structure'!$A$1:$A$4,0),MATCH(R$1,'2018_commission_structure'!$A$1:$I$1,0)),0)</f>
        <v>0</v>
      </c>
      <c r="S655" s="9">
        <f>IF(H655&gt;L655,(H655-L655)*INDEX('2018_commission_structure'!$A$1:$I$4,MATCH($E655,'2018_commission_structure'!$A$1:$A$4,0),MATCH(S$1,'2018_commission_structure'!$A$1:$I$1,0)),0)</f>
        <v>0</v>
      </c>
      <c r="T655" s="9">
        <f t="shared" si="108"/>
        <v>136535.95000000001</v>
      </c>
      <c r="U655" s="9">
        <f t="shared" si="100"/>
        <v>253416.95</v>
      </c>
      <c r="V655" s="9">
        <f>MIN($I655,$H655)*INDEX('Key Metrics'!$E$16:$N$19,MATCH($E655,'Key Metrics'!$E$16:$E$19,0),MATCH(V$1,'Key Metrics'!$E$16:$M$16,0))</f>
        <v>112500</v>
      </c>
      <c r="W655" s="9">
        <f>IF($H655&gt;I655, MIN($H655-I655, J655-I655)*INDEX('Key Metrics'!$E$16:$N$19,MATCH($E655,'Key Metrics'!$E$16:$E$19,0),MATCH(W$1,'Key Metrics'!$E$16:$M$16,0)),0)</f>
        <v>27831.1</v>
      </c>
      <c r="X655" s="9">
        <f>IF($H655&gt;J655, MIN($H655-J655, K655-J655)*INDEX('Key Metrics'!$E$16:$N$19,MATCH($E655,'Key Metrics'!$E$16:$E$19,0),MATCH(X$1,'Key Metrics'!$E$16:$M$16,0)),0)</f>
        <v>0</v>
      </c>
      <c r="Y655" s="9">
        <f>IF($H655&gt;K655, MIN($H655-K655, L655-K655)*INDEX('Key Metrics'!$E$16:$N$19,MATCH($E655,'Key Metrics'!$E$16:$E$19,0),MATCH(Y$1,'Key Metrics'!$E$16:$M$16,0)),0)</f>
        <v>0</v>
      </c>
      <c r="Z655" s="9">
        <f>IF($H655&gt;L655,($H655-L655)*INDEX('Key Metrics'!$E$16:$N$19,MATCH($E655,'Key Metrics'!$E$16:$E$19,0),MATCH(Z$1,'Key Metrics'!$E$16:$M$16,0)),0)</f>
        <v>0</v>
      </c>
      <c r="AA655" s="9">
        <f t="shared" si="109"/>
        <v>140331.1</v>
      </c>
      <c r="AB655" s="9">
        <f t="shared" si="101"/>
        <v>140332.26867333334</v>
      </c>
    </row>
    <row r="656" spans="1:28" x14ac:dyDescent="0.55000000000000004">
      <c r="A656" t="str">
        <f t="shared" si="102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COUNTIF(deals_closed!$D$2:$D$20001,Calculations!B569)</f>
        <v>15</v>
      </c>
      <c r="H656" s="7">
        <f>SUMIF(deals_closed!$D:$D,Calculations!B569,deals_closed!$C:$C)</f>
        <v>543471</v>
      </c>
      <c r="I656" s="5">
        <f>VLOOKUP(E656,'2018_commission_structure'!$A$1:$I$4,9,FALSE)</f>
        <v>500000</v>
      </c>
      <c r="J656" s="9">
        <f t="shared" si="103"/>
        <v>625000</v>
      </c>
      <c r="K656" s="10">
        <f t="shared" si="104"/>
        <v>750000</v>
      </c>
      <c r="L656" s="9">
        <f t="shared" si="105"/>
        <v>1000000</v>
      </c>
      <c r="M656" s="8">
        <f t="shared" si="106"/>
        <v>1.0869420000000001</v>
      </c>
      <c r="N656" t="str">
        <f t="shared" si="107"/>
        <v>100-125%</v>
      </c>
      <c r="O656" s="9">
        <f>MIN($H656,$I656)*INDEX('2018_commission_structure'!$A$1:$I$4,MATCH($E656,'2018_commission_structure'!$A$1:$A$4,0),MATCH(O$1,'2018_commission_structure'!$A$1:$I$1,0))</f>
        <v>50000</v>
      </c>
      <c r="P656" s="9">
        <f>IF(H656&gt;I656, MIN(H656-I656, J656-I656)*INDEX('2018_commission_structure'!$A$1:$I$4,MATCH($E656,'2018_commission_structure'!$A$1:$A$4,0),MATCH(P$1,'2018_commission_structure'!$A$1:$I$1,0)),0)</f>
        <v>6520.65</v>
      </c>
      <c r="Q656" s="9">
        <f>IF($H656&gt;J656, MIN($H656-J656, K656-J656)*INDEX('2018_commission_structure'!$A$1:$I$4,MATCH($E656,'2018_commission_structure'!$A$1:$A$4,0),MATCH(Q$1,'2018_commission_structure'!$A$1:$I$1,0)),0)</f>
        <v>0</v>
      </c>
      <c r="R656" s="9">
        <f>IF($H656&gt;K656, MIN($H656-K656, L656-K656)*INDEX('2018_commission_structure'!$A$1:$I$4,MATCH($E656,'2018_commission_structure'!$A$1:$A$4,0),MATCH(R$1,'2018_commission_structure'!$A$1:$I$1,0)),0)</f>
        <v>0</v>
      </c>
      <c r="S656" s="9">
        <f>IF(H656&gt;L656,(H656-L656)*INDEX('2018_commission_structure'!$A$1:$I$4,MATCH($E656,'2018_commission_structure'!$A$1:$A$4,0),MATCH(S$1,'2018_commission_structure'!$A$1:$I$1,0)),0)</f>
        <v>0</v>
      </c>
      <c r="T656" s="9">
        <f t="shared" si="108"/>
        <v>56520.65</v>
      </c>
      <c r="U656" s="9">
        <f t="shared" si="100"/>
        <v>113544.65</v>
      </c>
      <c r="V656" s="9">
        <f>MIN($I656,$H656)*INDEX('Key Metrics'!$E$16:$N$19,MATCH($E656,'Key Metrics'!$E$16:$E$19,0),MATCH(V$1,'Key Metrics'!$E$16:$M$16,0))</f>
        <v>60000</v>
      </c>
      <c r="W656" s="9">
        <f>IF($H656&gt;I656, MIN($H656-I656, J656-I656)*INDEX('Key Metrics'!$E$16:$N$19,MATCH($E656,'Key Metrics'!$E$16:$E$19,0),MATCH(W$1,'Key Metrics'!$E$16:$M$16,0)),0)</f>
        <v>7390.0700000000006</v>
      </c>
      <c r="X656" s="9">
        <f>IF($H656&gt;J656, MIN($H656-J656, K656-J656)*INDEX('Key Metrics'!$E$16:$N$19,MATCH($E656,'Key Metrics'!$E$16:$E$19,0),MATCH(X$1,'Key Metrics'!$E$16:$M$16,0)),0)</f>
        <v>0</v>
      </c>
      <c r="Y656" s="9">
        <f>IF($H656&gt;K656, MIN($H656-K656, L656-K656)*INDEX('Key Metrics'!$E$16:$N$19,MATCH($E656,'Key Metrics'!$E$16:$E$19,0),MATCH(Y$1,'Key Metrics'!$E$16:$M$16,0)),0)</f>
        <v>0</v>
      </c>
      <c r="Z656" s="9">
        <f>IF($H656&gt;L656,($H656-L656)*INDEX('Key Metrics'!$E$16:$N$19,MATCH($E656,'Key Metrics'!$E$16:$E$19,0),MATCH(Z$1,'Key Metrics'!$E$16:$M$16,0)),0)</f>
        <v>0</v>
      </c>
      <c r="AA656" s="9">
        <f t="shared" si="109"/>
        <v>67390.070000000007</v>
      </c>
      <c r="AB656" s="9">
        <f t="shared" si="101"/>
        <v>67391.156942000001</v>
      </c>
    </row>
    <row r="657" spans="1:28" x14ac:dyDescent="0.55000000000000004">
      <c r="A657" t="str">
        <f t="shared" si="102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COUNTIF(deals_closed!$D$2:$D$20001,Calculations!B18)</f>
        <v>22</v>
      </c>
      <c r="H657" s="7">
        <f>SUMIF(deals_closed!$D:$D,Calculations!B18,deals_closed!$C:$C)</f>
        <v>780733</v>
      </c>
      <c r="I657" s="5">
        <f>VLOOKUP(E657,'2018_commission_structure'!$A$1:$I$4,9,FALSE)</f>
        <v>750000</v>
      </c>
      <c r="J657" s="9">
        <f t="shared" si="103"/>
        <v>937500</v>
      </c>
      <c r="K657" s="10">
        <f t="shared" si="104"/>
        <v>1125000</v>
      </c>
      <c r="L657" s="9">
        <f t="shared" si="105"/>
        <v>1500000</v>
      </c>
      <c r="M657" s="8">
        <f t="shared" si="106"/>
        <v>1.0409773333333334</v>
      </c>
      <c r="N657" t="str">
        <f t="shared" si="107"/>
        <v>100-125%</v>
      </c>
      <c r="O657" s="9">
        <f>MIN($H657,$I657)*INDEX('2018_commission_structure'!$A$1:$I$4,MATCH($E657,'2018_commission_structure'!$A$1:$A$4,0),MATCH(O$1,'2018_commission_structure'!$A$1:$I$1,0))</f>
        <v>112500</v>
      </c>
      <c r="P657" s="9">
        <f>IF(H657&gt;I657, MIN(H657-I657, J657-I657)*INDEX('2018_commission_structure'!$A$1:$I$4,MATCH($E657,'2018_commission_structure'!$A$1:$A$4,0),MATCH(P$1,'2018_commission_structure'!$A$1:$I$1,0)),0)</f>
        <v>5839.27</v>
      </c>
      <c r="Q657" s="9">
        <f>IF($H657&gt;J657, MIN($H657-J657, K657-J657)*INDEX('2018_commission_structure'!$A$1:$I$4,MATCH($E657,'2018_commission_structure'!$A$1:$A$4,0),MATCH(Q$1,'2018_commission_structure'!$A$1:$I$1,0)),0)</f>
        <v>0</v>
      </c>
      <c r="R657" s="9">
        <f>IF($H657&gt;K657, MIN($H657-K657, L657-K657)*INDEX('2018_commission_structure'!$A$1:$I$4,MATCH($E657,'2018_commission_structure'!$A$1:$A$4,0),MATCH(R$1,'2018_commission_structure'!$A$1:$I$1,0)),0)</f>
        <v>0</v>
      </c>
      <c r="S657" s="9">
        <f>IF(H657&gt;L657,(H657-L657)*INDEX('2018_commission_structure'!$A$1:$I$4,MATCH($E657,'2018_commission_structure'!$A$1:$A$4,0),MATCH(S$1,'2018_commission_structure'!$A$1:$I$1,0)),0)</f>
        <v>0</v>
      </c>
      <c r="T657" s="9">
        <f t="shared" si="108"/>
        <v>118339.27</v>
      </c>
      <c r="U657" s="9">
        <f t="shared" si="100"/>
        <v>237963.27000000002</v>
      </c>
      <c r="V657" s="9">
        <f>MIN($I657,$H657)*INDEX('Key Metrics'!$E$16:$N$19,MATCH($E657,'Key Metrics'!$E$16:$E$19,0),MATCH(V$1,'Key Metrics'!$E$16:$M$16,0))</f>
        <v>112500</v>
      </c>
      <c r="W657" s="9">
        <f>IF($H657&gt;I657, MIN($H657-I657, J657-I657)*INDEX('Key Metrics'!$E$16:$N$19,MATCH($E657,'Key Metrics'!$E$16:$E$19,0),MATCH(W$1,'Key Metrics'!$E$16:$M$16,0)),0)</f>
        <v>6761.26</v>
      </c>
      <c r="X657" s="9">
        <f>IF($H657&gt;J657, MIN($H657-J657, K657-J657)*INDEX('Key Metrics'!$E$16:$N$19,MATCH($E657,'Key Metrics'!$E$16:$E$19,0),MATCH(X$1,'Key Metrics'!$E$16:$M$16,0)),0)</f>
        <v>0</v>
      </c>
      <c r="Y657" s="9">
        <f>IF($H657&gt;K657, MIN($H657-K657, L657-K657)*INDEX('Key Metrics'!$E$16:$N$19,MATCH($E657,'Key Metrics'!$E$16:$E$19,0),MATCH(Y$1,'Key Metrics'!$E$16:$M$16,0)),0)</f>
        <v>0</v>
      </c>
      <c r="Z657" s="9">
        <f>IF($H657&gt;L657,($H657-L657)*INDEX('Key Metrics'!$E$16:$N$19,MATCH($E657,'Key Metrics'!$E$16:$E$19,0),MATCH(Z$1,'Key Metrics'!$E$16:$M$16,0)),0)</f>
        <v>0</v>
      </c>
      <c r="AA657" s="9">
        <f t="shared" si="109"/>
        <v>119261.26</v>
      </c>
      <c r="AB657" s="9">
        <f t="shared" si="101"/>
        <v>119262.30097733333</v>
      </c>
    </row>
    <row r="658" spans="1:28" x14ac:dyDescent="0.55000000000000004">
      <c r="A658" t="str">
        <f t="shared" si="102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COUNTIF(deals_closed!$D$2:$D$20001,Calculations!B947)</f>
        <v>26</v>
      </c>
      <c r="H658" s="7">
        <f>SUMIF(deals_closed!$D:$D,Calculations!B947,deals_closed!$C:$C)</f>
        <v>941410</v>
      </c>
      <c r="I658" s="5">
        <f>VLOOKUP(E658,'2018_commission_structure'!$A$1:$I$4,9,FALSE)</f>
        <v>600000</v>
      </c>
      <c r="J658" s="9">
        <f t="shared" si="103"/>
        <v>750000</v>
      </c>
      <c r="K658" s="10">
        <f t="shared" si="104"/>
        <v>900000</v>
      </c>
      <c r="L658" s="9">
        <f t="shared" si="105"/>
        <v>1200000</v>
      </c>
      <c r="M658" s="8">
        <f t="shared" si="106"/>
        <v>1.5690166666666667</v>
      </c>
      <c r="N658" t="str">
        <f t="shared" si="107"/>
        <v>150-200%</v>
      </c>
      <c r="O658" s="9">
        <f>MIN($H658,$I658)*INDEX('2018_commission_structure'!$A$1:$I$4,MATCH($E658,'2018_commission_structure'!$A$1:$A$4,0),MATCH(O$1,'2018_commission_structure'!$A$1:$I$1,0))</f>
        <v>78000</v>
      </c>
      <c r="P658" s="9">
        <f>IF(H658&gt;I658, MIN(H658-I658, J658-I658)*INDEX('2018_commission_structure'!$A$1:$I$4,MATCH($E658,'2018_commission_structure'!$A$1:$A$4,0),MATCH(P$1,'2018_commission_structure'!$A$1:$I$1,0)),0)</f>
        <v>25500.000000000004</v>
      </c>
      <c r="Q658" s="9">
        <f>IF($H658&gt;J658, MIN($H658-J658, K658-J658)*INDEX('2018_commission_structure'!$A$1:$I$4,MATCH($E658,'2018_commission_structure'!$A$1:$A$4,0),MATCH(Q$1,'2018_commission_structure'!$A$1:$I$1,0)),0)</f>
        <v>31500</v>
      </c>
      <c r="R658" s="9">
        <f>IF($H658&gt;K658, MIN($H658-K658, L658-K658)*INDEX('2018_commission_structure'!$A$1:$I$4,MATCH($E658,'2018_commission_structure'!$A$1:$A$4,0),MATCH(R$1,'2018_commission_structure'!$A$1:$I$1,0)),0)</f>
        <v>10766.6</v>
      </c>
      <c r="S658" s="9">
        <f>IF(H658&gt;L658,(H658-L658)*INDEX('2018_commission_structure'!$A$1:$I$4,MATCH($E658,'2018_commission_structure'!$A$1:$A$4,0),MATCH(S$1,'2018_commission_structure'!$A$1:$I$1,0)),0)</f>
        <v>0</v>
      </c>
      <c r="T658" s="9">
        <f t="shared" si="108"/>
        <v>145766.6</v>
      </c>
      <c r="U658" s="9">
        <f t="shared" si="100"/>
        <v>217422.6</v>
      </c>
      <c r="V658" s="9">
        <f>MIN($I658,$H658)*INDEX('Key Metrics'!$E$16:$N$19,MATCH($E658,'Key Metrics'!$E$16:$E$19,0),MATCH(V$1,'Key Metrics'!$E$16:$M$16,0))</f>
        <v>90000</v>
      </c>
      <c r="W658" s="9">
        <f>IF($H658&gt;I658, MIN($H658-I658, J658-I658)*INDEX('Key Metrics'!$E$16:$N$19,MATCH($E658,'Key Metrics'!$E$16:$E$19,0),MATCH(W$1,'Key Metrics'!$E$16:$M$16,0)),0)</f>
        <v>27000</v>
      </c>
      <c r="X658" s="9">
        <f>IF($H658&gt;J658, MIN($H658-J658, K658-J658)*INDEX('Key Metrics'!$E$16:$N$19,MATCH($E658,'Key Metrics'!$E$16:$E$19,0),MATCH(X$1,'Key Metrics'!$E$16:$M$16,0)),0)</f>
        <v>37500</v>
      </c>
      <c r="Y658" s="9">
        <f>IF($H658&gt;K658, MIN($H658-K658, L658-K658)*INDEX('Key Metrics'!$E$16:$N$19,MATCH($E658,'Key Metrics'!$E$16:$E$19,0),MATCH(Y$1,'Key Metrics'!$E$16:$M$16,0)),0)</f>
        <v>12423</v>
      </c>
      <c r="Z658" s="9">
        <f>IF($H658&gt;L658,($H658-L658)*INDEX('Key Metrics'!$E$16:$N$19,MATCH($E658,'Key Metrics'!$E$16:$E$19,0),MATCH(Z$1,'Key Metrics'!$E$16:$M$16,0)),0)</f>
        <v>0</v>
      </c>
      <c r="AA658" s="9">
        <f t="shared" si="109"/>
        <v>166923</v>
      </c>
      <c r="AB658" s="9">
        <f t="shared" si="101"/>
        <v>166924.56901666668</v>
      </c>
    </row>
    <row r="659" spans="1:28" x14ac:dyDescent="0.55000000000000004">
      <c r="A659" t="str">
        <f t="shared" si="102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COUNTIF(deals_closed!$D$2:$D$20001,Calculations!B678)</f>
        <v>18</v>
      </c>
      <c r="H659" s="7">
        <f>SUMIF(deals_closed!$D:$D,Calculations!B678,deals_closed!$C:$C)</f>
        <v>581268</v>
      </c>
      <c r="I659" s="5">
        <f>VLOOKUP(E659,'2018_commission_structure'!$A$1:$I$4,9,FALSE)</f>
        <v>500000</v>
      </c>
      <c r="J659" s="9">
        <f t="shared" si="103"/>
        <v>625000</v>
      </c>
      <c r="K659" s="10">
        <f t="shared" si="104"/>
        <v>750000</v>
      </c>
      <c r="L659" s="9">
        <f t="shared" si="105"/>
        <v>1000000</v>
      </c>
      <c r="M659" s="8">
        <f t="shared" si="106"/>
        <v>1.162536</v>
      </c>
      <c r="N659" t="str">
        <f t="shared" si="107"/>
        <v>100-125%</v>
      </c>
      <c r="O659" s="9">
        <f>MIN($H659,$I659)*INDEX('2018_commission_structure'!$A$1:$I$4,MATCH($E659,'2018_commission_structure'!$A$1:$A$4,0),MATCH(O$1,'2018_commission_structure'!$A$1:$I$1,0))</f>
        <v>50000</v>
      </c>
      <c r="P659" s="9">
        <f>IF(H659&gt;I659, MIN(H659-I659, J659-I659)*INDEX('2018_commission_structure'!$A$1:$I$4,MATCH($E659,'2018_commission_structure'!$A$1:$A$4,0),MATCH(P$1,'2018_commission_structure'!$A$1:$I$1,0)),0)</f>
        <v>12190.199999999999</v>
      </c>
      <c r="Q659" s="9">
        <f>IF($H659&gt;J659, MIN($H659-J659, K659-J659)*INDEX('2018_commission_structure'!$A$1:$I$4,MATCH($E659,'2018_commission_structure'!$A$1:$A$4,0),MATCH(Q$1,'2018_commission_structure'!$A$1:$I$1,0)),0)</f>
        <v>0</v>
      </c>
      <c r="R659" s="9">
        <f>IF($H659&gt;K659, MIN($H659-K659, L659-K659)*INDEX('2018_commission_structure'!$A$1:$I$4,MATCH($E659,'2018_commission_structure'!$A$1:$A$4,0),MATCH(R$1,'2018_commission_structure'!$A$1:$I$1,0)),0)</f>
        <v>0</v>
      </c>
      <c r="S659" s="9">
        <f>IF(H659&gt;L659,(H659-L659)*INDEX('2018_commission_structure'!$A$1:$I$4,MATCH($E659,'2018_commission_structure'!$A$1:$A$4,0),MATCH(S$1,'2018_commission_structure'!$A$1:$I$1,0)),0)</f>
        <v>0</v>
      </c>
      <c r="T659" s="9">
        <f t="shared" si="108"/>
        <v>62190.2</v>
      </c>
      <c r="U659" s="9">
        <f t="shared" si="100"/>
        <v>122554.2</v>
      </c>
      <c r="V659" s="9">
        <f>MIN($I659,$H659)*INDEX('Key Metrics'!$E$16:$N$19,MATCH($E659,'Key Metrics'!$E$16:$E$19,0),MATCH(V$1,'Key Metrics'!$E$16:$M$16,0))</f>
        <v>60000</v>
      </c>
      <c r="W659" s="9">
        <f>IF($H659&gt;I659, MIN($H659-I659, J659-I659)*INDEX('Key Metrics'!$E$16:$N$19,MATCH($E659,'Key Metrics'!$E$16:$E$19,0),MATCH(W$1,'Key Metrics'!$E$16:$M$16,0)),0)</f>
        <v>13815.560000000001</v>
      </c>
      <c r="X659" s="9">
        <f>IF($H659&gt;J659, MIN($H659-J659, K659-J659)*INDEX('Key Metrics'!$E$16:$N$19,MATCH($E659,'Key Metrics'!$E$16:$E$19,0),MATCH(X$1,'Key Metrics'!$E$16:$M$16,0)),0)</f>
        <v>0</v>
      </c>
      <c r="Y659" s="9">
        <f>IF($H659&gt;K659, MIN($H659-K659, L659-K659)*INDEX('Key Metrics'!$E$16:$N$19,MATCH($E659,'Key Metrics'!$E$16:$E$19,0),MATCH(Y$1,'Key Metrics'!$E$16:$M$16,0)),0)</f>
        <v>0</v>
      </c>
      <c r="Z659" s="9">
        <f>IF($H659&gt;L659,($H659-L659)*INDEX('Key Metrics'!$E$16:$N$19,MATCH($E659,'Key Metrics'!$E$16:$E$19,0),MATCH(Z$1,'Key Metrics'!$E$16:$M$16,0)),0)</f>
        <v>0</v>
      </c>
      <c r="AA659" s="9">
        <f t="shared" si="109"/>
        <v>73815.56</v>
      </c>
      <c r="AB659" s="9">
        <f t="shared" si="101"/>
        <v>73816.722536000001</v>
      </c>
    </row>
    <row r="660" spans="1:28" x14ac:dyDescent="0.55000000000000004">
      <c r="A660" t="str">
        <f t="shared" si="102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COUNTIF(deals_closed!$D$2:$D$20001,Calculations!B761)</f>
        <v>22</v>
      </c>
      <c r="H660" s="7">
        <f>SUMIF(deals_closed!$D:$D,Calculations!B761,deals_closed!$C:$C)</f>
        <v>640400</v>
      </c>
      <c r="I660" s="5">
        <f>VLOOKUP(E660,'2018_commission_structure'!$A$1:$I$4,9,FALSE)</f>
        <v>600000</v>
      </c>
      <c r="J660" s="9">
        <f t="shared" si="103"/>
        <v>750000</v>
      </c>
      <c r="K660" s="10">
        <f t="shared" si="104"/>
        <v>900000</v>
      </c>
      <c r="L660" s="9">
        <f t="shared" si="105"/>
        <v>1200000</v>
      </c>
      <c r="M660" s="8">
        <f t="shared" si="106"/>
        <v>1.0673333333333332</v>
      </c>
      <c r="N660" t="str">
        <f t="shared" si="107"/>
        <v>100-125%</v>
      </c>
      <c r="O660" s="9">
        <f>MIN($H660,$I660)*INDEX('2018_commission_structure'!$A$1:$I$4,MATCH($E660,'2018_commission_structure'!$A$1:$A$4,0),MATCH(O$1,'2018_commission_structure'!$A$1:$I$1,0))</f>
        <v>78000</v>
      </c>
      <c r="P660" s="9">
        <f>IF(H660&gt;I660, MIN(H660-I660, J660-I660)*INDEX('2018_commission_structure'!$A$1:$I$4,MATCH($E660,'2018_commission_structure'!$A$1:$A$4,0),MATCH(P$1,'2018_commission_structure'!$A$1:$I$1,0)),0)</f>
        <v>6868.0000000000009</v>
      </c>
      <c r="Q660" s="9">
        <f>IF($H660&gt;J660, MIN($H660-J660, K660-J660)*INDEX('2018_commission_structure'!$A$1:$I$4,MATCH($E660,'2018_commission_structure'!$A$1:$A$4,0),MATCH(Q$1,'2018_commission_structure'!$A$1:$I$1,0)),0)</f>
        <v>0</v>
      </c>
      <c r="R660" s="9">
        <f>IF($H660&gt;K660, MIN($H660-K660, L660-K660)*INDEX('2018_commission_structure'!$A$1:$I$4,MATCH($E660,'2018_commission_structure'!$A$1:$A$4,0),MATCH(R$1,'2018_commission_structure'!$A$1:$I$1,0)),0)</f>
        <v>0</v>
      </c>
      <c r="S660" s="9">
        <f>IF(H660&gt;L660,(H660-L660)*INDEX('2018_commission_structure'!$A$1:$I$4,MATCH($E660,'2018_commission_structure'!$A$1:$A$4,0),MATCH(S$1,'2018_commission_structure'!$A$1:$I$1,0)),0)</f>
        <v>0</v>
      </c>
      <c r="T660" s="9">
        <f t="shared" si="108"/>
        <v>84868</v>
      </c>
      <c r="U660" s="9">
        <f t="shared" si="100"/>
        <v>138462</v>
      </c>
      <c r="V660" s="9">
        <f>MIN($I660,$H660)*INDEX('Key Metrics'!$E$16:$N$19,MATCH($E660,'Key Metrics'!$E$16:$E$19,0),MATCH(V$1,'Key Metrics'!$E$16:$M$16,0))</f>
        <v>90000</v>
      </c>
      <c r="W660" s="9">
        <f>IF($H660&gt;I660, MIN($H660-I660, J660-I660)*INDEX('Key Metrics'!$E$16:$N$19,MATCH($E660,'Key Metrics'!$E$16:$E$19,0),MATCH(W$1,'Key Metrics'!$E$16:$M$16,0)),0)</f>
        <v>7272</v>
      </c>
      <c r="X660" s="9">
        <f>IF($H660&gt;J660, MIN($H660-J660, K660-J660)*INDEX('Key Metrics'!$E$16:$N$19,MATCH($E660,'Key Metrics'!$E$16:$E$19,0),MATCH(X$1,'Key Metrics'!$E$16:$M$16,0)),0)</f>
        <v>0</v>
      </c>
      <c r="Y660" s="9">
        <f>IF($H660&gt;K660, MIN($H660-K660, L660-K660)*INDEX('Key Metrics'!$E$16:$N$19,MATCH($E660,'Key Metrics'!$E$16:$E$19,0),MATCH(Y$1,'Key Metrics'!$E$16:$M$16,0)),0)</f>
        <v>0</v>
      </c>
      <c r="Z660" s="9">
        <f>IF($H660&gt;L660,($H660-L660)*INDEX('Key Metrics'!$E$16:$N$19,MATCH($E660,'Key Metrics'!$E$16:$E$19,0),MATCH(Z$1,'Key Metrics'!$E$16:$M$16,0)),0)</f>
        <v>0</v>
      </c>
      <c r="AA660" s="9">
        <f t="shared" si="109"/>
        <v>97272</v>
      </c>
      <c r="AB660" s="9">
        <f t="shared" si="101"/>
        <v>97273.06733333334</v>
      </c>
    </row>
    <row r="661" spans="1:28" x14ac:dyDescent="0.55000000000000004">
      <c r="A661" t="str">
        <f t="shared" si="102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COUNTIF(deals_closed!$D$2:$D$20001,Calculations!B202)</f>
        <v>15</v>
      </c>
      <c r="H661" s="7">
        <f>SUMIF(deals_closed!$D:$D,Calculations!B202,deals_closed!$C:$C)</f>
        <v>403196</v>
      </c>
      <c r="I661" s="5">
        <f>VLOOKUP(E661,'2018_commission_structure'!$A$1:$I$4,9,FALSE)</f>
        <v>750000</v>
      </c>
      <c r="J661" s="9">
        <f t="shared" si="103"/>
        <v>937500</v>
      </c>
      <c r="K661" s="10">
        <f t="shared" si="104"/>
        <v>1125000</v>
      </c>
      <c r="L661" s="9">
        <f t="shared" si="105"/>
        <v>1500000</v>
      </c>
      <c r="M661" s="8">
        <f t="shared" si="106"/>
        <v>0.53759466666666667</v>
      </c>
      <c r="N661" t="str">
        <f t="shared" si="107"/>
        <v>0-100%</v>
      </c>
      <c r="O661" s="9">
        <f>MIN($H661,$I661)*INDEX('2018_commission_structure'!$A$1:$I$4,MATCH($E661,'2018_commission_structure'!$A$1:$A$4,0),MATCH(O$1,'2018_commission_structure'!$A$1:$I$1,0))</f>
        <v>60479.399999999994</v>
      </c>
      <c r="P661" s="9">
        <f>IF(H661&gt;I661, MIN(H661-I661, J661-I661)*INDEX('2018_commission_structure'!$A$1:$I$4,MATCH($E661,'2018_commission_structure'!$A$1:$A$4,0),MATCH(P$1,'2018_commission_structure'!$A$1:$I$1,0)),0)</f>
        <v>0</v>
      </c>
      <c r="Q661" s="9">
        <f>IF($H661&gt;J661, MIN($H661-J661, K661-J661)*INDEX('2018_commission_structure'!$A$1:$I$4,MATCH($E661,'2018_commission_structure'!$A$1:$A$4,0),MATCH(Q$1,'2018_commission_structure'!$A$1:$I$1,0)),0)</f>
        <v>0</v>
      </c>
      <c r="R661" s="9">
        <f>IF($H661&gt;K661, MIN($H661-K661, L661-K661)*INDEX('2018_commission_structure'!$A$1:$I$4,MATCH($E661,'2018_commission_structure'!$A$1:$A$4,0),MATCH(R$1,'2018_commission_structure'!$A$1:$I$1,0)),0)</f>
        <v>0</v>
      </c>
      <c r="S661" s="9">
        <f>IF(H661&gt;L661,(H661-L661)*INDEX('2018_commission_structure'!$A$1:$I$4,MATCH($E661,'2018_commission_structure'!$A$1:$A$4,0),MATCH(S$1,'2018_commission_structure'!$A$1:$I$1,0)),0)</f>
        <v>0</v>
      </c>
      <c r="T661" s="9">
        <f t="shared" si="108"/>
        <v>60479.399999999994</v>
      </c>
      <c r="U661" s="9">
        <f t="shared" si="100"/>
        <v>157947.4</v>
      </c>
      <c r="V661" s="9">
        <f>MIN($I661,$H661)*INDEX('Key Metrics'!$E$16:$N$19,MATCH($E661,'Key Metrics'!$E$16:$E$19,0),MATCH(V$1,'Key Metrics'!$E$16:$M$16,0))</f>
        <v>60479.399999999994</v>
      </c>
      <c r="W661" s="9">
        <f>IF($H661&gt;I661, MIN($H661-I661, J661-I661)*INDEX('Key Metrics'!$E$16:$N$19,MATCH($E661,'Key Metrics'!$E$16:$E$19,0),MATCH(W$1,'Key Metrics'!$E$16:$M$16,0)),0)</f>
        <v>0</v>
      </c>
      <c r="X661" s="9">
        <f>IF($H661&gt;J661, MIN($H661-J661, K661-J661)*INDEX('Key Metrics'!$E$16:$N$19,MATCH($E661,'Key Metrics'!$E$16:$E$19,0),MATCH(X$1,'Key Metrics'!$E$16:$M$16,0)),0)</f>
        <v>0</v>
      </c>
      <c r="Y661" s="9">
        <f>IF($H661&gt;K661, MIN($H661-K661, L661-K661)*INDEX('Key Metrics'!$E$16:$N$19,MATCH($E661,'Key Metrics'!$E$16:$E$19,0),MATCH(Y$1,'Key Metrics'!$E$16:$M$16,0)),0)</f>
        <v>0</v>
      </c>
      <c r="Z661" s="9">
        <f>IF($H661&gt;L661,($H661-L661)*INDEX('Key Metrics'!$E$16:$N$19,MATCH($E661,'Key Metrics'!$E$16:$E$19,0),MATCH(Z$1,'Key Metrics'!$E$16:$M$16,0)),0)</f>
        <v>0</v>
      </c>
      <c r="AA661" s="9">
        <f t="shared" si="109"/>
        <v>60479.399999999994</v>
      </c>
      <c r="AB661" s="9">
        <f t="shared" si="101"/>
        <v>60479.937594666662</v>
      </c>
    </row>
    <row r="662" spans="1:28" x14ac:dyDescent="0.55000000000000004">
      <c r="A662" t="str">
        <f t="shared" si="102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COUNTIF(deals_closed!$D$2:$D$20001,Calculations!B872)</f>
        <v>27</v>
      </c>
      <c r="H662" s="7">
        <f>SUMIF(deals_closed!$D:$D,Calculations!B872,deals_closed!$C:$C)</f>
        <v>1065238</v>
      </c>
      <c r="I662" s="5">
        <f>VLOOKUP(E662,'2018_commission_structure'!$A$1:$I$4,9,FALSE)</f>
        <v>500000</v>
      </c>
      <c r="J662" s="9">
        <f t="shared" si="103"/>
        <v>625000</v>
      </c>
      <c r="K662" s="10">
        <f t="shared" si="104"/>
        <v>750000</v>
      </c>
      <c r="L662" s="9">
        <f t="shared" si="105"/>
        <v>1000000</v>
      </c>
      <c r="M662" s="8">
        <f t="shared" si="106"/>
        <v>2.1304759999999998</v>
      </c>
      <c r="N662" t="str">
        <f t="shared" si="107"/>
        <v>&gt;200%</v>
      </c>
      <c r="O662" s="9">
        <f>MIN($H662,$I662)*INDEX('2018_commission_structure'!$A$1:$I$4,MATCH($E662,'2018_commission_structure'!$A$1:$A$4,0),MATCH(O$1,'2018_commission_structure'!$A$1:$I$1,0))</f>
        <v>50000</v>
      </c>
      <c r="P662" s="9">
        <f>IF(H662&gt;I662, MIN(H662-I662, J662-I662)*INDEX('2018_commission_structure'!$A$1:$I$4,MATCH($E662,'2018_commission_structure'!$A$1:$A$4,0),MATCH(P$1,'2018_commission_structure'!$A$1:$I$1,0)),0)</f>
        <v>18750</v>
      </c>
      <c r="Q662" s="9">
        <f>IF($H662&gt;J662, MIN($H662-J662, K662-J662)*INDEX('2018_commission_structure'!$A$1:$I$4,MATCH($E662,'2018_commission_structure'!$A$1:$A$4,0),MATCH(Q$1,'2018_commission_structure'!$A$1:$I$1,0)),0)</f>
        <v>22500</v>
      </c>
      <c r="R662" s="9">
        <f>IF($H662&gt;K662, MIN($H662-K662, L662-K662)*INDEX('2018_commission_structure'!$A$1:$I$4,MATCH($E662,'2018_commission_structure'!$A$1:$A$4,0),MATCH(R$1,'2018_commission_structure'!$A$1:$I$1,0)),0)</f>
        <v>55000</v>
      </c>
      <c r="S662" s="9">
        <f>IF(H662&gt;L662,(H662-L662)*INDEX('2018_commission_structure'!$A$1:$I$4,MATCH($E662,'2018_commission_structure'!$A$1:$A$4,0),MATCH(S$1,'2018_commission_structure'!$A$1:$I$1,0)),0)</f>
        <v>6523.8</v>
      </c>
      <c r="T662" s="9">
        <f t="shared" si="108"/>
        <v>152773.79999999999</v>
      </c>
      <c r="U662" s="9">
        <f t="shared" si="100"/>
        <v>209010.8</v>
      </c>
      <c r="V662" s="9">
        <f>MIN($I662,$H662)*INDEX('Key Metrics'!$E$16:$N$19,MATCH($E662,'Key Metrics'!$E$16:$E$19,0),MATCH(V$1,'Key Metrics'!$E$16:$M$16,0))</f>
        <v>60000</v>
      </c>
      <c r="W662" s="9">
        <f>IF($H662&gt;I662, MIN($H662-I662, J662-I662)*INDEX('Key Metrics'!$E$16:$N$19,MATCH($E662,'Key Metrics'!$E$16:$E$19,0),MATCH(W$1,'Key Metrics'!$E$16:$M$16,0)),0)</f>
        <v>21250</v>
      </c>
      <c r="X662" s="9">
        <f>IF($H662&gt;J662, MIN($H662-J662, K662-J662)*INDEX('Key Metrics'!$E$16:$N$19,MATCH($E662,'Key Metrics'!$E$16:$E$19,0),MATCH(X$1,'Key Metrics'!$E$16:$M$16,0)),0)</f>
        <v>25000</v>
      </c>
      <c r="Y662" s="9">
        <f>IF($H662&gt;K662, MIN($H662-K662, L662-K662)*INDEX('Key Metrics'!$E$16:$N$19,MATCH($E662,'Key Metrics'!$E$16:$E$19,0),MATCH(Y$1,'Key Metrics'!$E$16:$M$16,0)),0)</f>
        <v>55000</v>
      </c>
      <c r="Z662" s="9">
        <f>IF($H662&gt;L662,($H662-L662)*INDEX('Key Metrics'!$E$16:$N$19,MATCH($E662,'Key Metrics'!$E$16:$E$19,0),MATCH(Z$1,'Key Metrics'!$E$16:$M$16,0)),0)</f>
        <v>6523.8</v>
      </c>
      <c r="AA662" s="9">
        <f t="shared" si="109"/>
        <v>167773.8</v>
      </c>
      <c r="AB662" s="9">
        <f t="shared" si="101"/>
        <v>167775.93047599998</v>
      </c>
    </row>
    <row r="663" spans="1:28" x14ac:dyDescent="0.55000000000000004">
      <c r="A663" t="str">
        <f t="shared" si="102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COUNTIF(deals_closed!$D$2:$D$20001,Calculations!B560)</f>
        <v>23</v>
      </c>
      <c r="H663" s="7">
        <f>SUMIF(deals_closed!$D:$D,Calculations!B560,deals_closed!$C:$C)</f>
        <v>814416</v>
      </c>
      <c r="I663" s="5">
        <f>VLOOKUP(E663,'2018_commission_structure'!$A$1:$I$4,9,FALSE)</f>
        <v>750000</v>
      </c>
      <c r="J663" s="9">
        <f t="shared" si="103"/>
        <v>937500</v>
      </c>
      <c r="K663" s="10">
        <f t="shared" si="104"/>
        <v>1125000</v>
      </c>
      <c r="L663" s="9">
        <f t="shared" si="105"/>
        <v>1500000</v>
      </c>
      <c r="M663" s="8">
        <f t="shared" si="106"/>
        <v>1.085888</v>
      </c>
      <c r="N663" t="str">
        <f t="shared" si="107"/>
        <v>100-125%</v>
      </c>
      <c r="O663" s="9">
        <f>MIN($H663,$I663)*INDEX('2018_commission_structure'!$A$1:$I$4,MATCH($E663,'2018_commission_structure'!$A$1:$A$4,0),MATCH(O$1,'2018_commission_structure'!$A$1:$I$1,0))</f>
        <v>112500</v>
      </c>
      <c r="P663" s="9">
        <f>IF(H663&gt;I663, MIN(H663-I663, J663-I663)*INDEX('2018_commission_structure'!$A$1:$I$4,MATCH($E663,'2018_commission_structure'!$A$1:$A$4,0),MATCH(P$1,'2018_commission_structure'!$A$1:$I$1,0)),0)</f>
        <v>12239.04</v>
      </c>
      <c r="Q663" s="9">
        <f>IF($H663&gt;J663, MIN($H663-J663, K663-J663)*INDEX('2018_commission_structure'!$A$1:$I$4,MATCH($E663,'2018_commission_structure'!$A$1:$A$4,0),MATCH(Q$1,'2018_commission_structure'!$A$1:$I$1,0)),0)</f>
        <v>0</v>
      </c>
      <c r="R663" s="9">
        <f>IF($H663&gt;K663, MIN($H663-K663, L663-K663)*INDEX('2018_commission_structure'!$A$1:$I$4,MATCH($E663,'2018_commission_structure'!$A$1:$A$4,0),MATCH(R$1,'2018_commission_structure'!$A$1:$I$1,0)),0)</f>
        <v>0</v>
      </c>
      <c r="S663" s="9">
        <f>IF(H663&gt;L663,(H663-L663)*INDEX('2018_commission_structure'!$A$1:$I$4,MATCH($E663,'2018_commission_structure'!$A$1:$A$4,0),MATCH(S$1,'2018_commission_structure'!$A$1:$I$1,0)),0)</f>
        <v>0</v>
      </c>
      <c r="T663" s="9">
        <f t="shared" si="108"/>
        <v>124739.04000000001</v>
      </c>
      <c r="U663" s="9">
        <f t="shared" si="100"/>
        <v>213752.04</v>
      </c>
      <c r="V663" s="9">
        <f>MIN($I663,$H663)*INDEX('Key Metrics'!$E$16:$N$19,MATCH($E663,'Key Metrics'!$E$16:$E$19,0),MATCH(V$1,'Key Metrics'!$E$16:$M$16,0))</f>
        <v>112500</v>
      </c>
      <c r="W663" s="9">
        <f>IF($H663&gt;I663, MIN($H663-I663, J663-I663)*INDEX('Key Metrics'!$E$16:$N$19,MATCH($E663,'Key Metrics'!$E$16:$E$19,0),MATCH(W$1,'Key Metrics'!$E$16:$M$16,0)),0)</f>
        <v>14171.52</v>
      </c>
      <c r="X663" s="9">
        <f>IF($H663&gt;J663, MIN($H663-J663, K663-J663)*INDEX('Key Metrics'!$E$16:$N$19,MATCH($E663,'Key Metrics'!$E$16:$E$19,0),MATCH(X$1,'Key Metrics'!$E$16:$M$16,0)),0)</f>
        <v>0</v>
      </c>
      <c r="Y663" s="9">
        <f>IF($H663&gt;K663, MIN($H663-K663, L663-K663)*INDEX('Key Metrics'!$E$16:$N$19,MATCH($E663,'Key Metrics'!$E$16:$E$19,0),MATCH(Y$1,'Key Metrics'!$E$16:$M$16,0)),0)</f>
        <v>0</v>
      </c>
      <c r="Z663" s="9">
        <f>IF($H663&gt;L663,($H663-L663)*INDEX('Key Metrics'!$E$16:$N$19,MATCH($E663,'Key Metrics'!$E$16:$E$19,0),MATCH(Z$1,'Key Metrics'!$E$16:$M$16,0)),0)</f>
        <v>0</v>
      </c>
      <c r="AA663" s="9">
        <f t="shared" si="109"/>
        <v>126671.52</v>
      </c>
      <c r="AB663" s="9">
        <f t="shared" si="101"/>
        <v>126672.60588800001</v>
      </c>
    </row>
    <row r="664" spans="1:28" x14ac:dyDescent="0.55000000000000004">
      <c r="A664" t="str">
        <f t="shared" si="102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COUNTIF(deals_closed!$D$2:$D$20001,Calculations!B200)</f>
        <v>18</v>
      </c>
      <c r="H664" s="7">
        <f>SUMIF(deals_closed!$D:$D,Calculations!B200,deals_closed!$C:$C)</f>
        <v>664135</v>
      </c>
      <c r="I664" s="5">
        <f>VLOOKUP(E664,'2018_commission_structure'!$A$1:$I$4,9,FALSE)</f>
        <v>600000</v>
      </c>
      <c r="J664" s="9">
        <f t="shared" si="103"/>
        <v>750000</v>
      </c>
      <c r="K664" s="10">
        <f t="shared" si="104"/>
        <v>900000</v>
      </c>
      <c r="L664" s="9">
        <f t="shared" si="105"/>
        <v>1200000</v>
      </c>
      <c r="M664" s="8">
        <f t="shared" si="106"/>
        <v>1.1068916666666666</v>
      </c>
      <c r="N664" t="str">
        <f t="shared" si="107"/>
        <v>100-125%</v>
      </c>
      <c r="O664" s="9">
        <f>MIN($H664,$I664)*INDEX('2018_commission_structure'!$A$1:$I$4,MATCH($E664,'2018_commission_structure'!$A$1:$A$4,0),MATCH(O$1,'2018_commission_structure'!$A$1:$I$1,0))</f>
        <v>78000</v>
      </c>
      <c r="P664" s="9">
        <f>IF(H664&gt;I664, MIN(H664-I664, J664-I664)*INDEX('2018_commission_structure'!$A$1:$I$4,MATCH($E664,'2018_commission_structure'!$A$1:$A$4,0),MATCH(P$1,'2018_commission_structure'!$A$1:$I$1,0)),0)</f>
        <v>10902.95</v>
      </c>
      <c r="Q664" s="9">
        <f>IF($H664&gt;J664, MIN($H664-J664, K664-J664)*INDEX('2018_commission_structure'!$A$1:$I$4,MATCH($E664,'2018_commission_structure'!$A$1:$A$4,0),MATCH(Q$1,'2018_commission_structure'!$A$1:$I$1,0)),0)</f>
        <v>0</v>
      </c>
      <c r="R664" s="9">
        <f>IF($H664&gt;K664, MIN($H664-K664, L664-K664)*INDEX('2018_commission_structure'!$A$1:$I$4,MATCH($E664,'2018_commission_structure'!$A$1:$A$4,0),MATCH(R$1,'2018_commission_structure'!$A$1:$I$1,0)),0)</f>
        <v>0</v>
      </c>
      <c r="S664" s="9">
        <f>IF(H664&gt;L664,(H664-L664)*INDEX('2018_commission_structure'!$A$1:$I$4,MATCH($E664,'2018_commission_structure'!$A$1:$A$4,0),MATCH(S$1,'2018_commission_structure'!$A$1:$I$1,0)),0)</f>
        <v>0</v>
      </c>
      <c r="T664" s="9">
        <f t="shared" si="108"/>
        <v>88902.95</v>
      </c>
      <c r="U664" s="9">
        <f t="shared" si="100"/>
        <v>144817.95000000001</v>
      </c>
      <c r="V664" s="9">
        <f>MIN($I664,$H664)*INDEX('Key Metrics'!$E$16:$N$19,MATCH($E664,'Key Metrics'!$E$16:$E$19,0),MATCH(V$1,'Key Metrics'!$E$16:$M$16,0))</f>
        <v>90000</v>
      </c>
      <c r="W664" s="9">
        <f>IF($H664&gt;I664, MIN($H664-I664, J664-I664)*INDEX('Key Metrics'!$E$16:$N$19,MATCH($E664,'Key Metrics'!$E$16:$E$19,0),MATCH(W$1,'Key Metrics'!$E$16:$M$16,0)),0)</f>
        <v>11544.3</v>
      </c>
      <c r="X664" s="9">
        <f>IF($H664&gt;J664, MIN($H664-J664, K664-J664)*INDEX('Key Metrics'!$E$16:$N$19,MATCH($E664,'Key Metrics'!$E$16:$E$19,0),MATCH(X$1,'Key Metrics'!$E$16:$M$16,0)),0)</f>
        <v>0</v>
      </c>
      <c r="Y664" s="9">
        <f>IF($H664&gt;K664, MIN($H664-K664, L664-K664)*INDEX('Key Metrics'!$E$16:$N$19,MATCH($E664,'Key Metrics'!$E$16:$E$19,0),MATCH(Y$1,'Key Metrics'!$E$16:$M$16,0)),0)</f>
        <v>0</v>
      </c>
      <c r="Z664" s="9">
        <f>IF($H664&gt;L664,($H664-L664)*INDEX('Key Metrics'!$E$16:$N$19,MATCH($E664,'Key Metrics'!$E$16:$E$19,0),MATCH(Z$1,'Key Metrics'!$E$16:$M$16,0)),0)</f>
        <v>0</v>
      </c>
      <c r="AA664" s="9">
        <f t="shared" si="109"/>
        <v>101544.3</v>
      </c>
      <c r="AB664" s="9">
        <f t="shared" si="101"/>
        <v>101545.40689166667</v>
      </c>
    </row>
    <row r="665" spans="1:28" x14ac:dyDescent="0.55000000000000004">
      <c r="A665" t="str">
        <f t="shared" si="102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COUNTIF(deals_closed!$D$2:$D$20001,Calculations!B295)</f>
        <v>11</v>
      </c>
      <c r="H665" s="7">
        <f>SUMIF(deals_closed!$D:$D,Calculations!B295,deals_closed!$C:$C)</f>
        <v>393982</v>
      </c>
      <c r="I665" s="5">
        <f>VLOOKUP(E665,'2018_commission_structure'!$A$1:$I$4,9,FALSE)</f>
        <v>600000</v>
      </c>
      <c r="J665" s="9">
        <f t="shared" si="103"/>
        <v>750000</v>
      </c>
      <c r="K665" s="10">
        <f t="shared" si="104"/>
        <v>900000</v>
      </c>
      <c r="L665" s="9">
        <f t="shared" si="105"/>
        <v>1200000</v>
      </c>
      <c r="M665" s="8">
        <f t="shared" si="106"/>
        <v>0.65663666666666665</v>
      </c>
      <c r="N665" t="str">
        <f t="shared" si="107"/>
        <v>0-100%</v>
      </c>
      <c r="O665" s="9">
        <f>MIN($H665,$I665)*INDEX('2018_commission_structure'!$A$1:$I$4,MATCH($E665,'2018_commission_structure'!$A$1:$A$4,0),MATCH(O$1,'2018_commission_structure'!$A$1:$I$1,0))</f>
        <v>51217.66</v>
      </c>
      <c r="P665" s="9">
        <f>IF(H665&gt;I665, MIN(H665-I665, J665-I665)*INDEX('2018_commission_structure'!$A$1:$I$4,MATCH($E665,'2018_commission_structure'!$A$1:$A$4,0),MATCH(P$1,'2018_commission_structure'!$A$1:$I$1,0)),0)</f>
        <v>0</v>
      </c>
      <c r="Q665" s="9">
        <f>IF($H665&gt;J665, MIN($H665-J665, K665-J665)*INDEX('2018_commission_structure'!$A$1:$I$4,MATCH($E665,'2018_commission_structure'!$A$1:$A$4,0),MATCH(Q$1,'2018_commission_structure'!$A$1:$I$1,0)),0)</f>
        <v>0</v>
      </c>
      <c r="R665" s="9">
        <f>IF($H665&gt;K665, MIN($H665-K665, L665-K665)*INDEX('2018_commission_structure'!$A$1:$I$4,MATCH($E665,'2018_commission_structure'!$A$1:$A$4,0),MATCH(R$1,'2018_commission_structure'!$A$1:$I$1,0)),0)</f>
        <v>0</v>
      </c>
      <c r="S665" s="9">
        <f>IF(H665&gt;L665,(H665-L665)*INDEX('2018_commission_structure'!$A$1:$I$4,MATCH($E665,'2018_commission_structure'!$A$1:$A$4,0),MATCH(S$1,'2018_commission_structure'!$A$1:$I$1,0)),0)</f>
        <v>0</v>
      </c>
      <c r="T665" s="9">
        <f t="shared" si="108"/>
        <v>51217.66</v>
      </c>
      <c r="U665" s="9">
        <f t="shared" si="100"/>
        <v>105906.66</v>
      </c>
      <c r="V665" s="9">
        <f>MIN($I665,$H665)*INDEX('Key Metrics'!$E$16:$N$19,MATCH($E665,'Key Metrics'!$E$16:$E$19,0),MATCH(V$1,'Key Metrics'!$E$16:$M$16,0))</f>
        <v>59097.299999999996</v>
      </c>
      <c r="W665" s="9">
        <f>IF($H665&gt;I665, MIN($H665-I665, J665-I665)*INDEX('Key Metrics'!$E$16:$N$19,MATCH($E665,'Key Metrics'!$E$16:$E$19,0),MATCH(W$1,'Key Metrics'!$E$16:$M$16,0)),0)</f>
        <v>0</v>
      </c>
      <c r="X665" s="9">
        <f>IF($H665&gt;J665, MIN($H665-J665, K665-J665)*INDEX('Key Metrics'!$E$16:$N$19,MATCH($E665,'Key Metrics'!$E$16:$E$19,0),MATCH(X$1,'Key Metrics'!$E$16:$M$16,0)),0)</f>
        <v>0</v>
      </c>
      <c r="Y665" s="9">
        <f>IF($H665&gt;K665, MIN($H665-K665, L665-K665)*INDEX('Key Metrics'!$E$16:$N$19,MATCH($E665,'Key Metrics'!$E$16:$E$19,0),MATCH(Y$1,'Key Metrics'!$E$16:$M$16,0)),0)</f>
        <v>0</v>
      </c>
      <c r="Z665" s="9">
        <f>IF($H665&gt;L665,($H665-L665)*INDEX('Key Metrics'!$E$16:$N$19,MATCH($E665,'Key Metrics'!$E$16:$E$19,0),MATCH(Z$1,'Key Metrics'!$E$16:$M$16,0)),0)</f>
        <v>0</v>
      </c>
      <c r="AA665" s="9">
        <f t="shared" si="109"/>
        <v>59097.299999999996</v>
      </c>
      <c r="AB665" s="9">
        <f t="shared" si="101"/>
        <v>59097.956636666662</v>
      </c>
    </row>
    <row r="666" spans="1:28" x14ac:dyDescent="0.55000000000000004">
      <c r="A666" t="str">
        <f t="shared" si="102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COUNTIF(deals_closed!$D$2:$D$20001,Calculations!B809)</f>
        <v>27</v>
      </c>
      <c r="H666" s="7">
        <f>SUMIF(deals_closed!$D:$D,Calculations!B809,deals_closed!$C:$C)</f>
        <v>899816</v>
      </c>
      <c r="I666" s="5">
        <f>VLOOKUP(E666,'2018_commission_structure'!$A$1:$I$4,9,FALSE)</f>
        <v>750000</v>
      </c>
      <c r="J666" s="9">
        <f t="shared" si="103"/>
        <v>937500</v>
      </c>
      <c r="K666" s="10">
        <f t="shared" si="104"/>
        <v>1125000</v>
      </c>
      <c r="L666" s="9">
        <f t="shared" si="105"/>
        <v>1500000</v>
      </c>
      <c r="M666" s="8">
        <f t="shared" si="106"/>
        <v>1.1997546666666667</v>
      </c>
      <c r="N666" t="str">
        <f t="shared" si="107"/>
        <v>100-125%</v>
      </c>
      <c r="O666" s="9">
        <f>MIN($H666,$I666)*INDEX('2018_commission_structure'!$A$1:$I$4,MATCH($E666,'2018_commission_structure'!$A$1:$A$4,0),MATCH(O$1,'2018_commission_structure'!$A$1:$I$1,0))</f>
        <v>112500</v>
      </c>
      <c r="P666" s="9">
        <f>IF(H666&gt;I666, MIN(H666-I666, J666-I666)*INDEX('2018_commission_structure'!$A$1:$I$4,MATCH($E666,'2018_commission_structure'!$A$1:$A$4,0),MATCH(P$1,'2018_commission_structure'!$A$1:$I$1,0)),0)</f>
        <v>28465.040000000001</v>
      </c>
      <c r="Q666" s="9">
        <f>IF($H666&gt;J666, MIN($H666-J666, K666-J666)*INDEX('2018_commission_structure'!$A$1:$I$4,MATCH($E666,'2018_commission_structure'!$A$1:$A$4,0),MATCH(Q$1,'2018_commission_structure'!$A$1:$I$1,0)),0)</f>
        <v>0</v>
      </c>
      <c r="R666" s="9">
        <f>IF($H666&gt;K666, MIN($H666-K666, L666-K666)*INDEX('2018_commission_structure'!$A$1:$I$4,MATCH($E666,'2018_commission_structure'!$A$1:$A$4,0),MATCH(R$1,'2018_commission_structure'!$A$1:$I$1,0)),0)</f>
        <v>0</v>
      </c>
      <c r="S666" s="9">
        <f>IF(H666&gt;L666,(H666-L666)*INDEX('2018_commission_structure'!$A$1:$I$4,MATCH($E666,'2018_commission_structure'!$A$1:$A$4,0),MATCH(S$1,'2018_commission_structure'!$A$1:$I$1,0)),0)</f>
        <v>0</v>
      </c>
      <c r="T666" s="9">
        <f t="shared" si="108"/>
        <v>140965.04</v>
      </c>
      <c r="U666" s="9">
        <f t="shared" si="100"/>
        <v>232943.04</v>
      </c>
      <c r="V666" s="9">
        <f>MIN($I666,$H666)*INDEX('Key Metrics'!$E$16:$N$19,MATCH($E666,'Key Metrics'!$E$16:$E$19,0),MATCH(V$1,'Key Metrics'!$E$16:$M$16,0))</f>
        <v>112500</v>
      </c>
      <c r="W666" s="9">
        <f>IF($H666&gt;I666, MIN($H666-I666, J666-I666)*INDEX('Key Metrics'!$E$16:$N$19,MATCH($E666,'Key Metrics'!$E$16:$E$19,0),MATCH(W$1,'Key Metrics'!$E$16:$M$16,0)),0)</f>
        <v>32959.519999999997</v>
      </c>
      <c r="X666" s="9">
        <f>IF($H666&gt;J666, MIN($H666-J666, K666-J666)*INDEX('Key Metrics'!$E$16:$N$19,MATCH($E666,'Key Metrics'!$E$16:$E$19,0),MATCH(X$1,'Key Metrics'!$E$16:$M$16,0)),0)</f>
        <v>0</v>
      </c>
      <c r="Y666" s="9">
        <f>IF($H666&gt;K666, MIN($H666-K666, L666-K666)*INDEX('Key Metrics'!$E$16:$N$19,MATCH($E666,'Key Metrics'!$E$16:$E$19,0),MATCH(Y$1,'Key Metrics'!$E$16:$M$16,0)),0)</f>
        <v>0</v>
      </c>
      <c r="Z666" s="9">
        <f>IF($H666&gt;L666,($H666-L666)*INDEX('Key Metrics'!$E$16:$N$19,MATCH($E666,'Key Metrics'!$E$16:$E$19,0),MATCH(Z$1,'Key Metrics'!$E$16:$M$16,0)),0)</f>
        <v>0</v>
      </c>
      <c r="AA666" s="9">
        <f t="shared" si="109"/>
        <v>145459.51999999999</v>
      </c>
      <c r="AB666" s="9">
        <f t="shared" si="101"/>
        <v>145460.71975466664</v>
      </c>
    </row>
    <row r="667" spans="1:28" x14ac:dyDescent="0.55000000000000004">
      <c r="A667" t="str">
        <f t="shared" si="102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COUNTIF(deals_closed!$D$2:$D$20001,Calculations!B1001)</f>
        <v>19</v>
      </c>
      <c r="H667" s="7">
        <f>SUMIF(deals_closed!$D:$D,Calculations!B1001,deals_closed!$C:$C)</f>
        <v>713679</v>
      </c>
      <c r="I667" s="5">
        <f>VLOOKUP(E667,'2018_commission_structure'!$A$1:$I$4,9,FALSE)</f>
        <v>600000</v>
      </c>
      <c r="J667" s="9">
        <f t="shared" si="103"/>
        <v>750000</v>
      </c>
      <c r="K667" s="10">
        <f t="shared" si="104"/>
        <v>900000</v>
      </c>
      <c r="L667" s="9">
        <f t="shared" si="105"/>
        <v>1200000</v>
      </c>
      <c r="M667" s="8">
        <f t="shared" si="106"/>
        <v>1.189465</v>
      </c>
      <c r="N667" t="str">
        <f t="shared" si="107"/>
        <v>100-125%</v>
      </c>
      <c r="O667" s="9">
        <f>MIN($H667,$I667)*INDEX('2018_commission_structure'!$A$1:$I$4,MATCH($E667,'2018_commission_structure'!$A$1:$A$4,0),MATCH(O$1,'2018_commission_structure'!$A$1:$I$1,0))</f>
        <v>78000</v>
      </c>
      <c r="P667" s="9">
        <f>IF(H667&gt;I667, MIN(H667-I667, J667-I667)*INDEX('2018_commission_structure'!$A$1:$I$4,MATCH($E667,'2018_commission_structure'!$A$1:$A$4,0),MATCH(P$1,'2018_commission_structure'!$A$1:$I$1,0)),0)</f>
        <v>19325.43</v>
      </c>
      <c r="Q667" s="9">
        <f>IF($H667&gt;J667, MIN($H667-J667, K667-J667)*INDEX('2018_commission_structure'!$A$1:$I$4,MATCH($E667,'2018_commission_structure'!$A$1:$A$4,0),MATCH(Q$1,'2018_commission_structure'!$A$1:$I$1,0)),0)</f>
        <v>0</v>
      </c>
      <c r="R667" s="9">
        <f>IF($H667&gt;K667, MIN($H667-K667, L667-K667)*INDEX('2018_commission_structure'!$A$1:$I$4,MATCH($E667,'2018_commission_structure'!$A$1:$A$4,0),MATCH(R$1,'2018_commission_structure'!$A$1:$I$1,0)),0)</f>
        <v>0</v>
      </c>
      <c r="S667" s="9">
        <f>IF(H667&gt;L667,(H667-L667)*INDEX('2018_commission_structure'!$A$1:$I$4,MATCH($E667,'2018_commission_structure'!$A$1:$A$4,0),MATCH(S$1,'2018_commission_structure'!$A$1:$I$1,0)),0)</f>
        <v>0</v>
      </c>
      <c r="T667" s="9">
        <f t="shared" si="108"/>
        <v>97325.43</v>
      </c>
      <c r="U667" s="9">
        <f t="shared" si="100"/>
        <v>148040.43</v>
      </c>
      <c r="V667" s="9">
        <f>MIN($I667,$H667)*INDEX('Key Metrics'!$E$16:$N$19,MATCH($E667,'Key Metrics'!$E$16:$E$19,0),MATCH(V$1,'Key Metrics'!$E$16:$M$16,0))</f>
        <v>90000</v>
      </c>
      <c r="W667" s="9">
        <f>IF($H667&gt;I667, MIN($H667-I667, J667-I667)*INDEX('Key Metrics'!$E$16:$N$19,MATCH($E667,'Key Metrics'!$E$16:$E$19,0),MATCH(W$1,'Key Metrics'!$E$16:$M$16,0)),0)</f>
        <v>20462.219999999998</v>
      </c>
      <c r="X667" s="9">
        <f>IF($H667&gt;J667, MIN($H667-J667, K667-J667)*INDEX('Key Metrics'!$E$16:$N$19,MATCH($E667,'Key Metrics'!$E$16:$E$19,0),MATCH(X$1,'Key Metrics'!$E$16:$M$16,0)),0)</f>
        <v>0</v>
      </c>
      <c r="Y667" s="9">
        <f>IF($H667&gt;K667, MIN($H667-K667, L667-K667)*INDEX('Key Metrics'!$E$16:$N$19,MATCH($E667,'Key Metrics'!$E$16:$E$19,0),MATCH(Y$1,'Key Metrics'!$E$16:$M$16,0)),0)</f>
        <v>0</v>
      </c>
      <c r="Z667" s="9">
        <f>IF($H667&gt;L667,($H667-L667)*INDEX('Key Metrics'!$E$16:$N$19,MATCH($E667,'Key Metrics'!$E$16:$E$19,0),MATCH(Z$1,'Key Metrics'!$E$16:$M$16,0)),0)</f>
        <v>0</v>
      </c>
      <c r="AA667" s="9">
        <f t="shared" si="109"/>
        <v>110462.22</v>
      </c>
      <c r="AB667" s="9">
        <f t="shared" si="101"/>
        <v>110463.409465</v>
      </c>
    </row>
    <row r="668" spans="1:28" x14ac:dyDescent="0.55000000000000004">
      <c r="A668" t="str">
        <f t="shared" si="102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COUNTIF(deals_closed!$D$2:$D$20001,Calculations!B690)</f>
        <v>20</v>
      </c>
      <c r="H668" s="7">
        <f>SUMIF(deals_closed!$D:$D,Calculations!B690,deals_closed!$C:$C)</f>
        <v>575546</v>
      </c>
      <c r="I668" s="5">
        <f>VLOOKUP(E668,'2018_commission_structure'!$A$1:$I$4,9,FALSE)</f>
        <v>600000</v>
      </c>
      <c r="J668" s="9">
        <f t="shared" si="103"/>
        <v>750000</v>
      </c>
      <c r="K668" s="10">
        <f t="shared" si="104"/>
        <v>900000</v>
      </c>
      <c r="L668" s="9">
        <f t="shared" si="105"/>
        <v>1200000</v>
      </c>
      <c r="M668" s="8">
        <f t="shared" si="106"/>
        <v>0.95924333333333334</v>
      </c>
      <c r="N668" t="str">
        <f t="shared" si="107"/>
        <v>0-100%</v>
      </c>
      <c r="O668" s="9">
        <f>MIN($H668,$I668)*INDEX('2018_commission_structure'!$A$1:$I$4,MATCH($E668,'2018_commission_structure'!$A$1:$A$4,0),MATCH(O$1,'2018_commission_structure'!$A$1:$I$1,0))</f>
        <v>74820.98</v>
      </c>
      <c r="P668" s="9">
        <f>IF(H668&gt;I668, MIN(H668-I668, J668-I668)*INDEX('2018_commission_structure'!$A$1:$I$4,MATCH($E668,'2018_commission_structure'!$A$1:$A$4,0),MATCH(P$1,'2018_commission_structure'!$A$1:$I$1,0)),0)</f>
        <v>0</v>
      </c>
      <c r="Q668" s="9">
        <f>IF($H668&gt;J668, MIN($H668-J668, K668-J668)*INDEX('2018_commission_structure'!$A$1:$I$4,MATCH($E668,'2018_commission_structure'!$A$1:$A$4,0),MATCH(Q$1,'2018_commission_structure'!$A$1:$I$1,0)),0)</f>
        <v>0</v>
      </c>
      <c r="R668" s="9">
        <f>IF($H668&gt;K668, MIN($H668-K668, L668-K668)*INDEX('2018_commission_structure'!$A$1:$I$4,MATCH($E668,'2018_commission_structure'!$A$1:$A$4,0),MATCH(R$1,'2018_commission_structure'!$A$1:$I$1,0)),0)</f>
        <v>0</v>
      </c>
      <c r="S668" s="9">
        <f>IF(H668&gt;L668,(H668-L668)*INDEX('2018_commission_structure'!$A$1:$I$4,MATCH($E668,'2018_commission_structure'!$A$1:$A$4,0),MATCH(S$1,'2018_commission_structure'!$A$1:$I$1,0)),0)</f>
        <v>0</v>
      </c>
      <c r="T668" s="9">
        <f t="shared" si="108"/>
        <v>74820.98</v>
      </c>
      <c r="U668" s="9">
        <f t="shared" si="100"/>
        <v>127916.98</v>
      </c>
      <c r="V668" s="9">
        <f>MIN($I668,$H668)*INDEX('Key Metrics'!$E$16:$N$19,MATCH($E668,'Key Metrics'!$E$16:$E$19,0),MATCH(V$1,'Key Metrics'!$E$16:$M$16,0))</f>
        <v>86331.9</v>
      </c>
      <c r="W668" s="9">
        <f>IF($H668&gt;I668, MIN($H668-I668, J668-I668)*INDEX('Key Metrics'!$E$16:$N$19,MATCH($E668,'Key Metrics'!$E$16:$E$19,0),MATCH(W$1,'Key Metrics'!$E$16:$M$16,0)),0)</f>
        <v>0</v>
      </c>
      <c r="X668" s="9">
        <f>IF($H668&gt;J668, MIN($H668-J668, K668-J668)*INDEX('Key Metrics'!$E$16:$N$19,MATCH($E668,'Key Metrics'!$E$16:$E$19,0),MATCH(X$1,'Key Metrics'!$E$16:$M$16,0)),0)</f>
        <v>0</v>
      </c>
      <c r="Y668" s="9">
        <f>IF($H668&gt;K668, MIN($H668-K668, L668-K668)*INDEX('Key Metrics'!$E$16:$N$19,MATCH($E668,'Key Metrics'!$E$16:$E$19,0),MATCH(Y$1,'Key Metrics'!$E$16:$M$16,0)),0)</f>
        <v>0</v>
      </c>
      <c r="Z668" s="9">
        <f>IF($H668&gt;L668,($H668-L668)*INDEX('Key Metrics'!$E$16:$N$19,MATCH($E668,'Key Metrics'!$E$16:$E$19,0),MATCH(Z$1,'Key Metrics'!$E$16:$M$16,0)),0)</f>
        <v>0</v>
      </c>
      <c r="AA668" s="9">
        <f t="shared" si="109"/>
        <v>86331.9</v>
      </c>
      <c r="AB668" s="9">
        <f t="shared" si="101"/>
        <v>86332.859243333325</v>
      </c>
    </row>
    <row r="669" spans="1:28" x14ac:dyDescent="0.55000000000000004">
      <c r="A669" t="str">
        <f t="shared" si="102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COUNTIF(deals_closed!$D$2:$D$20001,Calculations!B49)</f>
        <v>19</v>
      </c>
      <c r="H669" s="7">
        <f>SUMIF(deals_closed!$D:$D,Calculations!B49,deals_closed!$C:$C)</f>
        <v>596790</v>
      </c>
      <c r="I669" s="5">
        <f>VLOOKUP(E669,'2018_commission_structure'!$A$1:$I$4,9,FALSE)</f>
        <v>500000</v>
      </c>
      <c r="J669" s="9">
        <f t="shared" si="103"/>
        <v>625000</v>
      </c>
      <c r="K669" s="10">
        <f t="shared" si="104"/>
        <v>750000</v>
      </c>
      <c r="L669" s="9">
        <f t="shared" si="105"/>
        <v>1000000</v>
      </c>
      <c r="M669" s="8">
        <f t="shared" si="106"/>
        <v>1.1935800000000001</v>
      </c>
      <c r="N669" t="str">
        <f t="shared" si="107"/>
        <v>100-125%</v>
      </c>
      <c r="O669" s="9">
        <f>MIN($H669,$I669)*INDEX('2018_commission_structure'!$A$1:$I$4,MATCH($E669,'2018_commission_structure'!$A$1:$A$4,0),MATCH(O$1,'2018_commission_structure'!$A$1:$I$1,0))</f>
        <v>50000</v>
      </c>
      <c r="P669" s="9">
        <f>IF(H669&gt;I669, MIN(H669-I669, J669-I669)*INDEX('2018_commission_structure'!$A$1:$I$4,MATCH($E669,'2018_commission_structure'!$A$1:$A$4,0),MATCH(P$1,'2018_commission_structure'!$A$1:$I$1,0)),0)</f>
        <v>14518.5</v>
      </c>
      <c r="Q669" s="9">
        <f>IF($H669&gt;J669, MIN($H669-J669, K669-J669)*INDEX('2018_commission_structure'!$A$1:$I$4,MATCH($E669,'2018_commission_structure'!$A$1:$A$4,0),MATCH(Q$1,'2018_commission_structure'!$A$1:$I$1,0)),0)</f>
        <v>0</v>
      </c>
      <c r="R669" s="9">
        <f>IF($H669&gt;K669, MIN($H669-K669, L669-K669)*INDEX('2018_commission_structure'!$A$1:$I$4,MATCH($E669,'2018_commission_structure'!$A$1:$A$4,0),MATCH(R$1,'2018_commission_structure'!$A$1:$I$1,0)),0)</f>
        <v>0</v>
      </c>
      <c r="S669" s="9">
        <f>IF(H669&gt;L669,(H669-L669)*INDEX('2018_commission_structure'!$A$1:$I$4,MATCH($E669,'2018_commission_structure'!$A$1:$A$4,0),MATCH(S$1,'2018_commission_structure'!$A$1:$I$1,0)),0)</f>
        <v>0</v>
      </c>
      <c r="T669" s="9">
        <f t="shared" si="108"/>
        <v>64518.5</v>
      </c>
      <c r="U669" s="9">
        <f t="shared" si="100"/>
        <v>109682.5</v>
      </c>
      <c r="V669" s="9">
        <f>MIN($I669,$H669)*INDEX('Key Metrics'!$E$16:$N$19,MATCH($E669,'Key Metrics'!$E$16:$E$19,0),MATCH(V$1,'Key Metrics'!$E$16:$M$16,0))</f>
        <v>60000</v>
      </c>
      <c r="W669" s="9">
        <f>IF($H669&gt;I669, MIN($H669-I669, J669-I669)*INDEX('Key Metrics'!$E$16:$N$19,MATCH($E669,'Key Metrics'!$E$16:$E$19,0),MATCH(W$1,'Key Metrics'!$E$16:$M$16,0)),0)</f>
        <v>16454.300000000003</v>
      </c>
      <c r="X669" s="9">
        <f>IF($H669&gt;J669, MIN($H669-J669, K669-J669)*INDEX('Key Metrics'!$E$16:$N$19,MATCH($E669,'Key Metrics'!$E$16:$E$19,0),MATCH(X$1,'Key Metrics'!$E$16:$M$16,0)),0)</f>
        <v>0</v>
      </c>
      <c r="Y669" s="9">
        <f>IF($H669&gt;K669, MIN($H669-K669, L669-K669)*INDEX('Key Metrics'!$E$16:$N$19,MATCH($E669,'Key Metrics'!$E$16:$E$19,0),MATCH(Y$1,'Key Metrics'!$E$16:$M$16,0)),0)</f>
        <v>0</v>
      </c>
      <c r="Z669" s="9">
        <f>IF($H669&gt;L669,($H669-L669)*INDEX('Key Metrics'!$E$16:$N$19,MATCH($E669,'Key Metrics'!$E$16:$E$19,0),MATCH(Z$1,'Key Metrics'!$E$16:$M$16,0)),0)</f>
        <v>0</v>
      </c>
      <c r="AA669" s="9">
        <f t="shared" si="109"/>
        <v>76454.3</v>
      </c>
      <c r="AB669" s="9">
        <f t="shared" si="101"/>
        <v>76455.493580000009</v>
      </c>
    </row>
    <row r="670" spans="1:28" x14ac:dyDescent="0.55000000000000004">
      <c r="A670" t="str">
        <f t="shared" si="102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COUNTIF(deals_closed!$D$2:$D$20001,Calculations!B13)</f>
        <v>20</v>
      </c>
      <c r="H670" s="7">
        <f>SUMIF(deals_closed!$D:$D,Calculations!B13,deals_closed!$C:$C)</f>
        <v>601807</v>
      </c>
      <c r="I670" s="5">
        <f>VLOOKUP(E670,'2018_commission_structure'!$A$1:$I$4,9,FALSE)</f>
        <v>750000</v>
      </c>
      <c r="J670" s="9">
        <f t="shared" si="103"/>
        <v>937500</v>
      </c>
      <c r="K670" s="10">
        <f t="shared" si="104"/>
        <v>1125000</v>
      </c>
      <c r="L670" s="9">
        <f t="shared" si="105"/>
        <v>1500000</v>
      </c>
      <c r="M670" s="8">
        <f t="shared" si="106"/>
        <v>0.80240933333333331</v>
      </c>
      <c r="N670" t="str">
        <f t="shared" si="107"/>
        <v>0-100%</v>
      </c>
      <c r="O670" s="9">
        <f>MIN($H670,$I670)*INDEX('2018_commission_structure'!$A$1:$I$4,MATCH($E670,'2018_commission_structure'!$A$1:$A$4,0),MATCH(O$1,'2018_commission_structure'!$A$1:$I$1,0))</f>
        <v>90271.05</v>
      </c>
      <c r="P670" s="9">
        <f>IF(H670&gt;I670, MIN(H670-I670, J670-I670)*INDEX('2018_commission_structure'!$A$1:$I$4,MATCH($E670,'2018_commission_structure'!$A$1:$A$4,0),MATCH(P$1,'2018_commission_structure'!$A$1:$I$1,0)),0)</f>
        <v>0</v>
      </c>
      <c r="Q670" s="9">
        <f>IF($H670&gt;J670, MIN($H670-J670, K670-J670)*INDEX('2018_commission_structure'!$A$1:$I$4,MATCH($E670,'2018_commission_structure'!$A$1:$A$4,0),MATCH(Q$1,'2018_commission_structure'!$A$1:$I$1,0)),0)</f>
        <v>0</v>
      </c>
      <c r="R670" s="9">
        <f>IF($H670&gt;K670, MIN($H670-K670, L670-K670)*INDEX('2018_commission_structure'!$A$1:$I$4,MATCH($E670,'2018_commission_structure'!$A$1:$A$4,0),MATCH(R$1,'2018_commission_structure'!$A$1:$I$1,0)),0)</f>
        <v>0</v>
      </c>
      <c r="S670" s="9">
        <f>IF(H670&gt;L670,(H670-L670)*INDEX('2018_commission_structure'!$A$1:$I$4,MATCH($E670,'2018_commission_structure'!$A$1:$A$4,0),MATCH(S$1,'2018_commission_structure'!$A$1:$I$1,0)),0)</f>
        <v>0</v>
      </c>
      <c r="T670" s="9">
        <f t="shared" si="108"/>
        <v>90271.05</v>
      </c>
      <c r="U670" s="9">
        <f t="shared" si="100"/>
        <v>186863.05</v>
      </c>
      <c r="V670" s="9">
        <f>MIN($I670,$H670)*INDEX('Key Metrics'!$E$16:$N$19,MATCH($E670,'Key Metrics'!$E$16:$E$19,0),MATCH(V$1,'Key Metrics'!$E$16:$M$16,0))</f>
        <v>90271.05</v>
      </c>
      <c r="W670" s="9">
        <f>IF($H670&gt;I670, MIN($H670-I670, J670-I670)*INDEX('Key Metrics'!$E$16:$N$19,MATCH($E670,'Key Metrics'!$E$16:$E$19,0),MATCH(W$1,'Key Metrics'!$E$16:$M$16,0)),0)</f>
        <v>0</v>
      </c>
      <c r="X670" s="9">
        <f>IF($H670&gt;J670, MIN($H670-J670, K670-J670)*INDEX('Key Metrics'!$E$16:$N$19,MATCH($E670,'Key Metrics'!$E$16:$E$19,0),MATCH(X$1,'Key Metrics'!$E$16:$M$16,0)),0)</f>
        <v>0</v>
      </c>
      <c r="Y670" s="9">
        <f>IF($H670&gt;K670, MIN($H670-K670, L670-K670)*INDEX('Key Metrics'!$E$16:$N$19,MATCH($E670,'Key Metrics'!$E$16:$E$19,0),MATCH(Y$1,'Key Metrics'!$E$16:$M$16,0)),0)</f>
        <v>0</v>
      </c>
      <c r="Z670" s="9">
        <f>IF($H670&gt;L670,($H670-L670)*INDEX('Key Metrics'!$E$16:$N$19,MATCH($E670,'Key Metrics'!$E$16:$E$19,0),MATCH(Z$1,'Key Metrics'!$E$16:$M$16,0)),0)</f>
        <v>0</v>
      </c>
      <c r="AA670" s="9">
        <f t="shared" si="109"/>
        <v>90271.05</v>
      </c>
      <c r="AB670" s="9">
        <f t="shared" si="101"/>
        <v>90271.85240933334</v>
      </c>
    </row>
    <row r="671" spans="1:28" x14ac:dyDescent="0.55000000000000004">
      <c r="A671" t="str">
        <f t="shared" si="102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COUNTIF(deals_closed!$D$2:$D$20001,Calculations!B261)</f>
        <v>14</v>
      </c>
      <c r="H671" s="7">
        <f>SUMIF(deals_closed!$D:$D,Calculations!B261,deals_closed!$C:$C)</f>
        <v>421213</v>
      </c>
      <c r="I671" s="5">
        <f>VLOOKUP(E671,'2018_commission_structure'!$A$1:$I$4,9,FALSE)</f>
        <v>500000</v>
      </c>
      <c r="J671" s="9">
        <f t="shared" si="103"/>
        <v>625000</v>
      </c>
      <c r="K671" s="10">
        <f t="shared" si="104"/>
        <v>750000</v>
      </c>
      <c r="L671" s="9">
        <f t="shared" si="105"/>
        <v>1000000</v>
      </c>
      <c r="M671" s="8">
        <f t="shared" si="106"/>
        <v>0.84242600000000001</v>
      </c>
      <c r="N671" t="str">
        <f t="shared" si="107"/>
        <v>0-100%</v>
      </c>
      <c r="O671" s="9">
        <f>MIN($H671,$I671)*INDEX('2018_commission_structure'!$A$1:$I$4,MATCH($E671,'2018_commission_structure'!$A$1:$A$4,0),MATCH(O$1,'2018_commission_structure'!$A$1:$I$1,0))</f>
        <v>42121.3</v>
      </c>
      <c r="P671" s="9">
        <f>IF(H671&gt;I671, MIN(H671-I671, J671-I671)*INDEX('2018_commission_structure'!$A$1:$I$4,MATCH($E671,'2018_commission_structure'!$A$1:$A$4,0),MATCH(P$1,'2018_commission_structure'!$A$1:$I$1,0)),0)</f>
        <v>0</v>
      </c>
      <c r="Q671" s="9">
        <f>IF($H671&gt;J671, MIN($H671-J671, K671-J671)*INDEX('2018_commission_structure'!$A$1:$I$4,MATCH($E671,'2018_commission_structure'!$A$1:$A$4,0),MATCH(Q$1,'2018_commission_structure'!$A$1:$I$1,0)),0)</f>
        <v>0</v>
      </c>
      <c r="R671" s="9">
        <f>IF($H671&gt;K671, MIN($H671-K671, L671-K671)*INDEX('2018_commission_structure'!$A$1:$I$4,MATCH($E671,'2018_commission_structure'!$A$1:$A$4,0),MATCH(R$1,'2018_commission_structure'!$A$1:$I$1,0)),0)</f>
        <v>0</v>
      </c>
      <c r="S671" s="9">
        <f>IF(H671&gt;L671,(H671-L671)*INDEX('2018_commission_structure'!$A$1:$I$4,MATCH($E671,'2018_commission_structure'!$A$1:$A$4,0),MATCH(S$1,'2018_commission_structure'!$A$1:$I$1,0)),0)</f>
        <v>0</v>
      </c>
      <c r="T671" s="9">
        <f t="shared" si="108"/>
        <v>42121.3</v>
      </c>
      <c r="U671" s="9">
        <f t="shared" si="100"/>
        <v>77210.3</v>
      </c>
      <c r="V671" s="9">
        <f>MIN($I671,$H671)*INDEX('Key Metrics'!$E$16:$N$19,MATCH($E671,'Key Metrics'!$E$16:$E$19,0),MATCH(V$1,'Key Metrics'!$E$16:$M$16,0))</f>
        <v>50545.56</v>
      </c>
      <c r="W671" s="9">
        <f>IF($H671&gt;I671, MIN($H671-I671, J671-I671)*INDEX('Key Metrics'!$E$16:$N$19,MATCH($E671,'Key Metrics'!$E$16:$E$19,0),MATCH(W$1,'Key Metrics'!$E$16:$M$16,0)),0)</f>
        <v>0</v>
      </c>
      <c r="X671" s="9">
        <f>IF($H671&gt;J671, MIN($H671-J671, K671-J671)*INDEX('Key Metrics'!$E$16:$N$19,MATCH($E671,'Key Metrics'!$E$16:$E$19,0),MATCH(X$1,'Key Metrics'!$E$16:$M$16,0)),0)</f>
        <v>0</v>
      </c>
      <c r="Y671" s="9">
        <f>IF($H671&gt;K671, MIN($H671-K671, L671-K671)*INDEX('Key Metrics'!$E$16:$N$19,MATCH($E671,'Key Metrics'!$E$16:$E$19,0),MATCH(Y$1,'Key Metrics'!$E$16:$M$16,0)),0)</f>
        <v>0</v>
      </c>
      <c r="Z671" s="9">
        <f>IF($H671&gt;L671,($H671-L671)*INDEX('Key Metrics'!$E$16:$N$19,MATCH($E671,'Key Metrics'!$E$16:$E$19,0),MATCH(Z$1,'Key Metrics'!$E$16:$M$16,0)),0)</f>
        <v>0</v>
      </c>
      <c r="AA671" s="9">
        <f t="shared" si="109"/>
        <v>50545.56</v>
      </c>
      <c r="AB671" s="9">
        <f t="shared" si="101"/>
        <v>50546.402426000001</v>
      </c>
    </row>
    <row r="672" spans="1:28" x14ac:dyDescent="0.55000000000000004">
      <c r="A672" t="str">
        <f t="shared" si="102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COUNTIF(deals_closed!$D$2:$D$20001,Calculations!B486)</f>
        <v>16</v>
      </c>
      <c r="H672" s="7">
        <f>SUMIF(deals_closed!$D:$D,Calculations!B486,deals_closed!$C:$C)</f>
        <v>619467</v>
      </c>
      <c r="I672" s="5">
        <f>VLOOKUP(E672,'2018_commission_structure'!$A$1:$I$4,9,FALSE)</f>
        <v>600000</v>
      </c>
      <c r="J672" s="9">
        <f t="shared" si="103"/>
        <v>750000</v>
      </c>
      <c r="K672" s="10">
        <f t="shared" si="104"/>
        <v>900000</v>
      </c>
      <c r="L672" s="9">
        <f t="shared" si="105"/>
        <v>1200000</v>
      </c>
      <c r="M672" s="8">
        <f t="shared" si="106"/>
        <v>1.0324450000000001</v>
      </c>
      <c r="N672" t="str">
        <f t="shared" si="107"/>
        <v>100-125%</v>
      </c>
      <c r="O672" s="9">
        <f>MIN($H672,$I672)*INDEX('2018_commission_structure'!$A$1:$I$4,MATCH($E672,'2018_commission_structure'!$A$1:$A$4,0),MATCH(O$1,'2018_commission_structure'!$A$1:$I$1,0))</f>
        <v>78000</v>
      </c>
      <c r="P672" s="9">
        <f>IF(H672&gt;I672, MIN(H672-I672, J672-I672)*INDEX('2018_commission_structure'!$A$1:$I$4,MATCH($E672,'2018_commission_structure'!$A$1:$A$4,0),MATCH(P$1,'2018_commission_structure'!$A$1:$I$1,0)),0)</f>
        <v>3309.3900000000003</v>
      </c>
      <c r="Q672" s="9">
        <f>IF($H672&gt;J672, MIN($H672-J672, K672-J672)*INDEX('2018_commission_structure'!$A$1:$I$4,MATCH($E672,'2018_commission_structure'!$A$1:$A$4,0),MATCH(Q$1,'2018_commission_structure'!$A$1:$I$1,0)),0)</f>
        <v>0</v>
      </c>
      <c r="R672" s="9">
        <f>IF($H672&gt;K672, MIN($H672-K672, L672-K672)*INDEX('2018_commission_structure'!$A$1:$I$4,MATCH($E672,'2018_commission_structure'!$A$1:$A$4,0),MATCH(R$1,'2018_commission_structure'!$A$1:$I$1,0)),0)</f>
        <v>0</v>
      </c>
      <c r="S672" s="9">
        <f>IF(H672&gt;L672,(H672-L672)*INDEX('2018_commission_structure'!$A$1:$I$4,MATCH($E672,'2018_commission_structure'!$A$1:$A$4,0),MATCH(S$1,'2018_commission_structure'!$A$1:$I$1,0)),0)</f>
        <v>0</v>
      </c>
      <c r="T672" s="9">
        <f t="shared" si="108"/>
        <v>81309.39</v>
      </c>
      <c r="U672" s="9">
        <f t="shared" si="100"/>
        <v>152995.39000000001</v>
      </c>
      <c r="V672" s="9">
        <f>MIN($I672,$H672)*INDEX('Key Metrics'!$E$16:$N$19,MATCH($E672,'Key Metrics'!$E$16:$E$19,0),MATCH(V$1,'Key Metrics'!$E$16:$M$16,0))</f>
        <v>90000</v>
      </c>
      <c r="W672" s="9">
        <f>IF($H672&gt;I672, MIN($H672-I672, J672-I672)*INDEX('Key Metrics'!$E$16:$N$19,MATCH($E672,'Key Metrics'!$E$16:$E$19,0),MATCH(W$1,'Key Metrics'!$E$16:$M$16,0)),0)</f>
        <v>3504.06</v>
      </c>
      <c r="X672" s="9">
        <f>IF($H672&gt;J672, MIN($H672-J672, K672-J672)*INDEX('Key Metrics'!$E$16:$N$19,MATCH($E672,'Key Metrics'!$E$16:$E$19,0),MATCH(X$1,'Key Metrics'!$E$16:$M$16,0)),0)</f>
        <v>0</v>
      </c>
      <c r="Y672" s="9">
        <f>IF($H672&gt;K672, MIN($H672-K672, L672-K672)*INDEX('Key Metrics'!$E$16:$N$19,MATCH($E672,'Key Metrics'!$E$16:$E$19,0),MATCH(Y$1,'Key Metrics'!$E$16:$M$16,0)),0)</f>
        <v>0</v>
      </c>
      <c r="Z672" s="9">
        <f>IF($H672&gt;L672,($H672-L672)*INDEX('Key Metrics'!$E$16:$N$19,MATCH($E672,'Key Metrics'!$E$16:$E$19,0),MATCH(Z$1,'Key Metrics'!$E$16:$M$16,0)),0)</f>
        <v>0</v>
      </c>
      <c r="AA672" s="9">
        <f t="shared" si="109"/>
        <v>93504.06</v>
      </c>
      <c r="AB672" s="9">
        <f t="shared" si="101"/>
        <v>93505.092445000002</v>
      </c>
    </row>
    <row r="673" spans="1:28" x14ac:dyDescent="0.55000000000000004">
      <c r="A673" t="str">
        <f t="shared" si="102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COUNTIF(deals_closed!$D$2:$D$20001,Calculations!B60)</f>
        <v>16</v>
      </c>
      <c r="H673" s="7">
        <f>SUMIF(deals_closed!$D:$D,Calculations!B60,deals_closed!$C:$C)</f>
        <v>515945</v>
      </c>
      <c r="I673" s="5">
        <f>VLOOKUP(E673,'2018_commission_structure'!$A$1:$I$4,9,FALSE)</f>
        <v>500000</v>
      </c>
      <c r="J673" s="9">
        <f t="shared" si="103"/>
        <v>625000</v>
      </c>
      <c r="K673" s="10">
        <f t="shared" si="104"/>
        <v>750000</v>
      </c>
      <c r="L673" s="9">
        <f t="shared" si="105"/>
        <v>1000000</v>
      </c>
      <c r="M673" s="8">
        <f t="shared" si="106"/>
        <v>1.03189</v>
      </c>
      <c r="N673" t="str">
        <f t="shared" si="107"/>
        <v>100-125%</v>
      </c>
      <c r="O673" s="9">
        <f>MIN($H673,$I673)*INDEX('2018_commission_structure'!$A$1:$I$4,MATCH($E673,'2018_commission_structure'!$A$1:$A$4,0),MATCH(O$1,'2018_commission_structure'!$A$1:$I$1,0))</f>
        <v>50000</v>
      </c>
      <c r="P673" s="9">
        <f>IF(H673&gt;I673, MIN(H673-I673, J673-I673)*INDEX('2018_commission_structure'!$A$1:$I$4,MATCH($E673,'2018_commission_structure'!$A$1:$A$4,0),MATCH(P$1,'2018_commission_structure'!$A$1:$I$1,0)),0)</f>
        <v>2391.75</v>
      </c>
      <c r="Q673" s="9">
        <f>IF($H673&gt;J673, MIN($H673-J673, K673-J673)*INDEX('2018_commission_structure'!$A$1:$I$4,MATCH($E673,'2018_commission_structure'!$A$1:$A$4,0),MATCH(Q$1,'2018_commission_structure'!$A$1:$I$1,0)),0)</f>
        <v>0</v>
      </c>
      <c r="R673" s="9">
        <f>IF($H673&gt;K673, MIN($H673-K673, L673-K673)*INDEX('2018_commission_structure'!$A$1:$I$4,MATCH($E673,'2018_commission_structure'!$A$1:$A$4,0),MATCH(R$1,'2018_commission_structure'!$A$1:$I$1,0)),0)</f>
        <v>0</v>
      </c>
      <c r="S673" s="9">
        <f>IF(H673&gt;L673,(H673-L673)*INDEX('2018_commission_structure'!$A$1:$I$4,MATCH($E673,'2018_commission_structure'!$A$1:$A$4,0),MATCH(S$1,'2018_commission_structure'!$A$1:$I$1,0)),0)</f>
        <v>0</v>
      </c>
      <c r="T673" s="9">
        <f t="shared" si="108"/>
        <v>52391.75</v>
      </c>
      <c r="U673" s="9">
        <f t="shared" si="100"/>
        <v>89802.75</v>
      </c>
      <c r="V673" s="9">
        <f>MIN($I673,$H673)*INDEX('Key Metrics'!$E$16:$N$19,MATCH($E673,'Key Metrics'!$E$16:$E$19,0),MATCH(V$1,'Key Metrics'!$E$16:$M$16,0))</f>
        <v>60000</v>
      </c>
      <c r="W673" s="9">
        <f>IF($H673&gt;I673, MIN($H673-I673, J673-I673)*INDEX('Key Metrics'!$E$16:$N$19,MATCH($E673,'Key Metrics'!$E$16:$E$19,0),MATCH(W$1,'Key Metrics'!$E$16:$M$16,0)),0)</f>
        <v>2710.65</v>
      </c>
      <c r="X673" s="9">
        <f>IF($H673&gt;J673, MIN($H673-J673, K673-J673)*INDEX('Key Metrics'!$E$16:$N$19,MATCH($E673,'Key Metrics'!$E$16:$E$19,0),MATCH(X$1,'Key Metrics'!$E$16:$M$16,0)),0)</f>
        <v>0</v>
      </c>
      <c r="Y673" s="9">
        <f>IF($H673&gt;K673, MIN($H673-K673, L673-K673)*INDEX('Key Metrics'!$E$16:$N$19,MATCH($E673,'Key Metrics'!$E$16:$E$19,0),MATCH(Y$1,'Key Metrics'!$E$16:$M$16,0)),0)</f>
        <v>0</v>
      </c>
      <c r="Z673" s="9">
        <f>IF($H673&gt;L673,($H673-L673)*INDEX('Key Metrics'!$E$16:$N$19,MATCH($E673,'Key Metrics'!$E$16:$E$19,0),MATCH(Z$1,'Key Metrics'!$E$16:$M$16,0)),0)</f>
        <v>0</v>
      </c>
      <c r="AA673" s="9">
        <f t="shared" si="109"/>
        <v>62710.65</v>
      </c>
      <c r="AB673" s="9">
        <f t="shared" si="101"/>
        <v>62711.68189</v>
      </c>
    </row>
    <row r="674" spans="1:28" x14ac:dyDescent="0.55000000000000004">
      <c r="A674" t="str">
        <f t="shared" si="102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COUNTIF(deals_closed!$D$2:$D$20001,Calculations!B320)</f>
        <v>18</v>
      </c>
      <c r="H674" s="7">
        <f>SUMIF(deals_closed!$D:$D,Calculations!B320,deals_closed!$C:$C)</f>
        <v>741656</v>
      </c>
      <c r="I674" s="5">
        <f>VLOOKUP(E674,'2018_commission_structure'!$A$1:$I$4,9,FALSE)</f>
        <v>600000</v>
      </c>
      <c r="J674" s="9">
        <f t="shared" si="103"/>
        <v>750000</v>
      </c>
      <c r="K674" s="10">
        <f t="shared" si="104"/>
        <v>900000</v>
      </c>
      <c r="L674" s="9">
        <f t="shared" si="105"/>
        <v>1200000</v>
      </c>
      <c r="M674" s="8">
        <f t="shared" si="106"/>
        <v>1.2360933333333333</v>
      </c>
      <c r="N674" t="str">
        <f t="shared" si="107"/>
        <v>100-125%</v>
      </c>
      <c r="O674" s="9">
        <f>MIN($H674,$I674)*INDEX('2018_commission_structure'!$A$1:$I$4,MATCH($E674,'2018_commission_structure'!$A$1:$A$4,0),MATCH(O$1,'2018_commission_structure'!$A$1:$I$1,0))</f>
        <v>78000</v>
      </c>
      <c r="P674" s="9">
        <f>IF(H674&gt;I674, MIN(H674-I674, J674-I674)*INDEX('2018_commission_structure'!$A$1:$I$4,MATCH($E674,'2018_commission_structure'!$A$1:$A$4,0),MATCH(P$1,'2018_commission_structure'!$A$1:$I$1,0)),0)</f>
        <v>24081.52</v>
      </c>
      <c r="Q674" s="9">
        <f>IF($H674&gt;J674, MIN($H674-J674, K674-J674)*INDEX('2018_commission_structure'!$A$1:$I$4,MATCH($E674,'2018_commission_structure'!$A$1:$A$4,0),MATCH(Q$1,'2018_commission_structure'!$A$1:$I$1,0)),0)</f>
        <v>0</v>
      </c>
      <c r="R674" s="9">
        <f>IF($H674&gt;K674, MIN($H674-K674, L674-K674)*INDEX('2018_commission_structure'!$A$1:$I$4,MATCH($E674,'2018_commission_structure'!$A$1:$A$4,0),MATCH(R$1,'2018_commission_structure'!$A$1:$I$1,0)),0)</f>
        <v>0</v>
      </c>
      <c r="S674" s="9">
        <f>IF(H674&gt;L674,(H674-L674)*INDEX('2018_commission_structure'!$A$1:$I$4,MATCH($E674,'2018_commission_structure'!$A$1:$A$4,0),MATCH(S$1,'2018_commission_structure'!$A$1:$I$1,0)),0)</f>
        <v>0</v>
      </c>
      <c r="T674" s="9">
        <f t="shared" si="108"/>
        <v>102081.52</v>
      </c>
      <c r="U674" s="9">
        <f t="shared" ref="U674:U737" si="110">F674+T674</f>
        <v>157424.52000000002</v>
      </c>
      <c r="V674" s="9">
        <f>MIN($I674,$H674)*INDEX('Key Metrics'!$E$16:$N$19,MATCH($E674,'Key Metrics'!$E$16:$E$19,0),MATCH(V$1,'Key Metrics'!$E$16:$M$16,0))</f>
        <v>90000</v>
      </c>
      <c r="W674" s="9">
        <f>IF($H674&gt;I674, MIN($H674-I674, J674-I674)*INDEX('Key Metrics'!$E$16:$N$19,MATCH($E674,'Key Metrics'!$E$16:$E$19,0),MATCH(W$1,'Key Metrics'!$E$16:$M$16,0)),0)</f>
        <v>25498.079999999998</v>
      </c>
      <c r="X674" s="9">
        <f>IF($H674&gt;J674, MIN($H674-J674, K674-J674)*INDEX('Key Metrics'!$E$16:$N$19,MATCH($E674,'Key Metrics'!$E$16:$E$19,0),MATCH(X$1,'Key Metrics'!$E$16:$M$16,0)),0)</f>
        <v>0</v>
      </c>
      <c r="Y674" s="9">
        <f>IF($H674&gt;K674, MIN($H674-K674, L674-K674)*INDEX('Key Metrics'!$E$16:$N$19,MATCH($E674,'Key Metrics'!$E$16:$E$19,0),MATCH(Y$1,'Key Metrics'!$E$16:$M$16,0)),0)</f>
        <v>0</v>
      </c>
      <c r="Z674" s="9">
        <f>IF($H674&gt;L674,($H674-L674)*INDEX('Key Metrics'!$E$16:$N$19,MATCH($E674,'Key Metrics'!$E$16:$E$19,0),MATCH(Z$1,'Key Metrics'!$E$16:$M$16,0)),0)</f>
        <v>0</v>
      </c>
      <c r="AA674" s="9">
        <f t="shared" si="109"/>
        <v>115498.08</v>
      </c>
      <c r="AB674" s="9">
        <f t="shared" ref="AB674:AB737" si="111">M674+AA674</f>
        <v>115499.31609333334</v>
      </c>
    </row>
    <row r="675" spans="1:28" x14ac:dyDescent="0.55000000000000004">
      <c r="A675" t="str">
        <f t="shared" si="102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COUNTIF(deals_closed!$D$2:$D$20001,Calculations!B884)</f>
        <v>13</v>
      </c>
      <c r="H675" s="7">
        <f>SUMIF(deals_closed!$D:$D,Calculations!B884,deals_closed!$C:$C)</f>
        <v>529764</v>
      </c>
      <c r="I675" s="5">
        <f>VLOOKUP(E675,'2018_commission_structure'!$A$1:$I$4,9,FALSE)</f>
        <v>600000</v>
      </c>
      <c r="J675" s="9">
        <f t="shared" si="103"/>
        <v>750000</v>
      </c>
      <c r="K675" s="10">
        <f t="shared" si="104"/>
        <v>900000</v>
      </c>
      <c r="L675" s="9">
        <f t="shared" si="105"/>
        <v>1200000</v>
      </c>
      <c r="M675" s="8">
        <f t="shared" si="106"/>
        <v>0.88293999999999995</v>
      </c>
      <c r="N675" t="str">
        <f t="shared" si="107"/>
        <v>0-100%</v>
      </c>
      <c r="O675" s="9">
        <f>MIN($H675,$I675)*INDEX('2018_commission_structure'!$A$1:$I$4,MATCH($E675,'2018_commission_structure'!$A$1:$A$4,0),MATCH(O$1,'2018_commission_structure'!$A$1:$I$1,0))</f>
        <v>68869.320000000007</v>
      </c>
      <c r="P675" s="9">
        <f>IF(H675&gt;I675, MIN(H675-I675, J675-I675)*INDEX('2018_commission_structure'!$A$1:$I$4,MATCH($E675,'2018_commission_structure'!$A$1:$A$4,0),MATCH(P$1,'2018_commission_structure'!$A$1:$I$1,0)),0)</f>
        <v>0</v>
      </c>
      <c r="Q675" s="9">
        <f>IF($H675&gt;J675, MIN($H675-J675, K675-J675)*INDEX('2018_commission_structure'!$A$1:$I$4,MATCH($E675,'2018_commission_structure'!$A$1:$A$4,0),MATCH(Q$1,'2018_commission_structure'!$A$1:$I$1,0)),0)</f>
        <v>0</v>
      </c>
      <c r="R675" s="9">
        <f>IF($H675&gt;K675, MIN($H675-K675, L675-K675)*INDEX('2018_commission_structure'!$A$1:$I$4,MATCH($E675,'2018_commission_structure'!$A$1:$A$4,0),MATCH(R$1,'2018_commission_structure'!$A$1:$I$1,0)),0)</f>
        <v>0</v>
      </c>
      <c r="S675" s="9">
        <f>IF(H675&gt;L675,(H675-L675)*INDEX('2018_commission_structure'!$A$1:$I$4,MATCH($E675,'2018_commission_structure'!$A$1:$A$4,0),MATCH(S$1,'2018_commission_structure'!$A$1:$I$1,0)),0)</f>
        <v>0</v>
      </c>
      <c r="T675" s="9">
        <f t="shared" si="108"/>
        <v>68869.320000000007</v>
      </c>
      <c r="U675" s="9">
        <f t="shared" si="110"/>
        <v>122768.32000000001</v>
      </c>
      <c r="V675" s="9">
        <f>MIN($I675,$H675)*INDEX('Key Metrics'!$E$16:$N$19,MATCH($E675,'Key Metrics'!$E$16:$E$19,0),MATCH(V$1,'Key Metrics'!$E$16:$M$16,0))</f>
        <v>79464.599999999991</v>
      </c>
      <c r="W675" s="9">
        <f>IF($H675&gt;I675, MIN($H675-I675, J675-I675)*INDEX('Key Metrics'!$E$16:$N$19,MATCH($E675,'Key Metrics'!$E$16:$E$19,0),MATCH(W$1,'Key Metrics'!$E$16:$M$16,0)),0)</f>
        <v>0</v>
      </c>
      <c r="X675" s="9">
        <f>IF($H675&gt;J675, MIN($H675-J675, K675-J675)*INDEX('Key Metrics'!$E$16:$N$19,MATCH($E675,'Key Metrics'!$E$16:$E$19,0),MATCH(X$1,'Key Metrics'!$E$16:$M$16,0)),0)</f>
        <v>0</v>
      </c>
      <c r="Y675" s="9">
        <f>IF($H675&gt;K675, MIN($H675-K675, L675-K675)*INDEX('Key Metrics'!$E$16:$N$19,MATCH($E675,'Key Metrics'!$E$16:$E$19,0),MATCH(Y$1,'Key Metrics'!$E$16:$M$16,0)),0)</f>
        <v>0</v>
      </c>
      <c r="Z675" s="9">
        <f>IF($H675&gt;L675,($H675-L675)*INDEX('Key Metrics'!$E$16:$N$19,MATCH($E675,'Key Metrics'!$E$16:$E$19,0),MATCH(Z$1,'Key Metrics'!$E$16:$M$16,0)),0)</f>
        <v>0</v>
      </c>
      <c r="AA675" s="9">
        <f t="shared" si="109"/>
        <v>79464.599999999991</v>
      </c>
      <c r="AB675" s="9">
        <f t="shared" si="111"/>
        <v>79465.482939999987</v>
      </c>
    </row>
    <row r="676" spans="1:28" x14ac:dyDescent="0.55000000000000004">
      <c r="A676" t="str">
        <f t="shared" si="102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COUNTIF(deals_closed!$D$2:$D$20001,Calculations!B494)</f>
        <v>18</v>
      </c>
      <c r="H676" s="7">
        <f>SUMIF(deals_closed!$D:$D,Calculations!B494,deals_closed!$C:$C)</f>
        <v>700912</v>
      </c>
      <c r="I676" s="5">
        <f>VLOOKUP(E676,'2018_commission_structure'!$A$1:$I$4,9,FALSE)</f>
        <v>750000</v>
      </c>
      <c r="J676" s="9">
        <f t="shared" si="103"/>
        <v>937500</v>
      </c>
      <c r="K676" s="10">
        <f t="shared" si="104"/>
        <v>1125000</v>
      </c>
      <c r="L676" s="9">
        <f t="shared" si="105"/>
        <v>1500000</v>
      </c>
      <c r="M676" s="8">
        <f t="shared" si="106"/>
        <v>0.93454933333333334</v>
      </c>
      <c r="N676" t="str">
        <f t="shared" si="107"/>
        <v>0-100%</v>
      </c>
      <c r="O676" s="9">
        <f>MIN($H676,$I676)*INDEX('2018_commission_structure'!$A$1:$I$4,MATCH($E676,'2018_commission_structure'!$A$1:$A$4,0),MATCH(O$1,'2018_commission_structure'!$A$1:$I$1,0))</f>
        <v>105136.8</v>
      </c>
      <c r="P676" s="9">
        <f>IF(H676&gt;I676, MIN(H676-I676, J676-I676)*INDEX('2018_commission_structure'!$A$1:$I$4,MATCH($E676,'2018_commission_structure'!$A$1:$A$4,0),MATCH(P$1,'2018_commission_structure'!$A$1:$I$1,0)),0)</f>
        <v>0</v>
      </c>
      <c r="Q676" s="9">
        <f>IF($H676&gt;J676, MIN($H676-J676, K676-J676)*INDEX('2018_commission_structure'!$A$1:$I$4,MATCH($E676,'2018_commission_structure'!$A$1:$A$4,0),MATCH(Q$1,'2018_commission_structure'!$A$1:$I$1,0)),0)</f>
        <v>0</v>
      </c>
      <c r="R676" s="9">
        <f>IF($H676&gt;K676, MIN($H676-K676, L676-K676)*INDEX('2018_commission_structure'!$A$1:$I$4,MATCH($E676,'2018_commission_structure'!$A$1:$A$4,0),MATCH(R$1,'2018_commission_structure'!$A$1:$I$1,0)),0)</f>
        <v>0</v>
      </c>
      <c r="S676" s="9">
        <f>IF(H676&gt;L676,(H676-L676)*INDEX('2018_commission_structure'!$A$1:$I$4,MATCH($E676,'2018_commission_structure'!$A$1:$A$4,0),MATCH(S$1,'2018_commission_structure'!$A$1:$I$1,0)),0)</f>
        <v>0</v>
      </c>
      <c r="T676" s="9">
        <f t="shared" si="108"/>
        <v>105136.8</v>
      </c>
      <c r="U676" s="9">
        <f t="shared" si="110"/>
        <v>212886.8</v>
      </c>
      <c r="V676" s="9">
        <f>MIN($I676,$H676)*INDEX('Key Metrics'!$E$16:$N$19,MATCH($E676,'Key Metrics'!$E$16:$E$19,0),MATCH(V$1,'Key Metrics'!$E$16:$M$16,0))</f>
        <v>105136.8</v>
      </c>
      <c r="W676" s="9">
        <f>IF($H676&gt;I676, MIN($H676-I676, J676-I676)*INDEX('Key Metrics'!$E$16:$N$19,MATCH($E676,'Key Metrics'!$E$16:$E$19,0),MATCH(W$1,'Key Metrics'!$E$16:$M$16,0)),0)</f>
        <v>0</v>
      </c>
      <c r="X676" s="9">
        <f>IF($H676&gt;J676, MIN($H676-J676, K676-J676)*INDEX('Key Metrics'!$E$16:$N$19,MATCH($E676,'Key Metrics'!$E$16:$E$19,0),MATCH(X$1,'Key Metrics'!$E$16:$M$16,0)),0)</f>
        <v>0</v>
      </c>
      <c r="Y676" s="9">
        <f>IF($H676&gt;K676, MIN($H676-K676, L676-K676)*INDEX('Key Metrics'!$E$16:$N$19,MATCH($E676,'Key Metrics'!$E$16:$E$19,0),MATCH(Y$1,'Key Metrics'!$E$16:$M$16,0)),0)</f>
        <v>0</v>
      </c>
      <c r="Z676" s="9">
        <f>IF($H676&gt;L676,($H676-L676)*INDEX('Key Metrics'!$E$16:$N$19,MATCH($E676,'Key Metrics'!$E$16:$E$19,0),MATCH(Z$1,'Key Metrics'!$E$16:$M$16,0)),0)</f>
        <v>0</v>
      </c>
      <c r="AA676" s="9">
        <f t="shared" si="109"/>
        <v>105136.8</v>
      </c>
      <c r="AB676" s="9">
        <f t="shared" si="111"/>
        <v>105137.73454933334</v>
      </c>
    </row>
    <row r="677" spans="1:28" x14ac:dyDescent="0.55000000000000004">
      <c r="A677" t="str">
        <f t="shared" si="102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COUNTIF(deals_closed!$D$2:$D$20001,Calculations!B244)</f>
        <v>21</v>
      </c>
      <c r="H677" s="7">
        <f>SUMIF(deals_closed!$D:$D,Calculations!B244,deals_closed!$C:$C)</f>
        <v>698575</v>
      </c>
      <c r="I677" s="5">
        <f>VLOOKUP(E677,'2018_commission_structure'!$A$1:$I$4,9,FALSE)</f>
        <v>500000</v>
      </c>
      <c r="J677" s="9">
        <f t="shared" si="103"/>
        <v>625000</v>
      </c>
      <c r="K677" s="10">
        <f t="shared" si="104"/>
        <v>750000</v>
      </c>
      <c r="L677" s="9">
        <f t="shared" si="105"/>
        <v>1000000</v>
      </c>
      <c r="M677" s="8">
        <f t="shared" si="106"/>
        <v>1.3971499999999999</v>
      </c>
      <c r="N677" t="str">
        <f t="shared" si="107"/>
        <v>125-150%</v>
      </c>
      <c r="O677" s="9">
        <f>MIN($H677,$I677)*INDEX('2018_commission_structure'!$A$1:$I$4,MATCH($E677,'2018_commission_structure'!$A$1:$A$4,0),MATCH(O$1,'2018_commission_structure'!$A$1:$I$1,0))</f>
        <v>50000</v>
      </c>
      <c r="P677" s="9">
        <f>IF(H677&gt;I677, MIN(H677-I677, J677-I677)*INDEX('2018_commission_structure'!$A$1:$I$4,MATCH($E677,'2018_commission_structure'!$A$1:$A$4,0),MATCH(P$1,'2018_commission_structure'!$A$1:$I$1,0)),0)</f>
        <v>18750</v>
      </c>
      <c r="Q677" s="9">
        <f>IF($H677&gt;J677, MIN($H677-J677, K677-J677)*INDEX('2018_commission_structure'!$A$1:$I$4,MATCH($E677,'2018_commission_structure'!$A$1:$A$4,0),MATCH(Q$1,'2018_commission_structure'!$A$1:$I$1,0)),0)</f>
        <v>13243.5</v>
      </c>
      <c r="R677" s="9">
        <f>IF($H677&gt;K677, MIN($H677-K677, L677-K677)*INDEX('2018_commission_structure'!$A$1:$I$4,MATCH($E677,'2018_commission_structure'!$A$1:$A$4,0),MATCH(R$1,'2018_commission_structure'!$A$1:$I$1,0)),0)</f>
        <v>0</v>
      </c>
      <c r="S677" s="9">
        <f>IF(H677&gt;L677,(H677-L677)*INDEX('2018_commission_structure'!$A$1:$I$4,MATCH($E677,'2018_commission_structure'!$A$1:$A$4,0),MATCH(S$1,'2018_commission_structure'!$A$1:$I$1,0)),0)</f>
        <v>0</v>
      </c>
      <c r="T677" s="9">
        <f t="shared" si="108"/>
        <v>81993.5</v>
      </c>
      <c r="U677" s="9">
        <f t="shared" si="110"/>
        <v>112633.5</v>
      </c>
      <c r="V677" s="9">
        <f>MIN($I677,$H677)*INDEX('Key Metrics'!$E$16:$N$19,MATCH($E677,'Key Metrics'!$E$16:$E$19,0),MATCH(V$1,'Key Metrics'!$E$16:$M$16,0))</f>
        <v>60000</v>
      </c>
      <c r="W677" s="9">
        <f>IF($H677&gt;I677, MIN($H677-I677, J677-I677)*INDEX('Key Metrics'!$E$16:$N$19,MATCH($E677,'Key Metrics'!$E$16:$E$19,0),MATCH(W$1,'Key Metrics'!$E$16:$M$16,0)),0)</f>
        <v>21250</v>
      </c>
      <c r="X677" s="9">
        <f>IF($H677&gt;J677, MIN($H677-J677, K677-J677)*INDEX('Key Metrics'!$E$16:$N$19,MATCH($E677,'Key Metrics'!$E$16:$E$19,0),MATCH(X$1,'Key Metrics'!$E$16:$M$16,0)),0)</f>
        <v>14715</v>
      </c>
      <c r="Y677" s="9">
        <f>IF($H677&gt;K677, MIN($H677-K677, L677-K677)*INDEX('Key Metrics'!$E$16:$N$19,MATCH($E677,'Key Metrics'!$E$16:$E$19,0),MATCH(Y$1,'Key Metrics'!$E$16:$M$16,0)),0)</f>
        <v>0</v>
      </c>
      <c r="Z677" s="9">
        <f>IF($H677&gt;L677,($H677-L677)*INDEX('Key Metrics'!$E$16:$N$19,MATCH($E677,'Key Metrics'!$E$16:$E$19,0),MATCH(Z$1,'Key Metrics'!$E$16:$M$16,0)),0)</f>
        <v>0</v>
      </c>
      <c r="AA677" s="9">
        <f t="shared" si="109"/>
        <v>95965</v>
      </c>
      <c r="AB677" s="9">
        <f t="shared" si="111"/>
        <v>95966.397150000004</v>
      </c>
    </row>
    <row r="678" spans="1:28" x14ac:dyDescent="0.55000000000000004">
      <c r="A678" t="str">
        <f t="shared" si="102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COUNTIF(deals_closed!$D$2:$D$20001,Calculations!B932)</f>
        <v>20</v>
      </c>
      <c r="H678" s="7">
        <f>SUMIF(deals_closed!$D:$D,Calculations!B932,deals_closed!$C:$C)</f>
        <v>806749</v>
      </c>
      <c r="I678" s="5">
        <f>VLOOKUP(E678,'2018_commission_structure'!$A$1:$I$4,9,FALSE)</f>
        <v>500000</v>
      </c>
      <c r="J678" s="9">
        <f t="shared" si="103"/>
        <v>625000</v>
      </c>
      <c r="K678" s="10">
        <f t="shared" si="104"/>
        <v>750000</v>
      </c>
      <c r="L678" s="9">
        <f t="shared" si="105"/>
        <v>1000000</v>
      </c>
      <c r="M678" s="8">
        <f t="shared" si="106"/>
        <v>1.6134980000000001</v>
      </c>
      <c r="N678" t="str">
        <f t="shared" si="107"/>
        <v>150-200%</v>
      </c>
      <c r="O678" s="9">
        <f>MIN($H678,$I678)*INDEX('2018_commission_structure'!$A$1:$I$4,MATCH($E678,'2018_commission_structure'!$A$1:$A$4,0),MATCH(O$1,'2018_commission_structure'!$A$1:$I$1,0))</f>
        <v>50000</v>
      </c>
      <c r="P678" s="9">
        <f>IF(H678&gt;I678, MIN(H678-I678, J678-I678)*INDEX('2018_commission_structure'!$A$1:$I$4,MATCH($E678,'2018_commission_structure'!$A$1:$A$4,0),MATCH(P$1,'2018_commission_structure'!$A$1:$I$1,0)),0)</f>
        <v>18750</v>
      </c>
      <c r="Q678" s="9">
        <f>IF($H678&gt;J678, MIN($H678-J678, K678-J678)*INDEX('2018_commission_structure'!$A$1:$I$4,MATCH($E678,'2018_commission_structure'!$A$1:$A$4,0),MATCH(Q$1,'2018_commission_structure'!$A$1:$I$1,0)),0)</f>
        <v>22500</v>
      </c>
      <c r="R678" s="9">
        <f>IF($H678&gt;K678, MIN($H678-K678, L678-K678)*INDEX('2018_commission_structure'!$A$1:$I$4,MATCH($E678,'2018_commission_structure'!$A$1:$A$4,0),MATCH(R$1,'2018_commission_structure'!$A$1:$I$1,0)),0)</f>
        <v>12484.78</v>
      </c>
      <c r="S678" s="9">
        <f>IF(H678&gt;L678,(H678-L678)*INDEX('2018_commission_structure'!$A$1:$I$4,MATCH($E678,'2018_commission_structure'!$A$1:$A$4,0),MATCH(S$1,'2018_commission_structure'!$A$1:$I$1,0)),0)</f>
        <v>0</v>
      </c>
      <c r="T678" s="9">
        <f t="shared" si="108"/>
        <v>103734.78</v>
      </c>
      <c r="U678" s="9">
        <f t="shared" si="110"/>
        <v>161452.78</v>
      </c>
      <c r="V678" s="9">
        <f>MIN($I678,$H678)*INDEX('Key Metrics'!$E$16:$N$19,MATCH($E678,'Key Metrics'!$E$16:$E$19,0),MATCH(V$1,'Key Metrics'!$E$16:$M$16,0))</f>
        <v>60000</v>
      </c>
      <c r="W678" s="9">
        <f>IF($H678&gt;I678, MIN($H678-I678, J678-I678)*INDEX('Key Metrics'!$E$16:$N$19,MATCH($E678,'Key Metrics'!$E$16:$E$19,0),MATCH(W$1,'Key Metrics'!$E$16:$M$16,0)),0)</f>
        <v>21250</v>
      </c>
      <c r="X678" s="9">
        <f>IF($H678&gt;J678, MIN($H678-J678, K678-J678)*INDEX('Key Metrics'!$E$16:$N$19,MATCH($E678,'Key Metrics'!$E$16:$E$19,0),MATCH(X$1,'Key Metrics'!$E$16:$M$16,0)),0)</f>
        <v>25000</v>
      </c>
      <c r="Y678" s="9">
        <f>IF($H678&gt;K678, MIN($H678-K678, L678-K678)*INDEX('Key Metrics'!$E$16:$N$19,MATCH($E678,'Key Metrics'!$E$16:$E$19,0),MATCH(Y$1,'Key Metrics'!$E$16:$M$16,0)),0)</f>
        <v>12484.78</v>
      </c>
      <c r="Z678" s="9">
        <f>IF($H678&gt;L678,($H678-L678)*INDEX('Key Metrics'!$E$16:$N$19,MATCH($E678,'Key Metrics'!$E$16:$E$19,0),MATCH(Z$1,'Key Metrics'!$E$16:$M$16,0)),0)</f>
        <v>0</v>
      </c>
      <c r="AA678" s="9">
        <f t="shared" si="109"/>
        <v>118734.78</v>
      </c>
      <c r="AB678" s="9">
        <f t="shared" si="111"/>
        <v>118736.393498</v>
      </c>
    </row>
    <row r="679" spans="1:28" x14ac:dyDescent="0.55000000000000004">
      <c r="A679" t="str">
        <f t="shared" si="102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COUNTIF(deals_closed!$D$2:$D$20001,Calculations!B521)</f>
        <v>12</v>
      </c>
      <c r="H679" s="7">
        <f>SUMIF(deals_closed!$D:$D,Calculations!B521,deals_closed!$C:$C)</f>
        <v>436501</v>
      </c>
      <c r="I679" s="5">
        <f>VLOOKUP(E679,'2018_commission_structure'!$A$1:$I$4,9,FALSE)</f>
        <v>500000</v>
      </c>
      <c r="J679" s="9">
        <f t="shared" si="103"/>
        <v>625000</v>
      </c>
      <c r="K679" s="10">
        <f t="shared" si="104"/>
        <v>750000</v>
      </c>
      <c r="L679" s="9">
        <f t="shared" si="105"/>
        <v>1000000</v>
      </c>
      <c r="M679" s="8">
        <f t="shared" si="106"/>
        <v>0.87300199999999994</v>
      </c>
      <c r="N679" t="str">
        <f t="shared" si="107"/>
        <v>0-100%</v>
      </c>
      <c r="O679" s="9">
        <f>MIN($H679,$I679)*INDEX('2018_commission_structure'!$A$1:$I$4,MATCH($E679,'2018_commission_structure'!$A$1:$A$4,0),MATCH(O$1,'2018_commission_structure'!$A$1:$I$1,0))</f>
        <v>43650.100000000006</v>
      </c>
      <c r="P679" s="9">
        <f>IF(H679&gt;I679, MIN(H679-I679, J679-I679)*INDEX('2018_commission_structure'!$A$1:$I$4,MATCH($E679,'2018_commission_structure'!$A$1:$A$4,0),MATCH(P$1,'2018_commission_structure'!$A$1:$I$1,0)),0)</f>
        <v>0</v>
      </c>
      <c r="Q679" s="9">
        <f>IF($H679&gt;J679, MIN($H679-J679, K679-J679)*INDEX('2018_commission_structure'!$A$1:$I$4,MATCH($E679,'2018_commission_structure'!$A$1:$A$4,0),MATCH(Q$1,'2018_commission_structure'!$A$1:$I$1,0)),0)</f>
        <v>0</v>
      </c>
      <c r="R679" s="9">
        <f>IF($H679&gt;K679, MIN($H679-K679, L679-K679)*INDEX('2018_commission_structure'!$A$1:$I$4,MATCH($E679,'2018_commission_structure'!$A$1:$A$4,0),MATCH(R$1,'2018_commission_structure'!$A$1:$I$1,0)),0)</f>
        <v>0</v>
      </c>
      <c r="S679" s="9">
        <f>IF(H679&gt;L679,(H679-L679)*INDEX('2018_commission_structure'!$A$1:$I$4,MATCH($E679,'2018_commission_structure'!$A$1:$A$4,0),MATCH(S$1,'2018_commission_structure'!$A$1:$I$1,0)),0)</f>
        <v>0</v>
      </c>
      <c r="T679" s="9">
        <f t="shared" si="108"/>
        <v>43650.100000000006</v>
      </c>
      <c r="U679" s="9">
        <f t="shared" si="110"/>
        <v>99658.1</v>
      </c>
      <c r="V679" s="9">
        <f>MIN($I679,$H679)*INDEX('Key Metrics'!$E$16:$N$19,MATCH($E679,'Key Metrics'!$E$16:$E$19,0),MATCH(V$1,'Key Metrics'!$E$16:$M$16,0))</f>
        <v>52380.119999999995</v>
      </c>
      <c r="W679" s="9">
        <f>IF($H679&gt;I679, MIN($H679-I679, J679-I679)*INDEX('Key Metrics'!$E$16:$N$19,MATCH($E679,'Key Metrics'!$E$16:$E$19,0),MATCH(W$1,'Key Metrics'!$E$16:$M$16,0)),0)</f>
        <v>0</v>
      </c>
      <c r="X679" s="9">
        <f>IF($H679&gt;J679, MIN($H679-J679, K679-J679)*INDEX('Key Metrics'!$E$16:$N$19,MATCH($E679,'Key Metrics'!$E$16:$E$19,0),MATCH(X$1,'Key Metrics'!$E$16:$M$16,0)),0)</f>
        <v>0</v>
      </c>
      <c r="Y679" s="9">
        <f>IF($H679&gt;K679, MIN($H679-K679, L679-K679)*INDEX('Key Metrics'!$E$16:$N$19,MATCH($E679,'Key Metrics'!$E$16:$E$19,0),MATCH(Y$1,'Key Metrics'!$E$16:$M$16,0)),0)</f>
        <v>0</v>
      </c>
      <c r="Z679" s="9">
        <f>IF($H679&gt;L679,($H679-L679)*INDEX('Key Metrics'!$E$16:$N$19,MATCH($E679,'Key Metrics'!$E$16:$E$19,0),MATCH(Z$1,'Key Metrics'!$E$16:$M$16,0)),0)</f>
        <v>0</v>
      </c>
      <c r="AA679" s="9">
        <f t="shared" si="109"/>
        <v>52380.119999999995</v>
      </c>
      <c r="AB679" s="9">
        <f t="shared" si="111"/>
        <v>52380.993001999996</v>
      </c>
    </row>
    <row r="680" spans="1:28" x14ac:dyDescent="0.55000000000000004">
      <c r="A680" t="str">
        <f t="shared" si="102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COUNTIF(deals_closed!$D$2:$D$20001,Calculations!B907)</f>
        <v>24</v>
      </c>
      <c r="H680" s="7">
        <f>SUMIF(deals_closed!$D:$D,Calculations!B907,deals_closed!$C:$C)</f>
        <v>841603</v>
      </c>
      <c r="I680" s="5">
        <f>VLOOKUP(E680,'2018_commission_structure'!$A$1:$I$4,9,FALSE)</f>
        <v>600000</v>
      </c>
      <c r="J680" s="9">
        <f t="shared" si="103"/>
        <v>750000</v>
      </c>
      <c r="K680" s="10">
        <f t="shared" si="104"/>
        <v>900000</v>
      </c>
      <c r="L680" s="9">
        <f t="shared" si="105"/>
        <v>1200000</v>
      </c>
      <c r="M680" s="8">
        <f t="shared" si="106"/>
        <v>1.4026716666666668</v>
      </c>
      <c r="N680" t="str">
        <f t="shared" si="107"/>
        <v>125-150%</v>
      </c>
      <c r="O680" s="9">
        <f>MIN($H680,$I680)*INDEX('2018_commission_structure'!$A$1:$I$4,MATCH($E680,'2018_commission_structure'!$A$1:$A$4,0),MATCH(O$1,'2018_commission_structure'!$A$1:$I$1,0))</f>
        <v>78000</v>
      </c>
      <c r="P680" s="9">
        <f>IF(H680&gt;I680, MIN(H680-I680, J680-I680)*INDEX('2018_commission_structure'!$A$1:$I$4,MATCH($E680,'2018_commission_structure'!$A$1:$A$4,0),MATCH(P$1,'2018_commission_structure'!$A$1:$I$1,0)),0)</f>
        <v>25500.000000000004</v>
      </c>
      <c r="Q680" s="9">
        <f>IF($H680&gt;J680, MIN($H680-J680, K680-J680)*INDEX('2018_commission_structure'!$A$1:$I$4,MATCH($E680,'2018_commission_structure'!$A$1:$A$4,0),MATCH(Q$1,'2018_commission_structure'!$A$1:$I$1,0)),0)</f>
        <v>19236.63</v>
      </c>
      <c r="R680" s="9">
        <f>IF($H680&gt;K680, MIN($H680-K680, L680-K680)*INDEX('2018_commission_structure'!$A$1:$I$4,MATCH($E680,'2018_commission_structure'!$A$1:$A$4,0),MATCH(R$1,'2018_commission_structure'!$A$1:$I$1,0)),0)</f>
        <v>0</v>
      </c>
      <c r="S680" s="9">
        <f>IF(H680&gt;L680,(H680-L680)*INDEX('2018_commission_structure'!$A$1:$I$4,MATCH($E680,'2018_commission_structure'!$A$1:$A$4,0),MATCH(S$1,'2018_commission_structure'!$A$1:$I$1,0)),0)</f>
        <v>0</v>
      </c>
      <c r="T680" s="9">
        <f t="shared" si="108"/>
        <v>122736.63</v>
      </c>
      <c r="U680" s="9">
        <f t="shared" si="110"/>
        <v>195959.63</v>
      </c>
      <c r="V680" s="9">
        <f>MIN($I680,$H680)*INDEX('Key Metrics'!$E$16:$N$19,MATCH($E680,'Key Metrics'!$E$16:$E$19,0),MATCH(V$1,'Key Metrics'!$E$16:$M$16,0))</f>
        <v>90000</v>
      </c>
      <c r="W680" s="9">
        <f>IF($H680&gt;I680, MIN($H680-I680, J680-I680)*INDEX('Key Metrics'!$E$16:$N$19,MATCH($E680,'Key Metrics'!$E$16:$E$19,0),MATCH(W$1,'Key Metrics'!$E$16:$M$16,0)),0)</f>
        <v>27000</v>
      </c>
      <c r="X680" s="9">
        <f>IF($H680&gt;J680, MIN($H680-J680, K680-J680)*INDEX('Key Metrics'!$E$16:$N$19,MATCH($E680,'Key Metrics'!$E$16:$E$19,0),MATCH(X$1,'Key Metrics'!$E$16:$M$16,0)),0)</f>
        <v>22900.75</v>
      </c>
      <c r="Y680" s="9">
        <f>IF($H680&gt;K680, MIN($H680-K680, L680-K680)*INDEX('Key Metrics'!$E$16:$N$19,MATCH($E680,'Key Metrics'!$E$16:$E$19,0),MATCH(Y$1,'Key Metrics'!$E$16:$M$16,0)),0)</f>
        <v>0</v>
      </c>
      <c r="Z680" s="9">
        <f>IF($H680&gt;L680,($H680-L680)*INDEX('Key Metrics'!$E$16:$N$19,MATCH($E680,'Key Metrics'!$E$16:$E$19,0),MATCH(Z$1,'Key Metrics'!$E$16:$M$16,0)),0)</f>
        <v>0</v>
      </c>
      <c r="AA680" s="9">
        <f t="shared" si="109"/>
        <v>139900.75</v>
      </c>
      <c r="AB680" s="9">
        <f t="shared" si="111"/>
        <v>139902.15267166667</v>
      </c>
    </row>
    <row r="681" spans="1:28" x14ac:dyDescent="0.55000000000000004">
      <c r="A681" t="str">
        <f t="shared" si="102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COUNTIF(deals_closed!$D$2:$D$20001,Calculations!B204)</f>
        <v>17</v>
      </c>
      <c r="H681" s="7">
        <f>SUMIF(deals_closed!$D:$D,Calculations!B204,deals_closed!$C:$C)</f>
        <v>584140</v>
      </c>
      <c r="I681" s="5">
        <f>VLOOKUP(E681,'2018_commission_structure'!$A$1:$I$4,9,FALSE)</f>
        <v>500000</v>
      </c>
      <c r="J681" s="9">
        <f t="shared" si="103"/>
        <v>625000</v>
      </c>
      <c r="K681" s="10">
        <f t="shared" si="104"/>
        <v>750000</v>
      </c>
      <c r="L681" s="9">
        <f t="shared" si="105"/>
        <v>1000000</v>
      </c>
      <c r="M681" s="8">
        <f t="shared" si="106"/>
        <v>1.16828</v>
      </c>
      <c r="N681" t="str">
        <f t="shared" si="107"/>
        <v>100-125%</v>
      </c>
      <c r="O681" s="9">
        <f>MIN($H681,$I681)*INDEX('2018_commission_structure'!$A$1:$I$4,MATCH($E681,'2018_commission_structure'!$A$1:$A$4,0),MATCH(O$1,'2018_commission_structure'!$A$1:$I$1,0))</f>
        <v>50000</v>
      </c>
      <c r="P681" s="9">
        <f>IF(H681&gt;I681, MIN(H681-I681, J681-I681)*INDEX('2018_commission_structure'!$A$1:$I$4,MATCH($E681,'2018_commission_structure'!$A$1:$A$4,0),MATCH(P$1,'2018_commission_structure'!$A$1:$I$1,0)),0)</f>
        <v>12621</v>
      </c>
      <c r="Q681" s="9">
        <f>IF($H681&gt;J681, MIN($H681-J681, K681-J681)*INDEX('2018_commission_structure'!$A$1:$I$4,MATCH($E681,'2018_commission_structure'!$A$1:$A$4,0),MATCH(Q$1,'2018_commission_structure'!$A$1:$I$1,0)),0)</f>
        <v>0</v>
      </c>
      <c r="R681" s="9">
        <f>IF($H681&gt;K681, MIN($H681-K681, L681-K681)*INDEX('2018_commission_structure'!$A$1:$I$4,MATCH($E681,'2018_commission_structure'!$A$1:$A$4,0),MATCH(R$1,'2018_commission_structure'!$A$1:$I$1,0)),0)</f>
        <v>0</v>
      </c>
      <c r="S681" s="9">
        <f>IF(H681&gt;L681,(H681-L681)*INDEX('2018_commission_structure'!$A$1:$I$4,MATCH($E681,'2018_commission_structure'!$A$1:$A$4,0),MATCH(S$1,'2018_commission_structure'!$A$1:$I$1,0)),0)</f>
        <v>0</v>
      </c>
      <c r="T681" s="9">
        <f t="shared" si="108"/>
        <v>62621</v>
      </c>
      <c r="U681" s="9">
        <f t="shared" si="110"/>
        <v>127252</v>
      </c>
      <c r="V681" s="9">
        <f>MIN($I681,$H681)*INDEX('Key Metrics'!$E$16:$N$19,MATCH($E681,'Key Metrics'!$E$16:$E$19,0),MATCH(V$1,'Key Metrics'!$E$16:$M$16,0))</f>
        <v>60000</v>
      </c>
      <c r="W681" s="9">
        <f>IF($H681&gt;I681, MIN($H681-I681, J681-I681)*INDEX('Key Metrics'!$E$16:$N$19,MATCH($E681,'Key Metrics'!$E$16:$E$19,0),MATCH(W$1,'Key Metrics'!$E$16:$M$16,0)),0)</f>
        <v>14303.800000000001</v>
      </c>
      <c r="X681" s="9">
        <f>IF($H681&gt;J681, MIN($H681-J681, K681-J681)*INDEX('Key Metrics'!$E$16:$N$19,MATCH($E681,'Key Metrics'!$E$16:$E$19,0),MATCH(X$1,'Key Metrics'!$E$16:$M$16,0)),0)</f>
        <v>0</v>
      </c>
      <c r="Y681" s="9">
        <f>IF($H681&gt;K681, MIN($H681-K681, L681-K681)*INDEX('Key Metrics'!$E$16:$N$19,MATCH($E681,'Key Metrics'!$E$16:$E$19,0),MATCH(Y$1,'Key Metrics'!$E$16:$M$16,0)),0)</f>
        <v>0</v>
      </c>
      <c r="Z681" s="9">
        <f>IF($H681&gt;L681,($H681-L681)*INDEX('Key Metrics'!$E$16:$N$19,MATCH($E681,'Key Metrics'!$E$16:$E$19,0),MATCH(Z$1,'Key Metrics'!$E$16:$M$16,0)),0)</f>
        <v>0</v>
      </c>
      <c r="AA681" s="9">
        <f t="shared" si="109"/>
        <v>74303.8</v>
      </c>
      <c r="AB681" s="9">
        <f t="shared" si="111"/>
        <v>74304.968280000001</v>
      </c>
    </row>
    <row r="682" spans="1:28" x14ac:dyDescent="0.55000000000000004">
      <c r="A682" t="str">
        <f t="shared" si="102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COUNTIF(deals_closed!$D$2:$D$20001,Calculations!B988)</f>
        <v>22</v>
      </c>
      <c r="H682" s="7">
        <f>SUMIF(deals_closed!$D:$D,Calculations!B988,deals_closed!$C:$C)</f>
        <v>713140</v>
      </c>
      <c r="I682" s="5">
        <f>VLOOKUP(E682,'2018_commission_structure'!$A$1:$I$4,9,FALSE)</f>
        <v>500000</v>
      </c>
      <c r="J682" s="9">
        <f t="shared" si="103"/>
        <v>625000</v>
      </c>
      <c r="K682" s="10">
        <f t="shared" si="104"/>
        <v>750000</v>
      </c>
      <c r="L682" s="9">
        <f t="shared" si="105"/>
        <v>1000000</v>
      </c>
      <c r="M682" s="8">
        <f t="shared" si="106"/>
        <v>1.42628</v>
      </c>
      <c r="N682" t="str">
        <f t="shared" si="107"/>
        <v>125-150%</v>
      </c>
      <c r="O682" s="9">
        <f>MIN($H682,$I682)*INDEX('2018_commission_structure'!$A$1:$I$4,MATCH($E682,'2018_commission_structure'!$A$1:$A$4,0),MATCH(O$1,'2018_commission_structure'!$A$1:$I$1,0))</f>
        <v>50000</v>
      </c>
      <c r="P682" s="9">
        <f>IF(H682&gt;I682, MIN(H682-I682, J682-I682)*INDEX('2018_commission_structure'!$A$1:$I$4,MATCH($E682,'2018_commission_structure'!$A$1:$A$4,0),MATCH(P$1,'2018_commission_structure'!$A$1:$I$1,0)),0)</f>
        <v>18750</v>
      </c>
      <c r="Q682" s="9">
        <f>IF($H682&gt;J682, MIN($H682-J682, K682-J682)*INDEX('2018_commission_structure'!$A$1:$I$4,MATCH($E682,'2018_commission_structure'!$A$1:$A$4,0),MATCH(Q$1,'2018_commission_structure'!$A$1:$I$1,0)),0)</f>
        <v>15865.199999999999</v>
      </c>
      <c r="R682" s="9">
        <f>IF($H682&gt;K682, MIN($H682-K682, L682-K682)*INDEX('2018_commission_structure'!$A$1:$I$4,MATCH($E682,'2018_commission_structure'!$A$1:$A$4,0),MATCH(R$1,'2018_commission_structure'!$A$1:$I$1,0)),0)</f>
        <v>0</v>
      </c>
      <c r="S682" s="9">
        <f>IF(H682&gt;L682,(H682-L682)*INDEX('2018_commission_structure'!$A$1:$I$4,MATCH($E682,'2018_commission_structure'!$A$1:$A$4,0),MATCH(S$1,'2018_commission_structure'!$A$1:$I$1,0)),0)</f>
        <v>0</v>
      </c>
      <c r="T682" s="9">
        <f t="shared" si="108"/>
        <v>84615.2</v>
      </c>
      <c r="U682" s="9">
        <f t="shared" si="110"/>
        <v>148430.20000000001</v>
      </c>
      <c r="V682" s="9">
        <f>MIN($I682,$H682)*INDEX('Key Metrics'!$E$16:$N$19,MATCH($E682,'Key Metrics'!$E$16:$E$19,0),MATCH(V$1,'Key Metrics'!$E$16:$M$16,0))</f>
        <v>60000</v>
      </c>
      <c r="W682" s="9">
        <f>IF($H682&gt;I682, MIN($H682-I682, J682-I682)*INDEX('Key Metrics'!$E$16:$N$19,MATCH($E682,'Key Metrics'!$E$16:$E$19,0),MATCH(W$1,'Key Metrics'!$E$16:$M$16,0)),0)</f>
        <v>21250</v>
      </c>
      <c r="X682" s="9">
        <f>IF($H682&gt;J682, MIN($H682-J682, K682-J682)*INDEX('Key Metrics'!$E$16:$N$19,MATCH($E682,'Key Metrics'!$E$16:$E$19,0),MATCH(X$1,'Key Metrics'!$E$16:$M$16,0)),0)</f>
        <v>17628</v>
      </c>
      <c r="Y682" s="9">
        <f>IF($H682&gt;K682, MIN($H682-K682, L682-K682)*INDEX('Key Metrics'!$E$16:$N$19,MATCH($E682,'Key Metrics'!$E$16:$E$19,0),MATCH(Y$1,'Key Metrics'!$E$16:$M$16,0)),0)</f>
        <v>0</v>
      </c>
      <c r="Z682" s="9">
        <f>IF($H682&gt;L682,($H682-L682)*INDEX('Key Metrics'!$E$16:$N$19,MATCH($E682,'Key Metrics'!$E$16:$E$19,0),MATCH(Z$1,'Key Metrics'!$E$16:$M$16,0)),0)</f>
        <v>0</v>
      </c>
      <c r="AA682" s="9">
        <f t="shared" si="109"/>
        <v>98878</v>
      </c>
      <c r="AB682" s="9">
        <f t="shared" si="111"/>
        <v>98879.42628</v>
      </c>
    </row>
    <row r="683" spans="1:28" x14ac:dyDescent="0.55000000000000004">
      <c r="A683" t="str">
        <f t="shared" si="102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COUNTIF(deals_closed!$D$2:$D$20001,Calculations!B305)</f>
        <v>19</v>
      </c>
      <c r="H683" s="7">
        <f>SUMIF(deals_closed!$D:$D,Calculations!B305,deals_closed!$C:$C)</f>
        <v>540162</v>
      </c>
      <c r="I683" s="5">
        <f>VLOOKUP(E683,'2018_commission_structure'!$A$1:$I$4,9,FALSE)</f>
        <v>750000</v>
      </c>
      <c r="J683" s="9">
        <f t="shared" si="103"/>
        <v>937500</v>
      </c>
      <c r="K683" s="10">
        <f t="shared" si="104"/>
        <v>1125000</v>
      </c>
      <c r="L683" s="9">
        <f t="shared" si="105"/>
        <v>1500000</v>
      </c>
      <c r="M683" s="8">
        <f t="shared" si="106"/>
        <v>0.72021599999999997</v>
      </c>
      <c r="N683" t="str">
        <f t="shared" si="107"/>
        <v>0-100%</v>
      </c>
      <c r="O683" s="9">
        <f>MIN($H683,$I683)*INDEX('2018_commission_structure'!$A$1:$I$4,MATCH($E683,'2018_commission_structure'!$A$1:$A$4,0),MATCH(O$1,'2018_commission_structure'!$A$1:$I$1,0))</f>
        <v>81024.3</v>
      </c>
      <c r="P683" s="9">
        <f>IF(H683&gt;I683, MIN(H683-I683, J683-I683)*INDEX('2018_commission_structure'!$A$1:$I$4,MATCH($E683,'2018_commission_structure'!$A$1:$A$4,0),MATCH(P$1,'2018_commission_structure'!$A$1:$I$1,0)),0)</f>
        <v>0</v>
      </c>
      <c r="Q683" s="9">
        <f>IF($H683&gt;J683, MIN($H683-J683, K683-J683)*INDEX('2018_commission_structure'!$A$1:$I$4,MATCH($E683,'2018_commission_structure'!$A$1:$A$4,0),MATCH(Q$1,'2018_commission_structure'!$A$1:$I$1,0)),0)</f>
        <v>0</v>
      </c>
      <c r="R683" s="9">
        <f>IF($H683&gt;K683, MIN($H683-K683, L683-K683)*INDEX('2018_commission_structure'!$A$1:$I$4,MATCH($E683,'2018_commission_structure'!$A$1:$A$4,0),MATCH(R$1,'2018_commission_structure'!$A$1:$I$1,0)),0)</f>
        <v>0</v>
      </c>
      <c r="S683" s="9">
        <f>IF(H683&gt;L683,(H683-L683)*INDEX('2018_commission_structure'!$A$1:$I$4,MATCH($E683,'2018_commission_structure'!$A$1:$A$4,0),MATCH(S$1,'2018_commission_structure'!$A$1:$I$1,0)),0)</f>
        <v>0</v>
      </c>
      <c r="T683" s="9">
        <f t="shared" si="108"/>
        <v>81024.3</v>
      </c>
      <c r="U683" s="9">
        <f t="shared" si="110"/>
        <v>203783.3</v>
      </c>
      <c r="V683" s="9">
        <f>MIN($I683,$H683)*INDEX('Key Metrics'!$E$16:$N$19,MATCH($E683,'Key Metrics'!$E$16:$E$19,0),MATCH(V$1,'Key Metrics'!$E$16:$M$16,0))</f>
        <v>81024.3</v>
      </c>
      <c r="W683" s="9">
        <f>IF($H683&gt;I683, MIN($H683-I683, J683-I683)*INDEX('Key Metrics'!$E$16:$N$19,MATCH($E683,'Key Metrics'!$E$16:$E$19,0),MATCH(W$1,'Key Metrics'!$E$16:$M$16,0)),0)</f>
        <v>0</v>
      </c>
      <c r="X683" s="9">
        <f>IF($H683&gt;J683, MIN($H683-J683, K683-J683)*INDEX('Key Metrics'!$E$16:$N$19,MATCH($E683,'Key Metrics'!$E$16:$E$19,0),MATCH(X$1,'Key Metrics'!$E$16:$M$16,0)),0)</f>
        <v>0</v>
      </c>
      <c r="Y683" s="9">
        <f>IF($H683&gt;K683, MIN($H683-K683, L683-K683)*INDEX('Key Metrics'!$E$16:$N$19,MATCH($E683,'Key Metrics'!$E$16:$E$19,0),MATCH(Y$1,'Key Metrics'!$E$16:$M$16,0)),0)</f>
        <v>0</v>
      </c>
      <c r="Z683" s="9">
        <f>IF($H683&gt;L683,($H683-L683)*INDEX('Key Metrics'!$E$16:$N$19,MATCH($E683,'Key Metrics'!$E$16:$E$19,0),MATCH(Z$1,'Key Metrics'!$E$16:$M$16,0)),0)</f>
        <v>0</v>
      </c>
      <c r="AA683" s="9">
        <f t="shared" si="109"/>
        <v>81024.3</v>
      </c>
      <c r="AB683" s="9">
        <f t="shared" si="111"/>
        <v>81025.020216000004</v>
      </c>
    </row>
    <row r="684" spans="1:28" x14ac:dyDescent="0.55000000000000004">
      <c r="A684" t="str">
        <f t="shared" si="102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COUNTIF(deals_closed!$D$2:$D$20001,Calculations!B145)</f>
        <v>22</v>
      </c>
      <c r="H684" s="7">
        <f>SUMIF(deals_closed!$D:$D,Calculations!B145,deals_closed!$C:$C)</f>
        <v>737282</v>
      </c>
      <c r="I684" s="5">
        <f>VLOOKUP(E684,'2018_commission_structure'!$A$1:$I$4,9,FALSE)</f>
        <v>750000</v>
      </c>
      <c r="J684" s="9">
        <f t="shared" si="103"/>
        <v>937500</v>
      </c>
      <c r="K684" s="10">
        <f t="shared" si="104"/>
        <v>1125000</v>
      </c>
      <c r="L684" s="9">
        <f t="shared" si="105"/>
        <v>1500000</v>
      </c>
      <c r="M684" s="8">
        <f t="shared" si="106"/>
        <v>0.98304266666666662</v>
      </c>
      <c r="N684" t="str">
        <f t="shared" si="107"/>
        <v>0-100%</v>
      </c>
      <c r="O684" s="9">
        <f>MIN($H684,$I684)*INDEX('2018_commission_structure'!$A$1:$I$4,MATCH($E684,'2018_commission_structure'!$A$1:$A$4,0),MATCH(O$1,'2018_commission_structure'!$A$1:$I$1,0))</f>
        <v>110592.3</v>
      </c>
      <c r="P684" s="9">
        <f>IF(H684&gt;I684, MIN(H684-I684, J684-I684)*INDEX('2018_commission_structure'!$A$1:$I$4,MATCH($E684,'2018_commission_structure'!$A$1:$A$4,0),MATCH(P$1,'2018_commission_structure'!$A$1:$I$1,0)),0)</f>
        <v>0</v>
      </c>
      <c r="Q684" s="9">
        <f>IF($H684&gt;J684, MIN($H684-J684, K684-J684)*INDEX('2018_commission_structure'!$A$1:$I$4,MATCH($E684,'2018_commission_structure'!$A$1:$A$4,0),MATCH(Q$1,'2018_commission_structure'!$A$1:$I$1,0)),0)</f>
        <v>0</v>
      </c>
      <c r="R684" s="9">
        <f>IF($H684&gt;K684, MIN($H684-K684, L684-K684)*INDEX('2018_commission_structure'!$A$1:$I$4,MATCH($E684,'2018_commission_structure'!$A$1:$A$4,0),MATCH(R$1,'2018_commission_structure'!$A$1:$I$1,0)),0)</f>
        <v>0</v>
      </c>
      <c r="S684" s="9">
        <f>IF(H684&gt;L684,(H684-L684)*INDEX('2018_commission_structure'!$A$1:$I$4,MATCH($E684,'2018_commission_structure'!$A$1:$A$4,0),MATCH(S$1,'2018_commission_structure'!$A$1:$I$1,0)),0)</f>
        <v>0</v>
      </c>
      <c r="T684" s="9">
        <f t="shared" si="108"/>
        <v>110592.3</v>
      </c>
      <c r="U684" s="9">
        <f t="shared" si="110"/>
        <v>213193.3</v>
      </c>
      <c r="V684" s="9">
        <f>MIN($I684,$H684)*INDEX('Key Metrics'!$E$16:$N$19,MATCH($E684,'Key Metrics'!$E$16:$E$19,0),MATCH(V$1,'Key Metrics'!$E$16:$M$16,0))</f>
        <v>110592.3</v>
      </c>
      <c r="W684" s="9">
        <f>IF($H684&gt;I684, MIN($H684-I684, J684-I684)*INDEX('Key Metrics'!$E$16:$N$19,MATCH($E684,'Key Metrics'!$E$16:$E$19,0),MATCH(W$1,'Key Metrics'!$E$16:$M$16,0)),0)</f>
        <v>0</v>
      </c>
      <c r="X684" s="9">
        <f>IF($H684&gt;J684, MIN($H684-J684, K684-J684)*INDEX('Key Metrics'!$E$16:$N$19,MATCH($E684,'Key Metrics'!$E$16:$E$19,0),MATCH(X$1,'Key Metrics'!$E$16:$M$16,0)),0)</f>
        <v>0</v>
      </c>
      <c r="Y684" s="9">
        <f>IF($H684&gt;K684, MIN($H684-K684, L684-K684)*INDEX('Key Metrics'!$E$16:$N$19,MATCH($E684,'Key Metrics'!$E$16:$E$19,0),MATCH(Y$1,'Key Metrics'!$E$16:$M$16,0)),0)</f>
        <v>0</v>
      </c>
      <c r="Z684" s="9">
        <f>IF($H684&gt;L684,($H684-L684)*INDEX('Key Metrics'!$E$16:$N$19,MATCH($E684,'Key Metrics'!$E$16:$E$19,0),MATCH(Z$1,'Key Metrics'!$E$16:$M$16,0)),0)</f>
        <v>0</v>
      </c>
      <c r="AA684" s="9">
        <f t="shared" si="109"/>
        <v>110592.3</v>
      </c>
      <c r="AB684" s="9">
        <f t="shared" si="111"/>
        <v>110593.28304266666</v>
      </c>
    </row>
    <row r="685" spans="1:28" x14ac:dyDescent="0.55000000000000004">
      <c r="A685" t="str">
        <f t="shared" si="102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COUNTIF(deals_closed!$D$2:$D$20001,Calculations!B743)</f>
        <v>23</v>
      </c>
      <c r="H685" s="7">
        <f>SUMIF(deals_closed!$D:$D,Calculations!B743,deals_closed!$C:$C)</f>
        <v>762296</v>
      </c>
      <c r="I685" s="5">
        <f>VLOOKUP(E685,'2018_commission_structure'!$A$1:$I$4,9,FALSE)</f>
        <v>500000</v>
      </c>
      <c r="J685" s="9">
        <f t="shared" si="103"/>
        <v>625000</v>
      </c>
      <c r="K685" s="10">
        <f t="shared" si="104"/>
        <v>750000</v>
      </c>
      <c r="L685" s="9">
        <f t="shared" si="105"/>
        <v>1000000</v>
      </c>
      <c r="M685" s="8">
        <f t="shared" si="106"/>
        <v>1.5245919999999999</v>
      </c>
      <c r="N685" t="str">
        <f t="shared" si="107"/>
        <v>150-200%</v>
      </c>
      <c r="O685" s="9">
        <f>MIN($H685,$I685)*INDEX('2018_commission_structure'!$A$1:$I$4,MATCH($E685,'2018_commission_structure'!$A$1:$A$4,0),MATCH(O$1,'2018_commission_structure'!$A$1:$I$1,0))</f>
        <v>50000</v>
      </c>
      <c r="P685" s="9">
        <f>IF(H685&gt;I685, MIN(H685-I685, J685-I685)*INDEX('2018_commission_structure'!$A$1:$I$4,MATCH($E685,'2018_commission_structure'!$A$1:$A$4,0),MATCH(P$1,'2018_commission_structure'!$A$1:$I$1,0)),0)</f>
        <v>18750</v>
      </c>
      <c r="Q685" s="9">
        <f>IF($H685&gt;J685, MIN($H685-J685, K685-J685)*INDEX('2018_commission_structure'!$A$1:$I$4,MATCH($E685,'2018_commission_structure'!$A$1:$A$4,0),MATCH(Q$1,'2018_commission_structure'!$A$1:$I$1,0)),0)</f>
        <v>22500</v>
      </c>
      <c r="R685" s="9">
        <f>IF($H685&gt;K685, MIN($H685-K685, L685-K685)*INDEX('2018_commission_structure'!$A$1:$I$4,MATCH($E685,'2018_commission_structure'!$A$1:$A$4,0),MATCH(R$1,'2018_commission_structure'!$A$1:$I$1,0)),0)</f>
        <v>2705.12</v>
      </c>
      <c r="S685" s="9">
        <f>IF(H685&gt;L685,(H685-L685)*INDEX('2018_commission_structure'!$A$1:$I$4,MATCH($E685,'2018_commission_structure'!$A$1:$A$4,0),MATCH(S$1,'2018_commission_structure'!$A$1:$I$1,0)),0)</f>
        <v>0</v>
      </c>
      <c r="T685" s="9">
        <f t="shared" si="108"/>
        <v>93955.12</v>
      </c>
      <c r="U685" s="9">
        <f t="shared" si="110"/>
        <v>130971.12</v>
      </c>
      <c r="V685" s="9">
        <f>MIN($I685,$H685)*INDEX('Key Metrics'!$E$16:$N$19,MATCH($E685,'Key Metrics'!$E$16:$E$19,0),MATCH(V$1,'Key Metrics'!$E$16:$M$16,0))</f>
        <v>60000</v>
      </c>
      <c r="W685" s="9">
        <f>IF($H685&gt;I685, MIN($H685-I685, J685-I685)*INDEX('Key Metrics'!$E$16:$N$19,MATCH($E685,'Key Metrics'!$E$16:$E$19,0),MATCH(W$1,'Key Metrics'!$E$16:$M$16,0)),0)</f>
        <v>21250</v>
      </c>
      <c r="X685" s="9">
        <f>IF($H685&gt;J685, MIN($H685-J685, K685-J685)*INDEX('Key Metrics'!$E$16:$N$19,MATCH($E685,'Key Metrics'!$E$16:$E$19,0),MATCH(X$1,'Key Metrics'!$E$16:$M$16,0)),0)</f>
        <v>25000</v>
      </c>
      <c r="Y685" s="9">
        <f>IF($H685&gt;K685, MIN($H685-K685, L685-K685)*INDEX('Key Metrics'!$E$16:$N$19,MATCH($E685,'Key Metrics'!$E$16:$E$19,0),MATCH(Y$1,'Key Metrics'!$E$16:$M$16,0)),0)</f>
        <v>2705.12</v>
      </c>
      <c r="Z685" s="9">
        <f>IF($H685&gt;L685,($H685-L685)*INDEX('Key Metrics'!$E$16:$N$19,MATCH($E685,'Key Metrics'!$E$16:$E$19,0),MATCH(Z$1,'Key Metrics'!$E$16:$M$16,0)),0)</f>
        <v>0</v>
      </c>
      <c r="AA685" s="9">
        <f t="shared" si="109"/>
        <v>108955.12</v>
      </c>
      <c r="AB685" s="9">
        <f t="shared" si="111"/>
        <v>108956.644592</v>
      </c>
    </row>
    <row r="686" spans="1:28" x14ac:dyDescent="0.55000000000000004">
      <c r="A686" t="str">
        <f t="shared" si="102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COUNTIF(deals_closed!$D$2:$D$20001,Calculations!B54)</f>
        <v>18</v>
      </c>
      <c r="H686" s="7">
        <f>SUMIF(deals_closed!$D:$D,Calculations!B54,deals_closed!$C:$C)</f>
        <v>699755</v>
      </c>
      <c r="I686" s="5">
        <f>VLOOKUP(E686,'2018_commission_structure'!$A$1:$I$4,9,FALSE)</f>
        <v>500000</v>
      </c>
      <c r="J686" s="9">
        <f t="shared" si="103"/>
        <v>625000</v>
      </c>
      <c r="K686" s="10">
        <f t="shared" si="104"/>
        <v>750000</v>
      </c>
      <c r="L686" s="9">
        <f t="shared" si="105"/>
        <v>1000000</v>
      </c>
      <c r="M686" s="8">
        <f t="shared" si="106"/>
        <v>1.39951</v>
      </c>
      <c r="N686" t="str">
        <f t="shared" si="107"/>
        <v>125-150%</v>
      </c>
      <c r="O686" s="9">
        <f>MIN($H686,$I686)*INDEX('2018_commission_structure'!$A$1:$I$4,MATCH($E686,'2018_commission_structure'!$A$1:$A$4,0),MATCH(O$1,'2018_commission_structure'!$A$1:$I$1,0))</f>
        <v>50000</v>
      </c>
      <c r="P686" s="9">
        <f>IF(H686&gt;I686, MIN(H686-I686, J686-I686)*INDEX('2018_commission_structure'!$A$1:$I$4,MATCH($E686,'2018_commission_structure'!$A$1:$A$4,0),MATCH(P$1,'2018_commission_structure'!$A$1:$I$1,0)),0)</f>
        <v>18750</v>
      </c>
      <c r="Q686" s="9">
        <f>IF($H686&gt;J686, MIN($H686-J686, K686-J686)*INDEX('2018_commission_structure'!$A$1:$I$4,MATCH($E686,'2018_commission_structure'!$A$1:$A$4,0),MATCH(Q$1,'2018_commission_structure'!$A$1:$I$1,0)),0)</f>
        <v>13455.9</v>
      </c>
      <c r="R686" s="9">
        <f>IF($H686&gt;K686, MIN($H686-K686, L686-K686)*INDEX('2018_commission_structure'!$A$1:$I$4,MATCH($E686,'2018_commission_structure'!$A$1:$A$4,0),MATCH(R$1,'2018_commission_structure'!$A$1:$I$1,0)),0)</f>
        <v>0</v>
      </c>
      <c r="S686" s="9">
        <f>IF(H686&gt;L686,(H686-L686)*INDEX('2018_commission_structure'!$A$1:$I$4,MATCH($E686,'2018_commission_structure'!$A$1:$A$4,0),MATCH(S$1,'2018_commission_structure'!$A$1:$I$1,0)),0)</f>
        <v>0</v>
      </c>
      <c r="T686" s="9">
        <f t="shared" si="108"/>
        <v>82205.899999999994</v>
      </c>
      <c r="U686" s="9">
        <f t="shared" si="110"/>
        <v>134870.9</v>
      </c>
      <c r="V686" s="9">
        <f>MIN($I686,$H686)*INDEX('Key Metrics'!$E$16:$N$19,MATCH($E686,'Key Metrics'!$E$16:$E$19,0),MATCH(V$1,'Key Metrics'!$E$16:$M$16,0))</f>
        <v>60000</v>
      </c>
      <c r="W686" s="9">
        <f>IF($H686&gt;I686, MIN($H686-I686, J686-I686)*INDEX('Key Metrics'!$E$16:$N$19,MATCH($E686,'Key Metrics'!$E$16:$E$19,0),MATCH(W$1,'Key Metrics'!$E$16:$M$16,0)),0)</f>
        <v>21250</v>
      </c>
      <c r="X686" s="9">
        <f>IF($H686&gt;J686, MIN($H686-J686, K686-J686)*INDEX('Key Metrics'!$E$16:$N$19,MATCH($E686,'Key Metrics'!$E$16:$E$19,0),MATCH(X$1,'Key Metrics'!$E$16:$M$16,0)),0)</f>
        <v>14951</v>
      </c>
      <c r="Y686" s="9">
        <f>IF($H686&gt;K686, MIN($H686-K686, L686-K686)*INDEX('Key Metrics'!$E$16:$N$19,MATCH($E686,'Key Metrics'!$E$16:$E$19,0),MATCH(Y$1,'Key Metrics'!$E$16:$M$16,0)),0)</f>
        <v>0</v>
      </c>
      <c r="Z686" s="9">
        <f>IF($H686&gt;L686,($H686-L686)*INDEX('Key Metrics'!$E$16:$N$19,MATCH($E686,'Key Metrics'!$E$16:$E$19,0),MATCH(Z$1,'Key Metrics'!$E$16:$M$16,0)),0)</f>
        <v>0</v>
      </c>
      <c r="AA686" s="9">
        <f t="shared" si="109"/>
        <v>96201</v>
      </c>
      <c r="AB686" s="9">
        <f t="shared" si="111"/>
        <v>96202.399510000003</v>
      </c>
    </row>
    <row r="687" spans="1:28" x14ac:dyDescent="0.55000000000000004">
      <c r="A687" t="str">
        <f t="shared" si="102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COUNTIF(deals_closed!$D$2:$D$20001,Calculations!B930)</f>
        <v>13</v>
      </c>
      <c r="H687" s="7">
        <f>SUMIF(deals_closed!$D:$D,Calculations!B930,deals_closed!$C:$C)</f>
        <v>462339</v>
      </c>
      <c r="I687" s="5">
        <f>VLOOKUP(E687,'2018_commission_structure'!$A$1:$I$4,9,FALSE)</f>
        <v>750000</v>
      </c>
      <c r="J687" s="9">
        <f t="shared" si="103"/>
        <v>937500</v>
      </c>
      <c r="K687" s="10">
        <f t="shared" si="104"/>
        <v>1125000</v>
      </c>
      <c r="L687" s="9">
        <f t="shared" si="105"/>
        <v>1500000</v>
      </c>
      <c r="M687" s="8">
        <f t="shared" si="106"/>
        <v>0.616452</v>
      </c>
      <c r="N687" t="str">
        <f t="shared" si="107"/>
        <v>0-100%</v>
      </c>
      <c r="O687" s="9">
        <f>MIN($H687,$I687)*INDEX('2018_commission_structure'!$A$1:$I$4,MATCH($E687,'2018_commission_structure'!$A$1:$A$4,0),MATCH(O$1,'2018_commission_structure'!$A$1:$I$1,0))</f>
        <v>69350.849999999991</v>
      </c>
      <c r="P687" s="9">
        <f>IF(H687&gt;I687, MIN(H687-I687, J687-I687)*INDEX('2018_commission_structure'!$A$1:$I$4,MATCH($E687,'2018_commission_structure'!$A$1:$A$4,0),MATCH(P$1,'2018_commission_structure'!$A$1:$I$1,0)),0)</f>
        <v>0</v>
      </c>
      <c r="Q687" s="9">
        <f>IF($H687&gt;J687, MIN($H687-J687, K687-J687)*INDEX('2018_commission_structure'!$A$1:$I$4,MATCH($E687,'2018_commission_structure'!$A$1:$A$4,0),MATCH(Q$1,'2018_commission_structure'!$A$1:$I$1,0)),0)</f>
        <v>0</v>
      </c>
      <c r="R687" s="9">
        <f>IF($H687&gt;K687, MIN($H687-K687, L687-K687)*INDEX('2018_commission_structure'!$A$1:$I$4,MATCH($E687,'2018_commission_structure'!$A$1:$A$4,0),MATCH(R$1,'2018_commission_structure'!$A$1:$I$1,0)),0)</f>
        <v>0</v>
      </c>
      <c r="S687" s="9">
        <f>IF(H687&gt;L687,(H687-L687)*INDEX('2018_commission_structure'!$A$1:$I$4,MATCH($E687,'2018_commission_structure'!$A$1:$A$4,0),MATCH(S$1,'2018_commission_structure'!$A$1:$I$1,0)),0)</f>
        <v>0</v>
      </c>
      <c r="T687" s="9">
        <f t="shared" si="108"/>
        <v>69350.849999999991</v>
      </c>
      <c r="U687" s="9">
        <f t="shared" si="110"/>
        <v>172626.84999999998</v>
      </c>
      <c r="V687" s="9">
        <f>MIN($I687,$H687)*INDEX('Key Metrics'!$E$16:$N$19,MATCH($E687,'Key Metrics'!$E$16:$E$19,0),MATCH(V$1,'Key Metrics'!$E$16:$M$16,0))</f>
        <v>69350.849999999991</v>
      </c>
      <c r="W687" s="9">
        <f>IF($H687&gt;I687, MIN($H687-I687, J687-I687)*INDEX('Key Metrics'!$E$16:$N$19,MATCH($E687,'Key Metrics'!$E$16:$E$19,0),MATCH(W$1,'Key Metrics'!$E$16:$M$16,0)),0)</f>
        <v>0</v>
      </c>
      <c r="X687" s="9">
        <f>IF($H687&gt;J687, MIN($H687-J687, K687-J687)*INDEX('Key Metrics'!$E$16:$N$19,MATCH($E687,'Key Metrics'!$E$16:$E$19,0),MATCH(X$1,'Key Metrics'!$E$16:$M$16,0)),0)</f>
        <v>0</v>
      </c>
      <c r="Y687" s="9">
        <f>IF($H687&gt;K687, MIN($H687-K687, L687-K687)*INDEX('Key Metrics'!$E$16:$N$19,MATCH($E687,'Key Metrics'!$E$16:$E$19,0),MATCH(Y$1,'Key Metrics'!$E$16:$M$16,0)),0)</f>
        <v>0</v>
      </c>
      <c r="Z687" s="9">
        <f>IF($H687&gt;L687,($H687-L687)*INDEX('Key Metrics'!$E$16:$N$19,MATCH($E687,'Key Metrics'!$E$16:$E$19,0),MATCH(Z$1,'Key Metrics'!$E$16:$M$16,0)),0)</f>
        <v>0</v>
      </c>
      <c r="AA687" s="9">
        <f t="shared" si="109"/>
        <v>69350.849999999991</v>
      </c>
      <c r="AB687" s="9">
        <f t="shared" si="111"/>
        <v>69351.466451999993</v>
      </c>
    </row>
    <row r="688" spans="1:28" x14ac:dyDescent="0.55000000000000004">
      <c r="A688" t="str">
        <f t="shared" si="102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COUNTIF(deals_closed!$D$2:$D$20001,Calculations!B754)</f>
        <v>19</v>
      </c>
      <c r="H688" s="7">
        <f>SUMIF(deals_closed!$D:$D,Calculations!B754,deals_closed!$C:$C)</f>
        <v>648927</v>
      </c>
      <c r="I688" s="5">
        <f>VLOOKUP(E688,'2018_commission_structure'!$A$1:$I$4,9,FALSE)</f>
        <v>750000</v>
      </c>
      <c r="J688" s="9">
        <f t="shared" si="103"/>
        <v>937500</v>
      </c>
      <c r="K688" s="10">
        <f t="shared" si="104"/>
        <v>1125000</v>
      </c>
      <c r="L688" s="9">
        <f t="shared" si="105"/>
        <v>1500000</v>
      </c>
      <c r="M688" s="8">
        <f t="shared" si="106"/>
        <v>0.86523600000000001</v>
      </c>
      <c r="N688" t="str">
        <f t="shared" si="107"/>
        <v>0-100%</v>
      </c>
      <c r="O688" s="9">
        <f>MIN($H688,$I688)*INDEX('2018_commission_structure'!$A$1:$I$4,MATCH($E688,'2018_commission_structure'!$A$1:$A$4,0),MATCH(O$1,'2018_commission_structure'!$A$1:$I$1,0))</f>
        <v>97339.05</v>
      </c>
      <c r="P688" s="9">
        <f>IF(H688&gt;I688, MIN(H688-I688, J688-I688)*INDEX('2018_commission_structure'!$A$1:$I$4,MATCH($E688,'2018_commission_structure'!$A$1:$A$4,0),MATCH(P$1,'2018_commission_structure'!$A$1:$I$1,0)),0)</f>
        <v>0</v>
      </c>
      <c r="Q688" s="9">
        <f>IF($H688&gt;J688, MIN($H688-J688, K688-J688)*INDEX('2018_commission_structure'!$A$1:$I$4,MATCH($E688,'2018_commission_structure'!$A$1:$A$4,0),MATCH(Q$1,'2018_commission_structure'!$A$1:$I$1,0)),0)</f>
        <v>0</v>
      </c>
      <c r="R688" s="9">
        <f>IF($H688&gt;K688, MIN($H688-K688, L688-K688)*INDEX('2018_commission_structure'!$A$1:$I$4,MATCH($E688,'2018_commission_structure'!$A$1:$A$4,0),MATCH(R$1,'2018_commission_structure'!$A$1:$I$1,0)),0)</f>
        <v>0</v>
      </c>
      <c r="S688" s="9">
        <f>IF(H688&gt;L688,(H688-L688)*INDEX('2018_commission_structure'!$A$1:$I$4,MATCH($E688,'2018_commission_structure'!$A$1:$A$4,0),MATCH(S$1,'2018_commission_structure'!$A$1:$I$1,0)),0)</f>
        <v>0</v>
      </c>
      <c r="T688" s="9">
        <f t="shared" si="108"/>
        <v>97339.05</v>
      </c>
      <c r="U688" s="9">
        <f t="shared" si="110"/>
        <v>201327.05</v>
      </c>
      <c r="V688" s="9">
        <f>MIN($I688,$H688)*INDEX('Key Metrics'!$E$16:$N$19,MATCH($E688,'Key Metrics'!$E$16:$E$19,0),MATCH(V$1,'Key Metrics'!$E$16:$M$16,0))</f>
        <v>97339.05</v>
      </c>
      <c r="W688" s="9">
        <f>IF($H688&gt;I688, MIN($H688-I688, J688-I688)*INDEX('Key Metrics'!$E$16:$N$19,MATCH($E688,'Key Metrics'!$E$16:$E$19,0),MATCH(W$1,'Key Metrics'!$E$16:$M$16,0)),0)</f>
        <v>0</v>
      </c>
      <c r="X688" s="9">
        <f>IF($H688&gt;J688, MIN($H688-J688, K688-J688)*INDEX('Key Metrics'!$E$16:$N$19,MATCH($E688,'Key Metrics'!$E$16:$E$19,0),MATCH(X$1,'Key Metrics'!$E$16:$M$16,0)),0)</f>
        <v>0</v>
      </c>
      <c r="Y688" s="9">
        <f>IF($H688&gt;K688, MIN($H688-K688, L688-K688)*INDEX('Key Metrics'!$E$16:$N$19,MATCH($E688,'Key Metrics'!$E$16:$E$19,0),MATCH(Y$1,'Key Metrics'!$E$16:$M$16,0)),0)</f>
        <v>0</v>
      </c>
      <c r="Z688" s="9">
        <f>IF($H688&gt;L688,($H688-L688)*INDEX('Key Metrics'!$E$16:$N$19,MATCH($E688,'Key Metrics'!$E$16:$E$19,0),MATCH(Z$1,'Key Metrics'!$E$16:$M$16,0)),0)</f>
        <v>0</v>
      </c>
      <c r="AA688" s="9">
        <f t="shared" si="109"/>
        <v>97339.05</v>
      </c>
      <c r="AB688" s="9">
        <f t="shared" si="111"/>
        <v>97339.915236000001</v>
      </c>
    </row>
    <row r="689" spans="1:28" x14ac:dyDescent="0.55000000000000004">
      <c r="A689" t="str">
        <f t="shared" si="102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COUNTIF(deals_closed!$D$2:$D$20001,Calculations!B675)</f>
        <v>18</v>
      </c>
      <c r="H689" s="7">
        <f>SUMIF(deals_closed!$D:$D,Calculations!B675,deals_closed!$C:$C)</f>
        <v>701835</v>
      </c>
      <c r="I689" s="5">
        <f>VLOOKUP(E689,'2018_commission_structure'!$A$1:$I$4,9,FALSE)</f>
        <v>500000</v>
      </c>
      <c r="J689" s="9">
        <f t="shared" si="103"/>
        <v>625000</v>
      </c>
      <c r="K689" s="10">
        <f t="shared" si="104"/>
        <v>750000</v>
      </c>
      <c r="L689" s="9">
        <f t="shared" si="105"/>
        <v>1000000</v>
      </c>
      <c r="M689" s="8">
        <f t="shared" si="106"/>
        <v>1.40367</v>
      </c>
      <c r="N689" t="str">
        <f t="shared" si="107"/>
        <v>125-150%</v>
      </c>
      <c r="O689" s="9">
        <f>MIN($H689,$I689)*INDEX('2018_commission_structure'!$A$1:$I$4,MATCH($E689,'2018_commission_structure'!$A$1:$A$4,0),MATCH(O$1,'2018_commission_structure'!$A$1:$I$1,0))</f>
        <v>50000</v>
      </c>
      <c r="P689" s="9">
        <f>IF(H689&gt;I689, MIN(H689-I689, J689-I689)*INDEX('2018_commission_structure'!$A$1:$I$4,MATCH($E689,'2018_commission_structure'!$A$1:$A$4,0),MATCH(P$1,'2018_commission_structure'!$A$1:$I$1,0)),0)</f>
        <v>18750</v>
      </c>
      <c r="Q689" s="9">
        <f>IF($H689&gt;J689, MIN($H689-J689, K689-J689)*INDEX('2018_commission_structure'!$A$1:$I$4,MATCH($E689,'2018_commission_structure'!$A$1:$A$4,0),MATCH(Q$1,'2018_commission_structure'!$A$1:$I$1,0)),0)</f>
        <v>13830.3</v>
      </c>
      <c r="R689" s="9">
        <f>IF($H689&gt;K689, MIN($H689-K689, L689-K689)*INDEX('2018_commission_structure'!$A$1:$I$4,MATCH($E689,'2018_commission_structure'!$A$1:$A$4,0),MATCH(R$1,'2018_commission_structure'!$A$1:$I$1,0)),0)</f>
        <v>0</v>
      </c>
      <c r="S689" s="9">
        <f>IF(H689&gt;L689,(H689-L689)*INDEX('2018_commission_structure'!$A$1:$I$4,MATCH($E689,'2018_commission_structure'!$A$1:$A$4,0),MATCH(S$1,'2018_commission_structure'!$A$1:$I$1,0)),0)</f>
        <v>0</v>
      </c>
      <c r="T689" s="9">
        <f t="shared" si="108"/>
        <v>82580.3</v>
      </c>
      <c r="U689" s="9">
        <f t="shared" si="110"/>
        <v>132128.29999999999</v>
      </c>
      <c r="V689" s="9">
        <f>MIN($I689,$H689)*INDEX('Key Metrics'!$E$16:$N$19,MATCH($E689,'Key Metrics'!$E$16:$E$19,0),MATCH(V$1,'Key Metrics'!$E$16:$M$16,0))</f>
        <v>60000</v>
      </c>
      <c r="W689" s="9">
        <f>IF($H689&gt;I689, MIN($H689-I689, J689-I689)*INDEX('Key Metrics'!$E$16:$N$19,MATCH($E689,'Key Metrics'!$E$16:$E$19,0),MATCH(W$1,'Key Metrics'!$E$16:$M$16,0)),0)</f>
        <v>21250</v>
      </c>
      <c r="X689" s="9">
        <f>IF($H689&gt;J689, MIN($H689-J689, K689-J689)*INDEX('Key Metrics'!$E$16:$N$19,MATCH($E689,'Key Metrics'!$E$16:$E$19,0),MATCH(X$1,'Key Metrics'!$E$16:$M$16,0)),0)</f>
        <v>15367</v>
      </c>
      <c r="Y689" s="9">
        <f>IF($H689&gt;K689, MIN($H689-K689, L689-K689)*INDEX('Key Metrics'!$E$16:$N$19,MATCH($E689,'Key Metrics'!$E$16:$E$19,0),MATCH(Y$1,'Key Metrics'!$E$16:$M$16,0)),0)</f>
        <v>0</v>
      </c>
      <c r="Z689" s="9">
        <f>IF($H689&gt;L689,($H689-L689)*INDEX('Key Metrics'!$E$16:$N$19,MATCH($E689,'Key Metrics'!$E$16:$E$19,0),MATCH(Z$1,'Key Metrics'!$E$16:$M$16,0)),0)</f>
        <v>0</v>
      </c>
      <c r="AA689" s="9">
        <f t="shared" si="109"/>
        <v>96617</v>
      </c>
      <c r="AB689" s="9">
        <f t="shared" si="111"/>
        <v>96618.40367</v>
      </c>
    </row>
    <row r="690" spans="1:28" x14ac:dyDescent="0.55000000000000004">
      <c r="A690" t="str">
        <f t="shared" si="102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COUNTIF(deals_closed!$D$2:$D$20001,Calculations!B317)</f>
        <v>18</v>
      </c>
      <c r="H690" s="7">
        <f>SUMIF(deals_closed!$D:$D,Calculations!B317,deals_closed!$C:$C)</f>
        <v>652900</v>
      </c>
      <c r="I690" s="5">
        <f>VLOOKUP(E690,'2018_commission_structure'!$A$1:$I$4,9,FALSE)</f>
        <v>600000</v>
      </c>
      <c r="J690" s="9">
        <f t="shared" si="103"/>
        <v>750000</v>
      </c>
      <c r="K690" s="10">
        <f t="shared" si="104"/>
        <v>900000</v>
      </c>
      <c r="L690" s="9">
        <f t="shared" si="105"/>
        <v>1200000</v>
      </c>
      <c r="M690" s="8">
        <f t="shared" si="106"/>
        <v>1.0881666666666667</v>
      </c>
      <c r="N690" t="str">
        <f t="shared" si="107"/>
        <v>100-125%</v>
      </c>
      <c r="O690" s="9">
        <f>MIN($H690,$I690)*INDEX('2018_commission_structure'!$A$1:$I$4,MATCH($E690,'2018_commission_structure'!$A$1:$A$4,0),MATCH(O$1,'2018_commission_structure'!$A$1:$I$1,0))</f>
        <v>78000</v>
      </c>
      <c r="P690" s="9">
        <f>IF(H690&gt;I690, MIN(H690-I690, J690-I690)*INDEX('2018_commission_structure'!$A$1:$I$4,MATCH($E690,'2018_commission_structure'!$A$1:$A$4,0),MATCH(P$1,'2018_commission_structure'!$A$1:$I$1,0)),0)</f>
        <v>8993</v>
      </c>
      <c r="Q690" s="9">
        <f>IF($H690&gt;J690, MIN($H690-J690, K690-J690)*INDEX('2018_commission_structure'!$A$1:$I$4,MATCH($E690,'2018_commission_structure'!$A$1:$A$4,0),MATCH(Q$1,'2018_commission_structure'!$A$1:$I$1,0)),0)</f>
        <v>0</v>
      </c>
      <c r="R690" s="9">
        <f>IF($H690&gt;K690, MIN($H690-K690, L690-K690)*INDEX('2018_commission_structure'!$A$1:$I$4,MATCH($E690,'2018_commission_structure'!$A$1:$A$4,0),MATCH(R$1,'2018_commission_structure'!$A$1:$I$1,0)),0)</f>
        <v>0</v>
      </c>
      <c r="S690" s="9">
        <f>IF(H690&gt;L690,(H690-L690)*INDEX('2018_commission_structure'!$A$1:$I$4,MATCH($E690,'2018_commission_structure'!$A$1:$A$4,0),MATCH(S$1,'2018_commission_structure'!$A$1:$I$1,0)),0)</f>
        <v>0</v>
      </c>
      <c r="T690" s="9">
        <f t="shared" si="108"/>
        <v>86993</v>
      </c>
      <c r="U690" s="9">
        <f t="shared" si="110"/>
        <v>159352</v>
      </c>
      <c r="V690" s="9">
        <f>MIN($I690,$H690)*INDEX('Key Metrics'!$E$16:$N$19,MATCH($E690,'Key Metrics'!$E$16:$E$19,0),MATCH(V$1,'Key Metrics'!$E$16:$M$16,0))</f>
        <v>90000</v>
      </c>
      <c r="W690" s="9">
        <f>IF($H690&gt;I690, MIN($H690-I690, J690-I690)*INDEX('Key Metrics'!$E$16:$N$19,MATCH($E690,'Key Metrics'!$E$16:$E$19,0),MATCH(W$1,'Key Metrics'!$E$16:$M$16,0)),0)</f>
        <v>9522</v>
      </c>
      <c r="X690" s="9">
        <f>IF($H690&gt;J690, MIN($H690-J690, K690-J690)*INDEX('Key Metrics'!$E$16:$N$19,MATCH($E690,'Key Metrics'!$E$16:$E$19,0),MATCH(X$1,'Key Metrics'!$E$16:$M$16,0)),0)</f>
        <v>0</v>
      </c>
      <c r="Y690" s="9">
        <f>IF($H690&gt;K690, MIN($H690-K690, L690-K690)*INDEX('Key Metrics'!$E$16:$N$19,MATCH($E690,'Key Metrics'!$E$16:$E$19,0),MATCH(Y$1,'Key Metrics'!$E$16:$M$16,0)),0)</f>
        <v>0</v>
      </c>
      <c r="Z690" s="9">
        <f>IF($H690&gt;L690,($H690-L690)*INDEX('Key Metrics'!$E$16:$N$19,MATCH($E690,'Key Metrics'!$E$16:$E$19,0),MATCH(Z$1,'Key Metrics'!$E$16:$M$16,0)),0)</f>
        <v>0</v>
      </c>
      <c r="AA690" s="9">
        <f t="shared" si="109"/>
        <v>99522</v>
      </c>
      <c r="AB690" s="9">
        <f t="shared" si="111"/>
        <v>99523.088166666668</v>
      </c>
    </row>
    <row r="691" spans="1:28" x14ac:dyDescent="0.55000000000000004">
      <c r="A691" t="str">
        <f t="shared" si="102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COUNTIF(deals_closed!$D$2:$D$20001,Calculations!B81)</f>
        <v>26</v>
      </c>
      <c r="H691" s="7">
        <f>SUMIF(deals_closed!$D:$D,Calculations!B81,deals_closed!$C:$C)</f>
        <v>1001970</v>
      </c>
      <c r="I691" s="5">
        <f>VLOOKUP(E691,'2018_commission_structure'!$A$1:$I$4,9,FALSE)</f>
        <v>750000</v>
      </c>
      <c r="J691" s="9">
        <f t="shared" si="103"/>
        <v>937500</v>
      </c>
      <c r="K691" s="10">
        <f t="shared" si="104"/>
        <v>1125000</v>
      </c>
      <c r="L691" s="9">
        <f t="shared" si="105"/>
        <v>1500000</v>
      </c>
      <c r="M691" s="8">
        <f t="shared" si="106"/>
        <v>1.33596</v>
      </c>
      <c r="N691" t="str">
        <f t="shared" si="107"/>
        <v>125-150%</v>
      </c>
      <c r="O691" s="9">
        <f>MIN($H691,$I691)*INDEX('2018_commission_structure'!$A$1:$I$4,MATCH($E691,'2018_commission_structure'!$A$1:$A$4,0),MATCH(O$1,'2018_commission_structure'!$A$1:$I$1,0))</f>
        <v>112500</v>
      </c>
      <c r="P691" s="9">
        <f>IF(H691&gt;I691, MIN(H691-I691, J691-I691)*INDEX('2018_commission_structure'!$A$1:$I$4,MATCH($E691,'2018_commission_structure'!$A$1:$A$4,0),MATCH(P$1,'2018_commission_structure'!$A$1:$I$1,0)),0)</f>
        <v>35625</v>
      </c>
      <c r="Q691" s="9">
        <f>IF($H691&gt;J691, MIN($H691-J691, K691-J691)*INDEX('2018_commission_structure'!$A$1:$I$4,MATCH($E691,'2018_commission_structure'!$A$1:$A$4,0),MATCH(Q$1,'2018_commission_structure'!$A$1:$I$1,0)),0)</f>
        <v>14828.1</v>
      </c>
      <c r="R691" s="9">
        <f>IF($H691&gt;K691, MIN($H691-K691, L691-K691)*INDEX('2018_commission_structure'!$A$1:$I$4,MATCH($E691,'2018_commission_structure'!$A$1:$A$4,0),MATCH(R$1,'2018_commission_structure'!$A$1:$I$1,0)),0)</f>
        <v>0</v>
      </c>
      <c r="S691" s="9">
        <f>IF(H691&gt;L691,(H691-L691)*INDEX('2018_commission_structure'!$A$1:$I$4,MATCH($E691,'2018_commission_structure'!$A$1:$A$4,0),MATCH(S$1,'2018_commission_structure'!$A$1:$I$1,0)),0)</f>
        <v>0</v>
      </c>
      <c r="T691" s="9">
        <f t="shared" si="108"/>
        <v>162953.1</v>
      </c>
      <c r="U691" s="9">
        <f t="shared" si="110"/>
        <v>287653.09999999998</v>
      </c>
      <c r="V691" s="9">
        <f>MIN($I691,$H691)*INDEX('Key Metrics'!$E$16:$N$19,MATCH($E691,'Key Metrics'!$E$16:$E$19,0),MATCH(V$1,'Key Metrics'!$E$16:$M$16,0))</f>
        <v>112500</v>
      </c>
      <c r="W691" s="9">
        <f>IF($H691&gt;I691, MIN($H691-I691, J691-I691)*INDEX('Key Metrics'!$E$16:$N$19,MATCH($E691,'Key Metrics'!$E$16:$E$19,0),MATCH(W$1,'Key Metrics'!$E$16:$M$16,0)),0)</f>
        <v>41250</v>
      </c>
      <c r="X691" s="9">
        <f>IF($H691&gt;J691, MIN($H691-J691, K691-J691)*INDEX('Key Metrics'!$E$16:$N$19,MATCH($E691,'Key Metrics'!$E$16:$E$19,0),MATCH(X$1,'Key Metrics'!$E$16:$M$16,0)),0)</f>
        <v>16117.5</v>
      </c>
      <c r="Y691" s="9">
        <f>IF($H691&gt;K691, MIN($H691-K691, L691-K691)*INDEX('Key Metrics'!$E$16:$N$19,MATCH($E691,'Key Metrics'!$E$16:$E$19,0),MATCH(Y$1,'Key Metrics'!$E$16:$M$16,0)),0)</f>
        <v>0</v>
      </c>
      <c r="Z691" s="9">
        <f>IF($H691&gt;L691,($H691-L691)*INDEX('Key Metrics'!$E$16:$N$19,MATCH($E691,'Key Metrics'!$E$16:$E$19,0),MATCH(Z$1,'Key Metrics'!$E$16:$M$16,0)),0)</f>
        <v>0</v>
      </c>
      <c r="AA691" s="9">
        <f t="shared" si="109"/>
        <v>169867.5</v>
      </c>
      <c r="AB691" s="9">
        <f t="shared" si="111"/>
        <v>169868.83596</v>
      </c>
    </row>
    <row r="692" spans="1:28" x14ac:dyDescent="0.55000000000000004">
      <c r="A692" t="str">
        <f t="shared" si="102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COUNTIF(deals_closed!$D$2:$D$20001,Calculations!B769)</f>
        <v>14</v>
      </c>
      <c r="H692" s="7">
        <f>SUMIF(deals_closed!$D:$D,Calculations!B769,deals_closed!$C:$C)</f>
        <v>474985</v>
      </c>
      <c r="I692" s="5">
        <f>VLOOKUP(E692,'2018_commission_structure'!$A$1:$I$4,9,FALSE)</f>
        <v>500000</v>
      </c>
      <c r="J692" s="9">
        <f t="shared" si="103"/>
        <v>625000</v>
      </c>
      <c r="K692" s="10">
        <f t="shared" si="104"/>
        <v>750000</v>
      </c>
      <c r="L692" s="9">
        <f t="shared" si="105"/>
        <v>1000000</v>
      </c>
      <c r="M692" s="8">
        <f t="shared" si="106"/>
        <v>0.94996999999999998</v>
      </c>
      <c r="N692" t="str">
        <f t="shared" si="107"/>
        <v>0-100%</v>
      </c>
      <c r="O692" s="9">
        <f>MIN($H692,$I692)*INDEX('2018_commission_structure'!$A$1:$I$4,MATCH($E692,'2018_commission_structure'!$A$1:$A$4,0),MATCH(O$1,'2018_commission_structure'!$A$1:$I$1,0))</f>
        <v>47498.5</v>
      </c>
      <c r="P692" s="9">
        <f>IF(H692&gt;I692, MIN(H692-I692, J692-I692)*INDEX('2018_commission_structure'!$A$1:$I$4,MATCH($E692,'2018_commission_structure'!$A$1:$A$4,0),MATCH(P$1,'2018_commission_structure'!$A$1:$I$1,0)),0)</f>
        <v>0</v>
      </c>
      <c r="Q692" s="9">
        <f>IF($H692&gt;J692, MIN($H692-J692, K692-J692)*INDEX('2018_commission_structure'!$A$1:$I$4,MATCH($E692,'2018_commission_structure'!$A$1:$A$4,0),MATCH(Q$1,'2018_commission_structure'!$A$1:$I$1,0)),0)</f>
        <v>0</v>
      </c>
      <c r="R692" s="9">
        <f>IF($H692&gt;K692, MIN($H692-K692, L692-K692)*INDEX('2018_commission_structure'!$A$1:$I$4,MATCH($E692,'2018_commission_structure'!$A$1:$A$4,0),MATCH(R$1,'2018_commission_structure'!$A$1:$I$1,0)),0)</f>
        <v>0</v>
      </c>
      <c r="S692" s="9">
        <f>IF(H692&gt;L692,(H692-L692)*INDEX('2018_commission_structure'!$A$1:$I$4,MATCH($E692,'2018_commission_structure'!$A$1:$A$4,0),MATCH(S$1,'2018_commission_structure'!$A$1:$I$1,0)),0)</f>
        <v>0</v>
      </c>
      <c r="T692" s="9">
        <f t="shared" si="108"/>
        <v>47498.5</v>
      </c>
      <c r="U692" s="9">
        <f t="shared" si="110"/>
        <v>79882.5</v>
      </c>
      <c r="V692" s="9">
        <f>MIN($I692,$H692)*INDEX('Key Metrics'!$E$16:$N$19,MATCH($E692,'Key Metrics'!$E$16:$E$19,0),MATCH(V$1,'Key Metrics'!$E$16:$M$16,0))</f>
        <v>56998.2</v>
      </c>
      <c r="W692" s="9">
        <f>IF($H692&gt;I692, MIN($H692-I692, J692-I692)*INDEX('Key Metrics'!$E$16:$N$19,MATCH($E692,'Key Metrics'!$E$16:$E$19,0),MATCH(W$1,'Key Metrics'!$E$16:$M$16,0)),0)</f>
        <v>0</v>
      </c>
      <c r="X692" s="9">
        <f>IF($H692&gt;J692, MIN($H692-J692, K692-J692)*INDEX('Key Metrics'!$E$16:$N$19,MATCH($E692,'Key Metrics'!$E$16:$E$19,0),MATCH(X$1,'Key Metrics'!$E$16:$M$16,0)),0)</f>
        <v>0</v>
      </c>
      <c r="Y692" s="9">
        <f>IF($H692&gt;K692, MIN($H692-K692, L692-K692)*INDEX('Key Metrics'!$E$16:$N$19,MATCH($E692,'Key Metrics'!$E$16:$E$19,0),MATCH(Y$1,'Key Metrics'!$E$16:$M$16,0)),0)</f>
        <v>0</v>
      </c>
      <c r="Z692" s="9">
        <f>IF($H692&gt;L692,($H692-L692)*INDEX('Key Metrics'!$E$16:$N$19,MATCH($E692,'Key Metrics'!$E$16:$E$19,0),MATCH(Z$1,'Key Metrics'!$E$16:$M$16,0)),0)</f>
        <v>0</v>
      </c>
      <c r="AA692" s="9">
        <f t="shared" si="109"/>
        <v>56998.2</v>
      </c>
      <c r="AB692" s="9">
        <f t="shared" si="111"/>
        <v>56999.149969999999</v>
      </c>
    </row>
    <row r="693" spans="1:28" x14ac:dyDescent="0.55000000000000004">
      <c r="A693" t="str">
        <f t="shared" si="102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COUNTIF(deals_closed!$D$2:$D$20001,Calculations!B850)</f>
        <v>22</v>
      </c>
      <c r="H693" s="7">
        <f>SUMIF(deals_closed!$D:$D,Calculations!B850,deals_closed!$C:$C)</f>
        <v>661132</v>
      </c>
      <c r="I693" s="5">
        <f>VLOOKUP(E693,'2018_commission_structure'!$A$1:$I$4,9,FALSE)</f>
        <v>750000</v>
      </c>
      <c r="J693" s="9">
        <f t="shared" si="103"/>
        <v>937500</v>
      </c>
      <c r="K693" s="10">
        <f t="shared" si="104"/>
        <v>1125000</v>
      </c>
      <c r="L693" s="9">
        <f t="shared" si="105"/>
        <v>1500000</v>
      </c>
      <c r="M693" s="8">
        <f t="shared" si="106"/>
        <v>0.88150933333333337</v>
      </c>
      <c r="N693" t="str">
        <f t="shared" si="107"/>
        <v>0-100%</v>
      </c>
      <c r="O693" s="9">
        <f>MIN($H693,$I693)*INDEX('2018_commission_structure'!$A$1:$I$4,MATCH($E693,'2018_commission_structure'!$A$1:$A$4,0),MATCH(O$1,'2018_commission_structure'!$A$1:$I$1,0))</f>
        <v>99169.8</v>
      </c>
      <c r="P693" s="9">
        <f>IF(H693&gt;I693, MIN(H693-I693, J693-I693)*INDEX('2018_commission_structure'!$A$1:$I$4,MATCH($E693,'2018_commission_structure'!$A$1:$A$4,0),MATCH(P$1,'2018_commission_structure'!$A$1:$I$1,0)),0)</f>
        <v>0</v>
      </c>
      <c r="Q693" s="9">
        <f>IF($H693&gt;J693, MIN($H693-J693, K693-J693)*INDEX('2018_commission_structure'!$A$1:$I$4,MATCH($E693,'2018_commission_structure'!$A$1:$A$4,0),MATCH(Q$1,'2018_commission_structure'!$A$1:$I$1,0)),0)</f>
        <v>0</v>
      </c>
      <c r="R693" s="9">
        <f>IF($H693&gt;K693, MIN($H693-K693, L693-K693)*INDEX('2018_commission_structure'!$A$1:$I$4,MATCH($E693,'2018_commission_structure'!$A$1:$A$4,0),MATCH(R$1,'2018_commission_structure'!$A$1:$I$1,0)),0)</f>
        <v>0</v>
      </c>
      <c r="S693" s="9">
        <f>IF(H693&gt;L693,(H693-L693)*INDEX('2018_commission_structure'!$A$1:$I$4,MATCH($E693,'2018_commission_structure'!$A$1:$A$4,0),MATCH(S$1,'2018_commission_structure'!$A$1:$I$1,0)),0)</f>
        <v>0</v>
      </c>
      <c r="T693" s="9">
        <f t="shared" si="108"/>
        <v>99169.8</v>
      </c>
      <c r="U693" s="9">
        <f t="shared" si="110"/>
        <v>202117.8</v>
      </c>
      <c r="V693" s="9">
        <f>MIN($I693,$H693)*INDEX('Key Metrics'!$E$16:$N$19,MATCH($E693,'Key Metrics'!$E$16:$E$19,0),MATCH(V$1,'Key Metrics'!$E$16:$M$16,0))</f>
        <v>99169.8</v>
      </c>
      <c r="W693" s="9">
        <f>IF($H693&gt;I693, MIN($H693-I693, J693-I693)*INDEX('Key Metrics'!$E$16:$N$19,MATCH($E693,'Key Metrics'!$E$16:$E$19,0),MATCH(W$1,'Key Metrics'!$E$16:$M$16,0)),0)</f>
        <v>0</v>
      </c>
      <c r="X693" s="9">
        <f>IF($H693&gt;J693, MIN($H693-J693, K693-J693)*INDEX('Key Metrics'!$E$16:$N$19,MATCH($E693,'Key Metrics'!$E$16:$E$19,0),MATCH(X$1,'Key Metrics'!$E$16:$M$16,0)),0)</f>
        <v>0</v>
      </c>
      <c r="Y693" s="9">
        <f>IF($H693&gt;K693, MIN($H693-K693, L693-K693)*INDEX('Key Metrics'!$E$16:$N$19,MATCH($E693,'Key Metrics'!$E$16:$E$19,0),MATCH(Y$1,'Key Metrics'!$E$16:$M$16,0)),0)</f>
        <v>0</v>
      </c>
      <c r="Z693" s="9">
        <f>IF($H693&gt;L693,($H693-L693)*INDEX('Key Metrics'!$E$16:$N$19,MATCH($E693,'Key Metrics'!$E$16:$E$19,0),MATCH(Z$1,'Key Metrics'!$E$16:$M$16,0)),0)</f>
        <v>0</v>
      </c>
      <c r="AA693" s="9">
        <f t="shared" si="109"/>
        <v>99169.8</v>
      </c>
      <c r="AB693" s="9">
        <f t="shared" si="111"/>
        <v>99170.681509333343</v>
      </c>
    </row>
    <row r="694" spans="1:28" x14ac:dyDescent="0.55000000000000004">
      <c r="A694" t="str">
        <f t="shared" si="102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COUNTIF(deals_closed!$D$2:$D$20001,Calculations!B764)</f>
        <v>19</v>
      </c>
      <c r="H694" s="7">
        <f>SUMIF(deals_closed!$D:$D,Calculations!B764,deals_closed!$C:$C)</f>
        <v>707519</v>
      </c>
      <c r="I694" s="5">
        <f>VLOOKUP(E694,'2018_commission_structure'!$A$1:$I$4,9,FALSE)</f>
        <v>500000</v>
      </c>
      <c r="J694" s="9">
        <f t="shared" si="103"/>
        <v>625000</v>
      </c>
      <c r="K694" s="10">
        <f t="shared" si="104"/>
        <v>750000</v>
      </c>
      <c r="L694" s="9">
        <f t="shared" si="105"/>
        <v>1000000</v>
      </c>
      <c r="M694" s="8">
        <f t="shared" si="106"/>
        <v>1.415038</v>
      </c>
      <c r="N694" t="str">
        <f t="shared" si="107"/>
        <v>125-150%</v>
      </c>
      <c r="O694" s="9">
        <f>MIN($H694,$I694)*INDEX('2018_commission_structure'!$A$1:$I$4,MATCH($E694,'2018_commission_structure'!$A$1:$A$4,0),MATCH(O$1,'2018_commission_structure'!$A$1:$I$1,0))</f>
        <v>50000</v>
      </c>
      <c r="P694" s="9">
        <f>IF(H694&gt;I694, MIN(H694-I694, J694-I694)*INDEX('2018_commission_structure'!$A$1:$I$4,MATCH($E694,'2018_commission_structure'!$A$1:$A$4,0),MATCH(P$1,'2018_commission_structure'!$A$1:$I$1,0)),0)</f>
        <v>18750</v>
      </c>
      <c r="Q694" s="9">
        <f>IF($H694&gt;J694, MIN($H694-J694, K694-J694)*INDEX('2018_commission_structure'!$A$1:$I$4,MATCH($E694,'2018_commission_structure'!$A$1:$A$4,0),MATCH(Q$1,'2018_commission_structure'!$A$1:$I$1,0)),0)</f>
        <v>14853.42</v>
      </c>
      <c r="R694" s="9">
        <f>IF($H694&gt;K694, MIN($H694-K694, L694-K694)*INDEX('2018_commission_structure'!$A$1:$I$4,MATCH($E694,'2018_commission_structure'!$A$1:$A$4,0),MATCH(R$1,'2018_commission_structure'!$A$1:$I$1,0)),0)</f>
        <v>0</v>
      </c>
      <c r="S694" s="9">
        <f>IF(H694&gt;L694,(H694-L694)*INDEX('2018_commission_structure'!$A$1:$I$4,MATCH($E694,'2018_commission_structure'!$A$1:$A$4,0),MATCH(S$1,'2018_commission_structure'!$A$1:$I$1,0)),0)</f>
        <v>0</v>
      </c>
      <c r="T694" s="9">
        <f t="shared" si="108"/>
        <v>83603.42</v>
      </c>
      <c r="U694" s="9">
        <f t="shared" si="110"/>
        <v>114372.42</v>
      </c>
      <c r="V694" s="9">
        <f>MIN($I694,$H694)*INDEX('Key Metrics'!$E$16:$N$19,MATCH($E694,'Key Metrics'!$E$16:$E$19,0),MATCH(V$1,'Key Metrics'!$E$16:$M$16,0))</f>
        <v>60000</v>
      </c>
      <c r="W694" s="9">
        <f>IF($H694&gt;I694, MIN($H694-I694, J694-I694)*INDEX('Key Metrics'!$E$16:$N$19,MATCH($E694,'Key Metrics'!$E$16:$E$19,0),MATCH(W$1,'Key Metrics'!$E$16:$M$16,0)),0)</f>
        <v>21250</v>
      </c>
      <c r="X694" s="9">
        <f>IF($H694&gt;J694, MIN($H694-J694, K694-J694)*INDEX('Key Metrics'!$E$16:$N$19,MATCH($E694,'Key Metrics'!$E$16:$E$19,0),MATCH(X$1,'Key Metrics'!$E$16:$M$16,0)),0)</f>
        <v>16503.8</v>
      </c>
      <c r="Y694" s="9">
        <f>IF($H694&gt;K694, MIN($H694-K694, L694-K694)*INDEX('Key Metrics'!$E$16:$N$19,MATCH($E694,'Key Metrics'!$E$16:$E$19,0),MATCH(Y$1,'Key Metrics'!$E$16:$M$16,0)),0)</f>
        <v>0</v>
      </c>
      <c r="Z694" s="9">
        <f>IF($H694&gt;L694,($H694-L694)*INDEX('Key Metrics'!$E$16:$N$19,MATCH($E694,'Key Metrics'!$E$16:$E$19,0),MATCH(Z$1,'Key Metrics'!$E$16:$M$16,0)),0)</f>
        <v>0</v>
      </c>
      <c r="AA694" s="9">
        <f t="shared" si="109"/>
        <v>97753.8</v>
      </c>
      <c r="AB694" s="9">
        <f t="shared" si="111"/>
        <v>97755.215038000009</v>
      </c>
    </row>
    <row r="695" spans="1:28" x14ac:dyDescent="0.55000000000000004">
      <c r="A695" t="str">
        <f t="shared" si="102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COUNTIF(deals_closed!$D$2:$D$20001,Calculations!B656)</f>
        <v>21</v>
      </c>
      <c r="H695" s="7">
        <f>SUMIF(deals_closed!$D:$D,Calculations!B656,deals_closed!$C:$C)</f>
        <v>654637</v>
      </c>
      <c r="I695" s="5">
        <f>VLOOKUP(E695,'2018_commission_structure'!$A$1:$I$4,9,FALSE)</f>
        <v>500000</v>
      </c>
      <c r="J695" s="9">
        <f t="shared" si="103"/>
        <v>625000</v>
      </c>
      <c r="K695" s="10">
        <f t="shared" si="104"/>
        <v>750000</v>
      </c>
      <c r="L695" s="9">
        <f t="shared" si="105"/>
        <v>1000000</v>
      </c>
      <c r="M695" s="8">
        <f t="shared" si="106"/>
        <v>1.309274</v>
      </c>
      <c r="N695" t="str">
        <f t="shared" si="107"/>
        <v>125-150%</v>
      </c>
      <c r="O695" s="9">
        <f>MIN($H695,$I695)*INDEX('2018_commission_structure'!$A$1:$I$4,MATCH($E695,'2018_commission_structure'!$A$1:$A$4,0),MATCH(O$1,'2018_commission_structure'!$A$1:$I$1,0))</f>
        <v>50000</v>
      </c>
      <c r="P695" s="9">
        <f>IF(H695&gt;I695, MIN(H695-I695, J695-I695)*INDEX('2018_commission_structure'!$A$1:$I$4,MATCH($E695,'2018_commission_structure'!$A$1:$A$4,0),MATCH(P$1,'2018_commission_structure'!$A$1:$I$1,0)),0)</f>
        <v>18750</v>
      </c>
      <c r="Q695" s="9">
        <f>IF($H695&gt;J695, MIN($H695-J695, K695-J695)*INDEX('2018_commission_structure'!$A$1:$I$4,MATCH($E695,'2018_commission_structure'!$A$1:$A$4,0),MATCH(Q$1,'2018_commission_structure'!$A$1:$I$1,0)),0)</f>
        <v>5334.66</v>
      </c>
      <c r="R695" s="9">
        <f>IF($H695&gt;K695, MIN($H695-K695, L695-K695)*INDEX('2018_commission_structure'!$A$1:$I$4,MATCH($E695,'2018_commission_structure'!$A$1:$A$4,0),MATCH(R$1,'2018_commission_structure'!$A$1:$I$1,0)),0)</f>
        <v>0</v>
      </c>
      <c r="S695" s="9">
        <f>IF(H695&gt;L695,(H695-L695)*INDEX('2018_commission_structure'!$A$1:$I$4,MATCH($E695,'2018_commission_structure'!$A$1:$A$4,0),MATCH(S$1,'2018_commission_structure'!$A$1:$I$1,0)),0)</f>
        <v>0</v>
      </c>
      <c r="T695" s="9">
        <f t="shared" si="108"/>
        <v>74084.66</v>
      </c>
      <c r="U695" s="9">
        <f t="shared" si="110"/>
        <v>121762.66</v>
      </c>
      <c r="V695" s="9">
        <f>MIN($I695,$H695)*INDEX('Key Metrics'!$E$16:$N$19,MATCH($E695,'Key Metrics'!$E$16:$E$19,0),MATCH(V$1,'Key Metrics'!$E$16:$M$16,0))</f>
        <v>60000</v>
      </c>
      <c r="W695" s="9">
        <f>IF($H695&gt;I695, MIN($H695-I695, J695-I695)*INDEX('Key Metrics'!$E$16:$N$19,MATCH($E695,'Key Metrics'!$E$16:$E$19,0),MATCH(W$1,'Key Metrics'!$E$16:$M$16,0)),0)</f>
        <v>21250</v>
      </c>
      <c r="X695" s="9">
        <f>IF($H695&gt;J695, MIN($H695-J695, K695-J695)*INDEX('Key Metrics'!$E$16:$N$19,MATCH($E695,'Key Metrics'!$E$16:$E$19,0),MATCH(X$1,'Key Metrics'!$E$16:$M$16,0)),0)</f>
        <v>5927.4000000000005</v>
      </c>
      <c r="Y695" s="9">
        <f>IF($H695&gt;K695, MIN($H695-K695, L695-K695)*INDEX('Key Metrics'!$E$16:$N$19,MATCH($E695,'Key Metrics'!$E$16:$E$19,0),MATCH(Y$1,'Key Metrics'!$E$16:$M$16,0)),0)</f>
        <v>0</v>
      </c>
      <c r="Z695" s="9">
        <f>IF($H695&gt;L695,($H695-L695)*INDEX('Key Metrics'!$E$16:$N$19,MATCH($E695,'Key Metrics'!$E$16:$E$19,0),MATCH(Z$1,'Key Metrics'!$E$16:$M$16,0)),0)</f>
        <v>0</v>
      </c>
      <c r="AA695" s="9">
        <f t="shared" si="109"/>
        <v>87177.4</v>
      </c>
      <c r="AB695" s="9">
        <f t="shared" si="111"/>
        <v>87178.709273999993</v>
      </c>
    </row>
    <row r="696" spans="1:28" x14ac:dyDescent="0.55000000000000004">
      <c r="A696" t="str">
        <f t="shared" si="102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COUNTIF(deals_closed!$D$2:$D$20001,Calculations!B777)</f>
        <v>18</v>
      </c>
      <c r="H696" s="7">
        <f>SUMIF(deals_closed!$D:$D,Calculations!B777,deals_closed!$C:$C)</f>
        <v>696346</v>
      </c>
      <c r="I696" s="5">
        <f>VLOOKUP(E696,'2018_commission_structure'!$A$1:$I$4,9,FALSE)</f>
        <v>600000</v>
      </c>
      <c r="J696" s="9">
        <f t="shared" si="103"/>
        <v>750000</v>
      </c>
      <c r="K696" s="10">
        <f t="shared" si="104"/>
        <v>900000</v>
      </c>
      <c r="L696" s="9">
        <f t="shared" si="105"/>
        <v>1200000</v>
      </c>
      <c r="M696" s="8">
        <f t="shared" si="106"/>
        <v>1.1605766666666666</v>
      </c>
      <c r="N696" t="str">
        <f t="shared" si="107"/>
        <v>100-125%</v>
      </c>
      <c r="O696" s="9">
        <f>MIN($H696,$I696)*INDEX('2018_commission_structure'!$A$1:$I$4,MATCH($E696,'2018_commission_structure'!$A$1:$A$4,0),MATCH(O$1,'2018_commission_structure'!$A$1:$I$1,0))</f>
        <v>78000</v>
      </c>
      <c r="P696" s="9">
        <f>IF(H696&gt;I696, MIN(H696-I696, J696-I696)*INDEX('2018_commission_structure'!$A$1:$I$4,MATCH($E696,'2018_commission_structure'!$A$1:$A$4,0),MATCH(P$1,'2018_commission_structure'!$A$1:$I$1,0)),0)</f>
        <v>16378.820000000002</v>
      </c>
      <c r="Q696" s="9">
        <f>IF($H696&gt;J696, MIN($H696-J696, K696-J696)*INDEX('2018_commission_structure'!$A$1:$I$4,MATCH($E696,'2018_commission_structure'!$A$1:$A$4,0),MATCH(Q$1,'2018_commission_structure'!$A$1:$I$1,0)),0)</f>
        <v>0</v>
      </c>
      <c r="R696" s="9">
        <f>IF($H696&gt;K696, MIN($H696-K696, L696-K696)*INDEX('2018_commission_structure'!$A$1:$I$4,MATCH($E696,'2018_commission_structure'!$A$1:$A$4,0),MATCH(R$1,'2018_commission_structure'!$A$1:$I$1,0)),0)</f>
        <v>0</v>
      </c>
      <c r="S696" s="9">
        <f>IF(H696&gt;L696,(H696-L696)*INDEX('2018_commission_structure'!$A$1:$I$4,MATCH($E696,'2018_commission_structure'!$A$1:$A$4,0),MATCH(S$1,'2018_commission_structure'!$A$1:$I$1,0)),0)</f>
        <v>0</v>
      </c>
      <c r="T696" s="9">
        <f t="shared" si="108"/>
        <v>94378.82</v>
      </c>
      <c r="U696" s="9">
        <f t="shared" si="110"/>
        <v>165621.82</v>
      </c>
      <c r="V696" s="9">
        <f>MIN($I696,$H696)*INDEX('Key Metrics'!$E$16:$N$19,MATCH($E696,'Key Metrics'!$E$16:$E$19,0),MATCH(V$1,'Key Metrics'!$E$16:$M$16,0))</f>
        <v>90000</v>
      </c>
      <c r="W696" s="9">
        <f>IF($H696&gt;I696, MIN($H696-I696, J696-I696)*INDEX('Key Metrics'!$E$16:$N$19,MATCH($E696,'Key Metrics'!$E$16:$E$19,0),MATCH(W$1,'Key Metrics'!$E$16:$M$16,0)),0)</f>
        <v>17342.28</v>
      </c>
      <c r="X696" s="9">
        <f>IF($H696&gt;J696, MIN($H696-J696, K696-J696)*INDEX('Key Metrics'!$E$16:$N$19,MATCH($E696,'Key Metrics'!$E$16:$E$19,0),MATCH(X$1,'Key Metrics'!$E$16:$M$16,0)),0)</f>
        <v>0</v>
      </c>
      <c r="Y696" s="9">
        <f>IF($H696&gt;K696, MIN($H696-K696, L696-K696)*INDEX('Key Metrics'!$E$16:$N$19,MATCH($E696,'Key Metrics'!$E$16:$E$19,0),MATCH(Y$1,'Key Metrics'!$E$16:$M$16,0)),0)</f>
        <v>0</v>
      </c>
      <c r="Z696" s="9">
        <f>IF($H696&gt;L696,($H696-L696)*INDEX('Key Metrics'!$E$16:$N$19,MATCH($E696,'Key Metrics'!$E$16:$E$19,0),MATCH(Z$1,'Key Metrics'!$E$16:$M$16,0)),0)</f>
        <v>0</v>
      </c>
      <c r="AA696" s="9">
        <f t="shared" si="109"/>
        <v>107342.28</v>
      </c>
      <c r="AB696" s="9">
        <f t="shared" si="111"/>
        <v>107343.44057666666</v>
      </c>
    </row>
    <row r="697" spans="1:28" x14ac:dyDescent="0.55000000000000004">
      <c r="A697" t="str">
        <f t="shared" si="102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COUNTIF(deals_closed!$D$2:$D$20001,Calculations!B163)</f>
        <v>21</v>
      </c>
      <c r="H697" s="7">
        <f>SUMIF(deals_closed!$D:$D,Calculations!B163,deals_closed!$C:$C)</f>
        <v>742017</v>
      </c>
      <c r="I697" s="5">
        <f>VLOOKUP(E697,'2018_commission_structure'!$A$1:$I$4,9,FALSE)</f>
        <v>600000</v>
      </c>
      <c r="J697" s="9">
        <f t="shared" si="103"/>
        <v>750000</v>
      </c>
      <c r="K697" s="10">
        <f t="shared" si="104"/>
        <v>900000</v>
      </c>
      <c r="L697" s="9">
        <f t="shared" si="105"/>
        <v>1200000</v>
      </c>
      <c r="M697" s="8">
        <f t="shared" si="106"/>
        <v>1.2366950000000001</v>
      </c>
      <c r="N697" t="str">
        <f t="shared" si="107"/>
        <v>100-125%</v>
      </c>
      <c r="O697" s="9">
        <f>MIN($H697,$I697)*INDEX('2018_commission_structure'!$A$1:$I$4,MATCH($E697,'2018_commission_structure'!$A$1:$A$4,0),MATCH(O$1,'2018_commission_structure'!$A$1:$I$1,0))</f>
        <v>78000</v>
      </c>
      <c r="P697" s="9">
        <f>IF(H697&gt;I697, MIN(H697-I697, J697-I697)*INDEX('2018_commission_structure'!$A$1:$I$4,MATCH($E697,'2018_commission_structure'!$A$1:$A$4,0),MATCH(P$1,'2018_commission_structure'!$A$1:$I$1,0)),0)</f>
        <v>24142.890000000003</v>
      </c>
      <c r="Q697" s="9">
        <f>IF($H697&gt;J697, MIN($H697-J697, K697-J697)*INDEX('2018_commission_structure'!$A$1:$I$4,MATCH($E697,'2018_commission_structure'!$A$1:$A$4,0),MATCH(Q$1,'2018_commission_structure'!$A$1:$I$1,0)),0)</f>
        <v>0</v>
      </c>
      <c r="R697" s="9">
        <f>IF($H697&gt;K697, MIN($H697-K697, L697-K697)*INDEX('2018_commission_structure'!$A$1:$I$4,MATCH($E697,'2018_commission_structure'!$A$1:$A$4,0),MATCH(R$1,'2018_commission_structure'!$A$1:$I$1,0)),0)</f>
        <v>0</v>
      </c>
      <c r="S697" s="9">
        <f>IF(H697&gt;L697,(H697-L697)*INDEX('2018_commission_structure'!$A$1:$I$4,MATCH($E697,'2018_commission_structure'!$A$1:$A$4,0),MATCH(S$1,'2018_commission_structure'!$A$1:$I$1,0)),0)</f>
        <v>0</v>
      </c>
      <c r="T697" s="9">
        <f t="shared" si="108"/>
        <v>102142.89</v>
      </c>
      <c r="U697" s="9">
        <f t="shared" si="110"/>
        <v>157802.89000000001</v>
      </c>
      <c r="V697" s="9">
        <f>MIN($I697,$H697)*INDEX('Key Metrics'!$E$16:$N$19,MATCH($E697,'Key Metrics'!$E$16:$E$19,0),MATCH(V$1,'Key Metrics'!$E$16:$M$16,0))</f>
        <v>90000</v>
      </c>
      <c r="W697" s="9">
        <f>IF($H697&gt;I697, MIN($H697-I697, J697-I697)*INDEX('Key Metrics'!$E$16:$N$19,MATCH($E697,'Key Metrics'!$E$16:$E$19,0),MATCH(W$1,'Key Metrics'!$E$16:$M$16,0)),0)</f>
        <v>25563.059999999998</v>
      </c>
      <c r="X697" s="9">
        <f>IF($H697&gt;J697, MIN($H697-J697, K697-J697)*INDEX('Key Metrics'!$E$16:$N$19,MATCH($E697,'Key Metrics'!$E$16:$E$19,0),MATCH(X$1,'Key Metrics'!$E$16:$M$16,0)),0)</f>
        <v>0</v>
      </c>
      <c r="Y697" s="9">
        <f>IF($H697&gt;K697, MIN($H697-K697, L697-K697)*INDEX('Key Metrics'!$E$16:$N$19,MATCH($E697,'Key Metrics'!$E$16:$E$19,0),MATCH(Y$1,'Key Metrics'!$E$16:$M$16,0)),0)</f>
        <v>0</v>
      </c>
      <c r="Z697" s="9">
        <f>IF($H697&gt;L697,($H697-L697)*INDEX('Key Metrics'!$E$16:$N$19,MATCH($E697,'Key Metrics'!$E$16:$E$19,0),MATCH(Z$1,'Key Metrics'!$E$16:$M$16,0)),0)</f>
        <v>0</v>
      </c>
      <c r="AA697" s="9">
        <f t="shared" si="109"/>
        <v>115563.06</v>
      </c>
      <c r="AB697" s="9">
        <f t="shared" si="111"/>
        <v>115564.296695</v>
      </c>
    </row>
    <row r="698" spans="1:28" x14ac:dyDescent="0.55000000000000004">
      <c r="A698" t="str">
        <f t="shared" si="102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COUNTIF(deals_closed!$D$2:$D$20001,Calculations!B456)</f>
        <v>16</v>
      </c>
      <c r="H698" s="7">
        <f>SUMIF(deals_closed!$D:$D,Calculations!B456,deals_closed!$C:$C)</f>
        <v>625052</v>
      </c>
      <c r="I698" s="5">
        <f>VLOOKUP(E698,'2018_commission_structure'!$A$1:$I$4,9,FALSE)</f>
        <v>500000</v>
      </c>
      <c r="J698" s="9">
        <f t="shared" si="103"/>
        <v>625000</v>
      </c>
      <c r="K698" s="10">
        <f t="shared" si="104"/>
        <v>750000</v>
      </c>
      <c r="L698" s="9">
        <f t="shared" si="105"/>
        <v>1000000</v>
      </c>
      <c r="M698" s="8">
        <f t="shared" si="106"/>
        <v>1.2501040000000001</v>
      </c>
      <c r="N698" t="str">
        <f t="shared" si="107"/>
        <v>125-150%</v>
      </c>
      <c r="O698" s="9">
        <f>MIN($H698,$I698)*INDEX('2018_commission_structure'!$A$1:$I$4,MATCH($E698,'2018_commission_structure'!$A$1:$A$4,0),MATCH(O$1,'2018_commission_structure'!$A$1:$I$1,0))</f>
        <v>50000</v>
      </c>
      <c r="P698" s="9">
        <f>IF(H698&gt;I698, MIN(H698-I698, J698-I698)*INDEX('2018_commission_structure'!$A$1:$I$4,MATCH($E698,'2018_commission_structure'!$A$1:$A$4,0),MATCH(P$1,'2018_commission_structure'!$A$1:$I$1,0)),0)</f>
        <v>18750</v>
      </c>
      <c r="Q698" s="9">
        <f>IF($H698&gt;J698, MIN($H698-J698, K698-J698)*INDEX('2018_commission_structure'!$A$1:$I$4,MATCH($E698,'2018_commission_structure'!$A$1:$A$4,0),MATCH(Q$1,'2018_commission_structure'!$A$1:$I$1,0)),0)</f>
        <v>9.36</v>
      </c>
      <c r="R698" s="9">
        <f>IF($H698&gt;K698, MIN($H698-K698, L698-K698)*INDEX('2018_commission_structure'!$A$1:$I$4,MATCH($E698,'2018_commission_structure'!$A$1:$A$4,0),MATCH(R$1,'2018_commission_structure'!$A$1:$I$1,0)),0)</f>
        <v>0</v>
      </c>
      <c r="S698" s="9">
        <f>IF(H698&gt;L698,(H698-L698)*INDEX('2018_commission_structure'!$A$1:$I$4,MATCH($E698,'2018_commission_structure'!$A$1:$A$4,0),MATCH(S$1,'2018_commission_structure'!$A$1:$I$1,0)),0)</f>
        <v>0</v>
      </c>
      <c r="T698" s="9">
        <f t="shared" si="108"/>
        <v>68759.360000000001</v>
      </c>
      <c r="U698" s="9">
        <f t="shared" si="110"/>
        <v>127814.36</v>
      </c>
      <c r="V698" s="9">
        <f>MIN($I698,$H698)*INDEX('Key Metrics'!$E$16:$N$19,MATCH($E698,'Key Metrics'!$E$16:$E$19,0),MATCH(V$1,'Key Metrics'!$E$16:$M$16,0))</f>
        <v>60000</v>
      </c>
      <c r="W698" s="9">
        <f>IF($H698&gt;I698, MIN($H698-I698, J698-I698)*INDEX('Key Metrics'!$E$16:$N$19,MATCH($E698,'Key Metrics'!$E$16:$E$19,0),MATCH(W$1,'Key Metrics'!$E$16:$M$16,0)),0)</f>
        <v>21250</v>
      </c>
      <c r="X698" s="9">
        <f>IF($H698&gt;J698, MIN($H698-J698, K698-J698)*INDEX('Key Metrics'!$E$16:$N$19,MATCH($E698,'Key Metrics'!$E$16:$E$19,0),MATCH(X$1,'Key Metrics'!$E$16:$M$16,0)),0)</f>
        <v>10.4</v>
      </c>
      <c r="Y698" s="9">
        <f>IF($H698&gt;K698, MIN($H698-K698, L698-K698)*INDEX('Key Metrics'!$E$16:$N$19,MATCH($E698,'Key Metrics'!$E$16:$E$19,0),MATCH(Y$1,'Key Metrics'!$E$16:$M$16,0)),0)</f>
        <v>0</v>
      </c>
      <c r="Z698" s="9">
        <f>IF($H698&gt;L698,($H698-L698)*INDEX('Key Metrics'!$E$16:$N$19,MATCH($E698,'Key Metrics'!$E$16:$E$19,0),MATCH(Z$1,'Key Metrics'!$E$16:$M$16,0)),0)</f>
        <v>0</v>
      </c>
      <c r="AA698" s="9">
        <f t="shared" si="109"/>
        <v>81260.399999999994</v>
      </c>
      <c r="AB698" s="9">
        <f t="shared" si="111"/>
        <v>81261.650104</v>
      </c>
    </row>
    <row r="699" spans="1:28" x14ac:dyDescent="0.55000000000000004">
      <c r="A699" t="str">
        <f t="shared" si="102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COUNTIF(deals_closed!$D$2:$D$20001,Calculations!B517)</f>
        <v>18</v>
      </c>
      <c r="H699" s="7">
        <f>SUMIF(deals_closed!$D:$D,Calculations!B517,deals_closed!$C:$C)</f>
        <v>671362</v>
      </c>
      <c r="I699" s="5">
        <f>VLOOKUP(E699,'2018_commission_structure'!$A$1:$I$4,9,FALSE)</f>
        <v>600000</v>
      </c>
      <c r="J699" s="9">
        <f t="shared" si="103"/>
        <v>750000</v>
      </c>
      <c r="K699" s="10">
        <f t="shared" si="104"/>
        <v>900000</v>
      </c>
      <c r="L699" s="9">
        <f t="shared" si="105"/>
        <v>1200000</v>
      </c>
      <c r="M699" s="8">
        <f t="shared" si="106"/>
        <v>1.1189366666666667</v>
      </c>
      <c r="N699" t="str">
        <f t="shared" si="107"/>
        <v>100-125%</v>
      </c>
      <c r="O699" s="9">
        <f>MIN($H699,$I699)*INDEX('2018_commission_structure'!$A$1:$I$4,MATCH($E699,'2018_commission_structure'!$A$1:$A$4,0),MATCH(O$1,'2018_commission_structure'!$A$1:$I$1,0))</f>
        <v>78000</v>
      </c>
      <c r="P699" s="9">
        <f>IF(H699&gt;I699, MIN(H699-I699, J699-I699)*INDEX('2018_commission_structure'!$A$1:$I$4,MATCH($E699,'2018_commission_structure'!$A$1:$A$4,0),MATCH(P$1,'2018_commission_structure'!$A$1:$I$1,0)),0)</f>
        <v>12131.54</v>
      </c>
      <c r="Q699" s="9">
        <f>IF($H699&gt;J699, MIN($H699-J699, K699-J699)*INDEX('2018_commission_structure'!$A$1:$I$4,MATCH($E699,'2018_commission_structure'!$A$1:$A$4,0),MATCH(Q$1,'2018_commission_structure'!$A$1:$I$1,0)),0)</f>
        <v>0</v>
      </c>
      <c r="R699" s="9">
        <f>IF($H699&gt;K699, MIN($H699-K699, L699-K699)*INDEX('2018_commission_structure'!$A$1:$I$4,MATCH($E699,'2018_commission_structure'!$A$1:$A$4,0),MATCH(R$1,'2018_commission_structure'!$A$1:$I$1,0)),0)</f>
        <v>0</v>
      </c>
      <c r="S699" s="9">
        <f>IF(H699&gt;L699,(H699-L699)*INDEX('2018_commission_structure'!$A$1:$I$4,MATCH($E699,'2018_commission_structure'!$A$1:$A$4,0),MATCH(S$1,'2018_commission_structure'!$A$1:$I$1,0)),0)</f>
        <v>0</v>
      </c>
      <c r="T699" s="9">
        <f t="shared" si="108"/>
        <v>90131.540000000008</v>
      </c>
      <c r="U699" s="9">
        <f t="shared" si="110"/>
        <v>155913.54</v>
      </c>
      <c r="V699" s="9">
        <f>MIN($I699,$H699)*INDEX('Key Metrics'!$E$16:$N$19,MATCH($E699,'Key Metrics'!$E$16:$E$19,0),MATCH(V$1,'Key Metrics'!$E$16:$M$16,0))</f>
        <v>90000</v>
      </c>
      <c r="W699" s="9">
        <f>IF($H699&gt;I699, MIN($H699-I699, J699-I699)*INDEX('Key Metrics'!$E$16:$N$19,MATCH($E699,'Key Metrics'!$E$16:$E$19,0),MATCH(W$1,'Key Metrics'!$E$16:$M$16,0)),0)</f>
        <v>12845.16</v>
      </c>
      <c r="X699" s="9">
        <f>IF($H699&gt;J699, MIN($H699-J699, K699-J699)*INDEX('Key Metrics'!$E$16:$N$19,MATCH($E699,'Key Metrics'!$E$16:$E$19,0),MATCH(X$1,'Key Metrics'!$E$16:$M$16,0)),0)</f>
        <v>0</v>
      </c>
      <c r="Y699" s="9">
        <f>IF($H699&gt;K699, MIN($H699-K699, L699-K699)*INDEX('Key Metrics'!$E$16:$N$19,MATCH($E699,'Key Metrics'!$E$16:$E$19,0),MATCH(Y$1,'Key Metrics'!$E$16:$M$16,0)),0)</f>
        <v>0</v>
      </c>
      <c r="Z699" s="9">
        <f>IF($H699&gt;L699,($H699-L699)*INDEX('Key Metrics'!$E$16:$N$19,MATCH($E699,'Key Metrics'!$E$16:$E$19,0),MATCH(Z$1,'Key Metrics'!$E$16:$M$16,0)),0)</f>
        <v>0</v>
      </c>
      <c r="AA699" s="9">
        <f t="shared" si="109"/>
        <v>102845.16</v>
      </c>
      <c r="AB699" s="9">
        <f t="shared" si="111"/>
        <v>102846.27893666667</v>
      </c>
    </row>
    <row r="700" spans="1:28" x14ac:dyDescent="0.55000000000000004">
      <c r="A700" t="str">
        <f t="shared" si="102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COUNTIF(deals_closed!$D$2:$D$20001,Calculations!B779)</f>
        <v>18</v>
      </c>
      <c r="H700" s="7">
        <f>SUMIF(deals_closed!$D:$D,Calculations!B779,deals_closed!$C:$C)</f>
        <v>614970</v>
      </c>
      <c r="I700" s="5">
        <f>VLOOKUP(E700,'2018_commission_structure'!$A$1:$I$4,9,FALSE)</f>
        <v>500000</v>
      </c>
      <c r="J700" s="9">
        <f t="shared" si="103"/>
        <v>625000</v>
      </c>
      <c r="K700" s="10">
        <f t="shared" si="104"/>
        <v>750000</v>
      </c>
      <c r="L700" s="9">
        <f t="shared" si="105"/>
        <v>1000000</v>
      </c>
      <c r="M700" s="8">
        <f t="shared" si="106"/>
        <v>1.22994</v>
      </c>
      <c r="N700" t="str">
        <f t="shared" si="107"/>
        <v>100-125%</v>
      </c>
      <c r="O700" s="9">
        <f>MIN($H700,$I700)*INDEX('2018_commission_structure'!$A$1:$I$4,MATCH($E700,'2018_commission_structure'!$A$1:$A$4,0),MATCH(O$1,'2018_commission_structure'!$A$1:$I$1,0))</f>
        <v>50000</v>
      </c>
      <c r="P700" s="9">
        <f>IF(H700&gt;I700, MIN(H700-I700, J700-I700)*INDEX('2018_commission_structure'!$A$1:$I$4,MATCH($E700,'2018_commission_structure'!$A$1:$A$4,0),MATCH(P$1,'2018_commission_structure'!$A$1:$I$1,0)),0)</f>
        <v>17245.5</v>
      </c>
      <c r="Q700" s="9">
        <f>IF($H700&gt;J700, MIN($H700-J700, K700-J700)*INDEX('2018_commission_structure'!$A$1:$I$4,MATCH($E700,'2018_commission_structure'!$A$1:$A$4,0),MATCH(Q$1,'2018_commission_structure'!$A$1:$I$1,0)),0)</f>
        <v>0</v>
      </c>
      <c r="R700" s="9">
        <f>IF($H700&gt;K700, MIN($H700-K700, L700-K700)*INDEX('2018_commission_structure'!$A$1:$I$4,MATCH($E700,'2018_commission_structure'!$A$1:$A$4,0),MATCH(R$1,'2018_commission_structure'!$A$1:$I$1,0)),0)</f>
        <v>0</v>
      </c>
      <c r="S700" s="9">
        <f>IF(H700&gt;L700,(H700-L700)*INDEX('2018_commission_structure'!$A$1:$I$4,MATCH($E700,'2018_commission_structure'!$A$1:$A$4,0),MATCH(S$1,'2018_commission_structure'!$A$1:$I$1,0)),0)</f>
        <v>0</v>
      </c>
      <c r="T700" s="9">
        <f t="shared" si="108"/>
        <v>67245.5</v>
      </c>
      <c r="U700" s="9">
        <f t="shared" si="110"/>
        <v>105981.5</v>
      </c>
      <c r="V700" s="9">
        <f>MIN($I700,$H700)*INDEX('Key Metrics'!$E$16:$N$19,MATCH($E700,'Key Metrics'!$E$16:$E$19,0),MATCH(V$1,'Key Metrics'!$E$16:$M$16,0))</f>
        <v>60000</v>
      </c>
      <c r="W700" s="9">
        <f>IF($H700&gt;I700, MIN($H700-I700, J700-I700)*INDEX('Key Metrics'!$E$16:$N$19,MATCH($E700,'Key Metrics'!$E$16:$E$19,0),MATCH(W$1,'Key Metrics'!$E$16:$M$16,0)),0)</f>
        <v>19544.900000000001</v>
      </c>
      <c r="X700" s="9">
        <f>IF($H700&gt;J700, MIN($H700-J700, K700-J700)*INDEX('Key Metrics'!$E$16:$N$19,MATCH($E700,'Key Metrics'!$E$16:$E$19,0),MATCH(X$1,'Key Metrics'!$E$16:$M$16,0)),0)</f>
        <v>0</v>
      </c>
      <c r="Y700" s="9">
        <f>IF($H700&gt;K700, MIN($H700-K700, L700-K700)*INDEX('Key Metrics'!$E$16:$N$19,MATCH($E700,'Key Metrics'!$E$16:$E$19,0),MATCH(Y$1,'Key Metrics'!$E$16:$M$16,0)),0)</f>
        <v>0</v>
      </c>
      <c r="Z700" s="9">
        <f>IF($H700&gt;L700,($H700-L700)*INDEX('Key Metrics'!$E$16:$N$19,MATCH($E700,'Key Metrics'!$E$16:$E$19,0),MATCH(Z$1,'Key Metrics'!$E$16:$M$16,0)),0)</f>
        <v>0</v>
      </c>
      <c r="AA700" s="9">
        <f t="shared" si="109"/>
        <v>79544.899999999994</v>
      </c>
      <c r="AB700" s="9">
        <f t="shared" si="111"/>
        <v>79546.129939999999</v>
      </c>
    </row>
    <row r="701" spans="1:28" x14ac:dyDescent="0.55000000000000004">
      <c r="A701" t="str">
        <f t="shared" si="102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COUNTIF(deals_closed!$D$2:$D$20001,Calculations!B543)</f>
        <v>17</v>
      </c>
      <c r="H701" s="7">
        <f>SUMIF(deals_closed!$D:$D,Calculations!B543,deals_closed!$C:$C)</f>
        <v>580579</v>
      </c>
      <c r="I701" s="5">
        <f>VLOOKUP(E701,'2018_commission_structure'!$A$1:$I$4,9,FALSE)</f>
        <v>600000</v>
      </c>
      <c r="J701" s="9">
        <f t="shared" si="103"/>
        <v>750000</v>
      </c>
      <c r="K701" s="10">
        <f t="shared" si="104"/>
        <v>900000</v>
      </c>
      <c r="L701" s="9">
        <f t="shared" si="105"/>
        <v>1200000</v>
      </c>
      <c r="M701" s="8">
        <f t="shared" si="106"/>
        <v>0.96763166666666667</v>
      </c>
      <c r="N701" t="str">
        <f t="shared" si="107"/>
        <v>0-100%</v>
      </c>
      <c r="O701" s="9">
        <f>MIN($H701,$I701)*INDEX('2018_commission_structure'!$A$1:$I$4,MATCH($E701,'2018_commission_structure'!$A$1:$A$4,0),MATCH(O$1,'2018_commission_structure'!$A$1:$I$1,0))</f>
        <v>75475.27</v>
      </c>
      <c r="P701" s="9">
        <f>IF(H701&gt;I701, MIN(H701-I701, J701-I701)*INDEX('2018_commission_structure'!$A$1:$I$4,MATCH($E701,'2018_commission_structure'!$A$1:$A$4,0),MATCH(P$1,'2018_commission_structure'!$A$1:$I$1,0)),0)</f>
        <v>0</v>
      </c>
      <c r="Q701" s="9">
        <f>IF($H701&gt;J701, MIN($H701-J701, K701-J701)*INDEX('2018_commission_structure'!$A$1:$I$4,MATCH($E701,'2018_commission_structure'!$A$1:$A$4,0),MATCH(Q$1,'2018_commission_structure'!$A$1:$I$1,0)),0)</f>
        <v>0</v>
      </c>
      <c r="R701" s="9">
        <f>IF($H701&gt;K701, MIN($H701-K701, L701-K701)*INDEX('2018_commission_structure'!$A$1:$I$4,MATCH($E701,'2018_commission_structure'!$A$1:$A$4,0),MATCH(R$1,'2018_commission_structure'!$A$1:$I$1,0)),0)</f>
        <v>0</v>
      </c>
      <c r="S701" s="9">
        <f>IF(H701&gt;L701,(H701-L701)*INDEX('2018_commission_structure'!$A$1:$I$4,MATCH($E701,'2018_commission_structure'!$A$1:$A$4,0),MATCH(S$1,'2018_commission_structure'!$A$1:$I$1,0)),0)</f>
        <v>0</v>
      </c>
      <c r="T701" s="9">
        <f t="shared" si="108"/>
        <v>75475.27</v>
      </c>
      <c r="U701" s="9">
        <f t="shared" si="110"/>
        <v>147784.27000000002</v>
      </c>
      <c r="V701" s="9">
        <f>MIN($I701,$H701)*INDEX('Key Metrics'!$E$16:$N$19,MATCH($E701,'Key Metrics'!$E$16:$E$19,0),MATCH(V$1,'Key Metrics'!$E$16:$M$16,0))</f>
        <v>87086.849999999991</v>
      </c>
      <c r="W701" s="9">
        <f>IF($H701&gt;I701, MIN($H701-I701, J701-I701)*INDEX('Key Metrics'!$E$16:$N$19,MATCH($E701,'Key Metrics'!$E$16:$E$19,0),MATCH(W$1,'Key Metrics'!$E$16:$M$16,0)),0)</f>
        <v>0</v>
      </c>
      <c r="X701" s="9">
        <f>IF($H701&gt;J701, MIN($H701-J701, K701-J701)*INDEX('Key Metrics'!$E$16:$N$19,MATCH($E701,'Key Metrics'!$E$16:$E$19,0),MATCH(X$1,'Key Metrics'!$E$16:$M$16,0)),0)</f>
        <v>0</v>
      </c>
      <c r="Y701" s="9">
        <f>IF($H701&gt;K701, MIN($H701-K701, L701-K701)*INDEX('Key Metrics'!$E$16:$N$19,MATCH($E701,'Key Metrics'!$E$16:$E$19,0),MATCH(Y$1,'Key Metrics'!$E$16:$M$16,0)),0)</f>
        <v>0</v>
      </c>
      <c r="Z701" s="9">
        <f>IF($H701&gt;L701,($H701-L701)*INDEX('Key Metrics'!$E$16:$N$19,MATCH($E701,'Key Metrics'!$E$16:$E$19,0),MATCH(Z$1,'Key Metrics'!$E$16:$M$16,0)),0)</f>
        <v>0</v>
      </c>
      <c r="AA701" s="9">
        <f t="shared" si="109"/>
        <v>87086.849999999991</v>
      </c>
      <c r="AB701" s="9">
        <f t="shared" si="111"/>
        <v>87087.817631666665</v>
      </c>
    </row>
    <row r="702" spans="1:28" x14ac:dyDescent="0.55000000000000004">
      <c r="A702" t="str">
        <f t="shared" si="102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COUNTIF(deals_closed!$D$2:$D$20001,Calculations!B785)</f>
        <v>22</v>
      </c>
      <c r="H702" s="7">
        <f>SUMIF(deals_closed!$D:$D,Calculations!B785,deals_closed!$C:$C)</f>
        <v>744781</v>
      </c>
      <c r="I702" s="5">
        <f>VLOOKUP(E702,'2018_commission_structure'!$A$1:$I$4,9,FALSE)</f>
        <v>750000</v>
      </c>
      <c r="J702" s="9">
        <f t="shared" si="103"/>
        <v>937500</v>
      </c>
      <c r="K702" s="10">
        <f t="shared" si="104"/>
        <v>1125000</v>
      </c>
      <c r="L702" s="9">
        <f t="shared" si="105"/>
        <v>1500000</v>
      </c>
      <c r="M702" s="8">
        <f t="shared" si="106"/>
        <v>0.99304133333333333</v>
      </c>
      <c r="N702" t="str">
        <f t="shared" si="107"/>
        <v>0-100%</v>
      </c>
      <c r="O702" s="9">
        <f>MIN($H702,$I702)*INDEX('2018_commission_structure'!$A$1:$I$4,MATCH($E702,'2018_commission_structure'!$A$1:$A$4,0),MATCH(O$1,'2018_commission_structure'!$A$1:$I$1,0))</f>
        <v>111717.15</v>
      </c>
      <c r="P702" s="9">
        <f>IF(H702&gt;I702, MIN(H702-I702, J702-I702)*INDEX('2018_commission_structure'!$A$1:$I$4,MATCH($E702,'2018_commission_structure'!$A$1:$A$4,0),MATCH(P$1,'2018_commission_structure'!$A$1:$I$1,0)),0)</f>
        <v>0</v>
      </c>
      <c r="Q702" s="9">
        <f>IF($H702&gt;J702, MIN($H702-J702, K702-J702)*INDEX('2018_commission_structure'!$A$1:$I$4,MATCH($E702,'2018_commission_structure'!$A$1:$A$4,0),MATCH(Q$1,'2018_commission_structure'!$A$1:$I$1,0)),0)</f>
        <v>0</v>
      </c>
      <c r="R702" s="9">
        <f>IF($H702&gt;K702, MIN($H702-K702, L702-K702)*INDEX('2018_commission_structure'!$A$1:$I$4,MATCH($E702,'2018_commission_structure'!$A$1:$A$4,0),MATCH(R$1,'2018_commission_structure'!$A$1:$I$1,0)),0)</f>
        <v>0</v>
      </c>
      <c r="S702" s="9">
        <f>IF(H702&gt;L702,(H702-L702)*INDEX('2018_commission_structure'!$A$1:$I$4,MATCH($E702,'2018_commission_structure'!$A$1:$A$4,0),MATCH(S$1,'2018_commission_structure'!$A$1:$I$1,0)),0)</f>
        <v>0</v>
      </c>
      <c r="T702" s="9">
        <f t="shared" si="108"/>
        <v>111717.15</v>
      </c>
      <c r="U702" s="9">
        <f t="shared" si="110"/>
        <v>217775.15</v>
      </c>
      <c r="V702" s="9">
        <f>MIN($I702,$H702)*INDEX('Key Metrics'!$E$16:$N$19,MATCH($E702,'Key Metrics'!$E$16:$E$19,0),MATCH(V$1,'Key Metrics'!$E$16:$M$16,0))</f>
        <v>111717.15</v>
      </c>
      <c r="W702" s="9">
        <f>IF($H702&gt;I702, MIN($H702-I702, J702-I702)*INDEX('Key Metrics'!$E$16:$N$19,MATCH($E702,'Key Metrics'!$E$16:$E$19,0),MATCH(W$1,'Key Metrics'!$E$16:$M$16,0)),0)</f>
        <v>0</v>
      </c>
      <c r="X702" s="9">
        <f>IF($H702&gt;J702, MIN($H702-J702, K702-J702)*INDEX('Key Metrics'!$E$16:$N$19,MATCH($E702,'Key Metrics'!$E$16:$E$19,0),MATCH(X$1,'Key Metrics'!$E$16:$M$16,0)),0)</f>
        <v>0</v>
      </c>
      <c r="Y702" s="9">
        <f>IF($H702&gt;K702, MIN($H702-K702, L702-K702)*INDEX('Key Metrics'!$E$16:$N$19,MATCH($E702,'Key Metrics'!$E$16:$E$19,0),MATCH(Y$1,'Key Metrics'!$E$16:$M$16,0)),0)</f>
        <v>0</v>
      </c>
      <c r="Z702" s="9">
        <f>IF($H702&gt;L702,($H702-L702)*INDEX('Key Metrics'!$E$16:$N$19,MATCH($E702,'Key Metrics'!$E$16:$E$19,0),MATCH(Z$1,'Key Metrics'!$E$16:$M$16,0)),0)</f>
        <v>0</v>
      </c>
      <c r="AA702" s="9">
        <f t="shared" si="109"/>
        <v>111717.15</v>
      </c>
      <c r="AB702" s="9">
        <f t="shared" si="111"/>
        <v>111718.14304133333</v>
      </c>
    </row>
    <row r="703" spans="1:28" x14ac:dyDescent="0.55000000000000004">
      <c r="A703" t="str">
        <f t="shared" si="102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COUNTIF(deals_closed!$D$2:$D$20001,Calculations!B255)</f>
        <v>18</v>
      </c>
      <c r="H703" s="7">
        <f>SUMIF(deals_closed!$D:$D,Calculations!B255,deals_closed!$C:$C)</f>
        <v>607215</v>
      </c>
      <c r="I703" s="5">
        <f>VLOOKUP(E703,'2018_commission_structure'!$A$1:$I$4,9,FALSE)</f>
        <v>600000</v>
      </c>
      <c r="J703" s="9">
        <f t="shared" si="103"/>
        <v>750000</v>
      </c>
      <c r="K703" s="10">
        <f t="shared" si="104"/>
        <v>900000</v>
      </c>
      <c r="L703" s="9">
        <f t="shared" si="105"/>
        <v>1200000</v>
      </c>
      <c r="M703" s="8">
        <f t="shared" si="106"/>
        <v>1.012025</v>
      </c>
      <c r="N703" t="str">
        <f t="shared" si="107"/>
        <v>100-125%</v>
      </c>
      <c r="O703" s="9">
        <f>MIN($H703,$I703)*INDEX('2018_commission_structure'!$A$1:$I$4,MATCH($E703,'2018_commission_structure'!$A$1:$A$4,0),MATCH(O$1,'2018_commission_structure'!$A$1:$I$1,0))</f>
        <v>78000</v>
      </c>
      <c r="P703" s="9">
        <f>IF(H703&gt;I703, MIN(H703-I703, J703-I703)*INDEX('2018_commission_structure'!$A$1:$I$4,MATCH($E703,'2018_commission_structure'!$A$1:$A$4,0),MATCH(P$1,'2018_commission_structure'!$A$1:$I$1,0)),0)</f>
        <v>1226.5500000000002</v>
      </c>
      <c r="Q703" s="9">
        <f>IF($H703&gt;J703, MIN($H703-J703, K703-J703)*INDEX('2018_commission_structure'!$A$1:$I$4,MATCH($E703,'2018_commission_structure'!$A$1:$A$4,0),MATCH(Q$1,'2018_commission_structure'!$A$1:$I$1,0)),0)</f>
        <v>0</v>
      </c>
      <c r="R703" s="9">
        <f>IF($H703&gt;K703, MIN($H703-K703, L703-K703)*INDEX('2018_commission_structure'!$A$1:$I$4,MATCH($E703,'2018_commission_structure'!$A$1:$A$4,0),MATCH(R$1,'2018_commission_structure'!$A$1:$I$1,0)),0)</f>
        <v>0</v>
      </c>
      <c r="S703" s="9">
        <f>IF(H703&gt;L703,(H703-L703)*INDEX('2018_commission_structure'!$A$1:$I$4,MATCH($E703,'2018_commission_structure'!$A$1:$A$4,0),MATCH(S$1,'2018_commission_structure'!$A$1:$I$1,0)),0)</f>
        <v>0</v>
      </c>
      <c r="T703" s="9">
        <f t="shared" si="108"/>
        <v>79226.55</v>
      </c>
      <c r="U703" s="9">
        <f t="shared" si="110"/>
        <v>142081.54999999999</v>
      </c>
      <c r="V703" s="9">
        <f>MIN($I703,$H703)*INDEX('Key Metrics'!$E$16:$N$19,MATCH($E703,'Key Metrics'!$E$16:$E$19,0),MATCH(V$1,'Key Metrics'!$E$16:$M$16,0))</f>
        <v>90000</v>
      </c>
      <c r="W703" s="9">
        <f>IF($H703&gt;I703, MIN($H703-I703, J703-I703)*INDEX('Key Metrics'!$E$16:$N$19,MATCH($E703,'Key Metrics'!$E$16:$E$19,0),MATCH(W$1,'Key Metrics'!$E$16:$M$16,0)),0)</f>
        <v>1298.7</v>
      </c>
      <c r="X703" s="9">
        <f>IF($H703&gt;J703, MIN($H703-J703, K703-J703)*INDEX('Key Metrics'!$E$16:$N$19,MATCH($E703,'Key Metrics'!$E$16:$E$19,0),MATCH(X$1,'Key Metrics'!$E$16:$M$16,0)),0)</f>
        <v>0</v>
      </c>
      <c r="Y703" s="9">
        <f>IF($H703&gt;K703, MIN($H703-K703, L703-K703)*INDEX('Key Metrics'!$E$16:$N$19,MATCH($E703,'Key Metrics'!$E$16:$E$19,0),MATCH(Y$1,'Key Metrics'!$E$16:$M$16,0)),0)</f>
        <v>0</v>
      </c>
      <c r="Z703" s="9">
        <f>IF($H703&gt;L703,($H703-L703)*INDEX('Key Metrics'!$E$16:$N$19,MATCH($E703,'Key Metrics'!$E$16:$E$19,0),MATCH(Z$1,'Key Metrics'!$E$16:$M$16,0)),0)</f>
        <v>0</v>
      </c>
      <c r="AA703" s="9">
        <f t="shared" si="109"/>
        <v>91298.7</v>
      </c>
      <c r="AB703" s="9">
        <f t="shared" si="111"/>
        <v>91299.712025000001</v>
      </c>
    </row>
    <row r="704" spans="1:28" x14ac:dyDescent="0.55000000000000004">
      <c r="A704" t="str">
        <f t="shared" si="102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COUNTIF(deals_closed!$D$2:$D$20001,Calculations!B936)</f>
        <v>16</v>
      </c>
      <c r="H704" s="7">
        <f>SUMIF(deals_closed!$D:$D,Calculations!B936,deals_closed!$C:$C)</f>
        <v>580253</v>
      </c>
      <c r="I704" s="5">
        <f>VLOOKUP(E704,'2018_commission_structure'!$A$1:$I$4,9,FALSE)</f>
        <v>750000</v>
      </c>
      <c r="J704" s="9">
        <f t="shared" si="103"/>
        <v>937500</v>
      </c>
      <c r="K704" s="10">
        <f t="shared" si="104"/>
        <v>1125000</v>
      </c>
      <c r="L704" s="9">
        <f t="shared" si="105"/>
        <v>1500000</v>
      </c>
      <c r="M704" s="8">
        <f t="shared" si="106"/>
        <v>0.77367066666666662</v>
      </c>
      <c r="N704" t="str">
        <f t="shared" si="107"/>
        <v>0-100%</v>
      </c>
      <c r="O704" s="9">
        <f>MIN($H704,$I704)*INDEX('2018_commission_structure'!$A$1:$I$4,MATCH($E704,'2018_commission_structure'!$A$1:$A$4,0),MATCH(O$1,'2018_commission_structure'!$A$1:$I$1,0))</f>
        <v>87037.95</v>
      </c>
      <c r="P704" s="9">
        <f>IF(H704&gt;I704, MIN(H704-I704, J704-I704)*INDEX('2018_commission_structure'!$A$1:$I$4,MATCH($E704,'2018_commission_structure'!$A$1:$A$4,0),MATCH(P$1,'2018_commission_structure'!$A$1:$I$1,0)),0)</f>
        <v>0</v>
      </c>
      <c r="Q704" s="9">
        <f>IF($H704&gt;J704, MIN($H704-J704, K704-J704)*INDEX('2018_commission_structure'!$A$1:$I$4,MATCH($E704,'2018_commission_structure'!$A$1:$A$4,0),MATCH(Q$1,'2018_commission_structure'!$A$1:$I$1,0)),0)</f>
        <v>0</v>
      </c>
      <c r="R704" s="9">
        <f>IF($H704&gt;K704, MIN($H704-K704, L704-K704)*INDEX('2018_commission_structure'!$A$1:$I$4,MATCH($E704,'2018_commission_structure'!$A$1:$A$4,0),MATCH(R$1,'2018_commission_structure'!$A$1:$I$1,0)),0)</f>
        <v>0</v>
      </c>
      <c r="S704" s="9">
        <f>IF(H704&gt;L704,(H704-L704)*INDEX('2018_commission_structure'!$A$1:$I$4,MATCH($E704,'2018_commission_structure'!$A$1:$A$4,0),MATCH(S$1,'2018_commission_structure'!$A$1:$I$1,0)),0)</f>
        <v>0</v>
      </c>
      <c r="T704" s="9">
        <f t="shared" si="108"/>
        <v>87037.95</v>
      </c>
      <c r="U704" s="9">
        <f t="shared" si="110"/>
        <v>186426.95</v>
      </c>
      <c r="V704" s="9">
        <f>MIN($I704,$H704)*INDEX('Key Metrics'!$E$16:$N$19,MATCH($E704,'Key Metrics'!$E$16:$E$19,0),MATCH(V$1,'Key Metrics'!$E$16:$M$16,0))</f>
        <v>87037.95</v>
      </c>
      <c r="W704" s="9">
        <f>IF($H704&gt;I704, MIN($H704-I704, J704-I704)*INDEX('Key Metrics'!$E$16:$N$19,MATCH($E704,'Key Metrics'!$E$16:$E$19,0),MATCH(W$1,'Key Metrics'!$E$16:$M$16,0)),0)</f>
        <v>0</v>
      </c>
      <c r="X704" s="9">
        <f>IF($H704&gt;J704, MIN($H704-J704, K704-J704)*INDEX('Key Metrics'!$E$16:$N$19,MATCH($E704,'Key Metrics'!$E$16:$E$19,0),MATCH(X$1,'Key Metrics'!$E$16:$M$16,0)),0)</f>
        <v>0</v>
      </c>
      <c r="Y704" s="9">
        <f>IF($H704&gt;K704, MIN($H704-K704, L704-K704)*INDEX('Key Metrics'!$E$16:$N$19,MATCH($E704,'Key Metrics'!$E$16:$E$19,0),MATCH(Y$1,'Key Metrics'!$E$16:$M$16,0)),0)</f>
        <v>0</v>
      </c>
      <c r="Z704" s="9">
        <f>IF($H704&gt;L704,($H704-L704)*INDEX('Key Metrics'!$E$16:$N$19,MATCH($E704,'Key Metrics'!$E$16:$E$19,0),MATCH(Z$1,'Key Metrics'!$E$16:$M$16,0)),0)</f>
        <v>0</v>
      </c>
      <c r="AA704" s="9">
        <f t="shared" si="109"/>
        <v>87037.95</v>
      </c>
      <c r="AB704" s="9">
        <f t="shared" si="111"/>
        <v>87038.723670666659</v>
      </c>
    </row>
    <row r="705" spans="1:28" x14ac:dyDescent="0.55000000000000004">
      <c r="A705" t="str">
        <f t="shared" si="102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COUNTIF(deals_closed!$D$2:$D$20001,Calculations!B324)</f>
        <v>18</v>
      </c>
      <c r="H705" s="7">
        <f>SUMIF(deals_closed!$D:$D,Calculations!B324,deals_closed!$C:$C)</f>
        <v>600732</v>
      </c>
      <c r="I705" s="5">
        <f>VLOOKUP(E705,'2018_commission_structure'!$A$1:$I$4,9,FALSE)</f>
        <v>750000</v>
      </c>
      <c r="J705" s="9">
        <f t="shared" si="103"/>
        <v>937500</v>
      </c>
      <c r="K705" s="10">
        <f t="shared" si="104"/>
        <v>1125000</v>
      </c>
      <c r="L705" s="9">
        <f t="shared" si="105"/>
        <v>1500000</v>
      </c>
      <c r="M705" s="8">
        <f t="shared" si="106"/>
        <v>0.80097600000000002</v>
      </c>
      <c r="N705" t="str">
        <f t="shared" si="107"/>
        <v>0-100%</v>
      </c>
      <c r="O705" s="9">
        <f>MIN($H705,$I705)*INDEX('2018_commission_structure'!$A$1:$I$4,MATCH($E705,'2018_commission_structure'!$A$1:$A$4,0),MATCH(O$1,'2018_commission_structure'!$A$1:$I$1,0))</f>
        <v>90109.8</v>
      </c>
      <c r="P705" s="9">
        <f>IF(H705&gt;I705, MIN(H705-I705, J705-I705)*INDEX('2018_commission_structure'!$A$1:$I$4,MATCH($E705,'2018_commission_structure'!$A$1:$A$4,0),MATCH(P$1,'2018_commission_structure'!$A$1:$I$1,0)),0)</f>
        <v>0</v>
      </c>
      <c r="Q705" s="9">
        <f>IF($H705&gt;J705, MIN($H705-J705, K705-J705)*INDEX('2018_commission_structure'!$A$1:$I$4,MATCH($E705,'2018_commission_structure'!$A$1:$A$4,0),MATCH(Q$1,'2018_commission_structure'!$A$1:$I$1,0)),0)</f>
        <v>0</v>
      </c>
      <c r="R705" s="9">
        <f>IF($H705&gt;K705, MIN($H705-K705, L705-K705)*INDEX('2018_commission_structure'!$A$1:$I$4,MATCH($E705,'2018_commission_structure'!$A$1:$A$4,0),MATCH(R$1,'2018_commission_structure'!$A$1:$I$1,0)),0)</f>
        <v>0</v>
      </c>
      <c r="S705" s="9">
        <f>IF(H705&gt;L705,(H705-L705)*INDEX('2018_commission_structure'!$A$1:$I$4,MATCH($E705,'2018_commission_structure'!$A$1:$A$4,0),MATCH(S$1,'2018_commission_structure'!$A$1:$I$1,0)),0)</f>
        <v>0</v>
      </c>
      <c r="T705" s="9">
        <f t="shared" si="108"/>
        <v>90109.8</v>
      </c>
      <c r="U705" s="9">
        <f t="shared" si="110"/>
        <v>211890.8</v>
      </c>
      <c r="V705" s="9">
        <f>MIN($I705,$H705)*INDEX('Key Metrics'!$E$16:$N$19,MATCH($E705,'Key Metrics'!$E$16:$E$19,0),MATCH(V$1,'Key Metrics'!$E$16:$M$16,0))</f>
        <v>90109.8</v>
      </c>
      <c r="W705" s="9">
        <f>IF($H705&gt;I705, MIN($H705-I705, J705-I705)*INDEX('Key Metrics'!$E$16:$N$19,MATCH($E705,'Key Metrics'!$E$16:$E$19,0),MATCH(W$1,'Key Metrics'!$E$16:$M$16,0)),0)</f>
        <v>0</v>
      </c>
      <c r="X705" s="9">
        <f>IF($H705&gt;J705, MIN($H705-J705, K705-J705)*INDEX('Key Metrics'!$E$16:$N$19,MATCH($E705,'Key Metrics'!$E$16:$E$19,0),MATCH(X$1,'Key Metrics'!$E$16:$M$16,0)),0)</f>
        <v>0</v>
      </c>
      <c r="Y705" s="9">
        <f>IF($H705&gt;K705, MIN($H705-K705, L705-K705)*INDEX('Key Metrics'!$E$16:$N$19,MATCH($E705,'Key Metrics'!$E$16:$E$19,0),MATCH(Y$1,'Key Metrics'!$E$16:$M$16,0)),0)</f>
        <v>0</v>
      </c>
      <c r="Z705" s="9">
        <f>IF($H705&gt;L705,($H705-L705)*INDEX('Key Metrics'!$E$16:$N$19,MATCH($E705,'Key Metrics'!$E$16:$E$19,0),MATCH(Z$1,'Key Metrics'!$E$16:$M$16,0)),0)</f>
        <v>0</v>
      </c>
      <c r="AA705" s="9">
        <f t="shared" si="109"/>
        <v>90109.8</v>
      </c>
      <c r="AB705" s="9">
        <f t="shared" si="111"/>
        <v>90110.600976000002</v>
      </c>
    </row>
    <row r="706" spans="1:28" x14ac:dyDescent="0.55000000000000004">
      <c r="A706" t="str">
        <f t="shared" ref="A706:A769" si="112">CONCATENATE(C706," ",D706)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COUNTIF(deals_closed!$D$2:$D$20001,Calculations!B84)</f>
        <v>24</v>
      </c>
      <c r="H706" s="7">
        <f>SUMIF(deals_closed!$D:$D,Calculations!B84,deals_closed!$C:$C)</f>
        <v>751155</v>
      </c>
      <c r="I706" s="5">
        <f>VLOOKUP(E706,'2018_commission_structure'!$A$1:$I$4,9,FALSE)</f>
        <v>600000</v>
      </c>
      <c r="J706" s="9">
        <f t="shared" ref="J706:J769" si="113">I706*1.25</f>
        <v>750000</v>
      </c>
      <c r="K706" s="10">
        <f t="shared" ref="K706:K769" si="114">I706*1.5</f>
        <v>900000</v>
      </c>
      <c r="L706" s="9">
        <f t="shared" ref="L706:L769" si="115">I706*2</f>
        <v>1200000</v>
      </c>
      <c r="M706" s="8">
        <f t="shared" ref="M706:M769" si="116">H706/I706</f>
        <v>1.251925</v>
      </c>
      <c r="N706" t="str">
        <f t="shared" ref="N706:N769" si="117">IF(M706&lt;=100%,"0-100%",IF(M706&lt;=125%,"100-125%",IF(M706&lt;=150%,"125-150%",IF(M706&lt;=200%,"150-200%","&gt;200%"))))</f>
        <v>125-150%</v>
      </c>
      <c r="O706" s="9">
        <f>MIN($H706,$I706)*INDEX('2018_commission_structure'!$A$1:$I$4,MATCH($E706,'2018_commission_structure'!$A$1:$A$4,0),MATCH(O$1,'2018_commission_structure'!$A$1:$I$1,0))</f>
        <v>78000</v>
      </c>
      <c r="P706" s="9">
        <f>IF(H706&gt;I706, MIN(H706-I706, J706-I706)*INDEX('2018_commission_structure'!$A$1:$I$4,MATCH($E706,'2018_commission_structure'!$A$1:$A$4,0),MATCH(P$1,'2018_commission_structure'!$A$1:$I$1,0)),0)</f>
        <v>25500.000000000004</v>
      </c>
      <c r="Q706" s="9">
        <f>IF($H706&gt;J706, MIN($H706-J706, K706-J706)*INDEX('2018_commission_structure'!$A$1:$I$4,MATCH($E706,'2018_commission_structure'!$A$1:$A$4,0),MATCH(Q$1,'2018_commission_structure'!$A$1:$I$1,0)),0)</f>
        <v>242.54999999999998</v>
      </c>
      <c r="R706" s="9">
        <f>IF($H706&gt;K706, MIN($H706-K706, L706-K706)*INDEX('2018_commission_structure'!$A$1:$I$4,MATCH($E706,'2018_commission_structure'!$A$1:$A$4,0),MATCH(R$1,'2018_commission_structure'!$A$1:$I$1,0)),0)</f>
        <v>0</v>
      </c>
      <c r="S706" s="9">
        <f>IF(H706&gt;L706,(H706-L706)*INDEX('2018_commission_structure'!$A$1:$I$4,MATCH($E706,'2018_commission_structure'!$A$1:$A$4,0),MATCH(S$1,'2018_commission_structure'!$A$1:$I$1,0)),0)</f>
        <v>0</v>
      </c>
      <c r="T706" s="9">
        <f t="shared" ref="T706:T769" si="118">SUM(O706:S706)</f>
        <v>103742.55</v>
      </c>
      <c r="U706" s="9">
        <f t="shared" si="110"/>
        <v>179620.55</v>
      </c>
      <c r="V706" s="9">
        <f>MIN($I706,$H706)*INDEX('Key Metrics'!$E$16:$N$19,MATCH($E706,'Key Metrics'!$E$16:$E$19,0),MATCH(V$1,'Key Metrics'!$E$16:$M$16,0))</f>
        <v>90000</v>
      </c>
      <c r="W706" s="9">
        <f>IF($H706&gt;I706, MIN($H706-I706, J706-I706)*INDEX('Key Metrics'!$E$16:$N$19,MATCH($E706,'Key Metrics'!$E$16:$E$19,0),MATCH(W$1,'Key Metrics'!$E$16:$M$16,0)),0)</f>
        <v>27000</v>
      </c>
      <c r="X706" s="9">
        <f>IF($H706&gt;J706, MIN($H706-J706, K706-J706)*INDEX('Key Metrics'!$E$16:$N$19,MATCH($E706,'Key Metrics'!$E$16:$E$19,0),MATCH(X$1,'Key Metrics'!$E$16:$M$16,0)),0)</f>
        <v>288.75</v>
      </c>
      <c r="Y706" s="9">
        <f>IF($H706&gt;K706, MIN($H706-K706, L706-K706)*INDEX('Key Metrics'!$E$16:$N$19,MATCH($E706,'Key Metrics'!$E$16:$E$19,0),MATCH(Y$1,'Key Metrics'!$E$16:$M$16,0)),0)</f>
        <v>0</v>
      </c>
      <c r="Z706" s="9">
        <f>IF($H706&gt;L706,($H706-L706)*INDEX('Key Metrics'!$E$16:$N$19,MATCH($E706,'Key Metrics'!$E$16:$E$19,0),MATCH(Z$1,'Key Metrics'!$E$16:$M$16,0)),0)</f>
        <v>0</v>
      </c>
      <c r="AA706" s="9">
        <f t="shared" ref="AA706:AA769" si="119">SUM(V706:Z706)</f>
        <v>117288.75</v>
      </c>
      <c r="AB706" s="9">
        <f t="shared" si="111"/>
        <v>117290.001925</v>
      </c>
    </row>
    <row r="707" spans="1:28" x14ac:dyDescent="0.55000000000000004">
      <c r="A707" t="str">
        <f t="shared" si="112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COUNTIF(deals_closed!$D$2:$D$20001,Calculations!B649)</f>
        <v>32</v>
      </c>
      <c r="H707" s="7">
        <f>SUMIF(deals_closed!$D:$D,Calculations!B649,deals_closed!$C:$C)</f>
        <v>1214099</v>
      </c>
      <c r="I707" s="5">
        <f>VLOOKUP(E707,'2018_commission_structure'!$A$1:$I$4,9,FALSE)</f>
        <v>750000</v>
      </c>
      <c r="J707" s="9">
        <f t="shared" si="113"/>
        <v>937500</v>
      </c>
      <c r="K707" s="10">
        <f t="shared" si="114"/>
        <v>1125000</v>
      </c>
      <c r="L707" s="9">
        <f t="shared" si="115"/>
        <v>1500000</v>
      </c>
      <c r="M707" s="8">
        <f t="shared" si="116"/>
        <v>1.6187986666666667</v>
      </c>
      <c r="N707" t="str">
        <f t="shared" si="117"/>
        <v>150-200%</v>
      </c>
      <c r="O707" s="9">
        <f>MIN($H707,$I707)*INDEX('2018_commission_structure'!$A$1:$I$4,MATCH($E707,'2018_commission_structure'!$A$1:$A$4,0),MATCH(O$1,'2018_commission_structure'!$A$1:$I$1,0))</f>
        <v>112500</v>
      </c>
      <c r="P707" s="9">
        <f>IF(H707&gt;I707, MIN(H707-I707, J707-I707)*INDEX('2018_commission_structure'!$A$1:$I$4,MATCH($E707,'2018_commission_structure'!$A$1:$A$4,0),MATCH(P$1,'2018_commission_structure'!$A$1:$I$1,0)),0)</f>
        <v>35625</v>
      </c>
      <c r="Q707" s="9">
        <f>IF($H707&gt;J707, MIN($H707-J707, K707-J707)*INDEX('2018_commission_structure'!$A$1:$I$4,MATCH($E707,'2018_commission_structure'!$A$1:$A$4,0),MATCH(Q$1,'2018_commission_structure'!$A$1:$I$1,0)),0)</f>
        <v>43125</v>
      </c>
      <c r="R707" s="9">
        <f>IF($H707&gt;K707, MIN($H707-K707, L707-K707)*INDEX('2018_commission_structure'!$A$1:$I$4,MATCH($E707,'2018_commission_structure'!$A$1:$A$4,0),MATCH(R$1,'2018_commission_structure'!$A$1:$I$1,0)),0)</f>
        <v>26729.7</v>
      </c>
      <c r="S707" s="9">
        <f>IF(H707&gt;L707,(H707-L707)*INDEX('2018_commission_structure'!$A$1:$I$4,MATCH($E707,'2018_commission_structure'!$A$1:$A$4,0),MATCH(S$1,'2018_commission_structure'!$A$1:$I$1,0)),0)</f>
        <v>0</v>
      </c>
      <c r="T707" s="9">
        <f t="shared" si="118"/>
        <v>217979.7</v>
      </c>
      <c r="U707" s="9">
        <f t="shared" si="110"/>
        <v>335175.7</v>
      </c>
      <c r="V707" s="9">
        <f>MIN($I707,$H707)*INDEX('Key Metrics'!$E$16:$N$19,MATCH($E707,'Key Metrics'!$E$16:$E$19,0),MATCH(V$1,'Key Metrics'!$E$16:$M$16,0))</f>
        <v>112500</v>
      </c>
      <c r="W707" s="9">
        <f>IF($H707&gt;I707, MIN($H707-I707, J707-I707)*INDEX('Key Metrics'!$E$16:$N$19,MATCH($E707,'Key Metrics'!$E$16:$E$19,0),MATCH(W$1,'Key Metrics'!$E$16:$M$16,0)),0)</f>
        <v>41250</v>
      </c>
      <c r="X707" s="9">
        <f>IF($H707&gt;J707, MIN($H707-J707, K707-J707)*INDEX('Key Metrics'!$E$16:$N$19,MATCH($E707,'Key Metrics'!$E$16:$E$19,0),MATCH(X$1,'Key Metrics'!$E$16:$M$16,0)),0)</f>
        <v>46875</v>
      </c>
      <c r="Y707" s="9">
        <f>IF($H707&gt;K707, MIN($H707-K707, L707-K707)*INDEX('Key Metrics'!$E$16:$N$19,MATCH($E707,'Key Metrics'!$E$16:$E$19,0),MATCH(Y$1,'Key Metrics'!$E$16:$M$16,0)),0)</f>
        <v>29402.670000000002</v>
      </c>
      <c r="Z707" s="9">
        <f>IF($H707&gt;L707,($H707-L707)*INDEX('Key Metrics'!$E$16:$N$19,MATCH($E707,'Key Metrics'!$E$16:$E$19,0),MATCH(Z$1,'Key Metrics'!$E$16:$M$16,0)),0)</f>
        <v>0</v>
      </c>
      <c r="AA707" s="9">
        <f t="shared" si="119"/>
        <v>230027.67</v>
      </c>
      <c r="AB707" s="9">
        <f t="shared" si="111"/>
        <v>230029.28879866668</v>
      </c>
    </row>
    <row r="708" spans="1:28" x14ac:dyDescent="0.55000000000000004">
      <c r="A708" t="str">
        <f t="shared" si="112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COUNTIF(deals_closed!$D$2:$D$20001,Calculations!B424)</f>
        <v>19</v>
      </c>
      <c r="H708" s="7">
        <f>SUMIF(deals_closed!$D:$D,Calculations!B424,deals_closed!$C:$C)</f>
        <v>540781</v>
      </c>
      <c r="I708" s="5">
        <f>VLOOKUP(E708,'2018_commission_structure'!$A$1:$I$4,9,FALSE)</f>
        <v>750000</v>
      </c>
      <c r="J708" s="9">
        <f t="shared" si="113"/>
        <v>937500</v>
      </c>
      <c r="K708" s="10">
        <f t="shared" si="114"/>
        <v>1125000</v>
      </c>
      <c r="L708" s="9">
        <f t="shared" si="115"/>
        <v>1500000</v>
      </c>
      <c r="M708" s="8">
        <f t="shared" si="116"/>
        <v>0.72104133333333331</v>
      </c>
      <c r="N708" t="str">
        <f t="shared" si="117"/>
        <v>0-100%</v>
      </c>
      <c r="O708" s="9">
        <f>MIN($H708,$I708)*INDEX('2018_commission_structure'!$A$1:$I$4,MATCH($E708,'2018_commission_structure'!$A$1:$A$4,0),MATCH(O$1,'2018_commission_structure'!$A$1:$I$1,0))</f>
        <v>81117.149999999994</v>
      </c>
      <c r="P708" s="9">
        <f>IF(H708&gt;I708, MIN(H708-I708, J708-I708)*INDEX('2018_commission_structure'!$A$1:$I$4,MATCH($E708,'2018_commission_structure'!$A$1:$A$4,0),MATCH(P$1,'2018_commission_structure'!$A$1:$I$1,0)),0)</f>
        <v>0</v>
      </c>
      <c r="Q708" s="9">
        <f>IF($H708&gt;J708, MIN($H708-J708, K708-J708)*INDEX('2018_commission_structure'!$A$1:$I$4,MATCH($E708,'2018_commission_structure'!$A$1:$A$4,0),MATCH(Q$1,'2018_commission_structure'!$A$1:$I$1,0)),0)</f>
        <v>0</v>
      </c>
      <c r="R708" s="9">
        <f>IF($H708&gt;K708, MIN($H708-K708, L708-K708)*INDEX('2018_commission_structure'!$A$1:$I$4,MATCH($E708,'2018_commission_structure'!$A$1:$A$4,0),MATCH(R$1,'2018_commission_structure'!$A$1:$I$1,0)),0)</f>
        <v>0</v>
      </c>
      <c r="S708" s="9">
        <f>IF(H708&gt;L708,(H708-L708)*INDEX('2018_commission_structure'!$A$1:$I$4,MATCH($E708,'2018_commission_structure'!$A$1:$A$4,0),MATCH(S$1,'2018_commission_structure'!$A$1:$I$1,0)),0)</f>
        <v>0</v>
      </c>
      <c r="T708" s="9">
        <f t="shared" si="118"/>
        <v>81117.149999999994</v>
      </c>
      <c r="U708" s="9">
        <f t="shared" si="110"/>
        <v>159831.15</v>
      </c>
      <c r="V708" s="9">
        <f>MIN($I708,$H708)*INDEX('Key Metrics'!$E$16:$N$19,MATCH($E708,'Key Metrics'!$E$16:$E$19,0),MATCH(V$1,'Key Metrics'!$E$16:$M$16,0))</f>
        <v>81117.149999999994</v>
      </c>
      <c r="W708" s="9">
        <f>IF($H708&gt;I708, MIN($H708-I708, J708-I708)*INDEX('Key Metrics'!$E$16:$N$19,MATCH($E708,'Key Metrics'!$E$16:$E$19,0),MATCH(W$1,'Key Metrics'!$E$16:$M$16,0)),0)</f>
        <v>0</v>
      </c>
      <c r="X708" s="9">
        <f>IF($H708&gt;J708, MIN($H708-J708, K708-J708)*INDEX('Key Metrics'!$E$16:$N$19,MATCH($E708,'Key Metrics'!$E$16:$E$19,0),MATCH(X$1,'Key Metrics'!$E$16:$M$16,0)),0)</f>
        <v>0</v>
      </c>
      <c r="Y708" s="9">
        <f>IF($H708&gt;K708, MIN($H708-K708, L708-K708)*INDEX('Key Metrics'!$E$16:$N$19,MATCH($E708,'Key Metrics'!$E$16:$E$19,0),MATCH(Y$1,'Key Metrics'!$E$16:$M$16,0)),0)</f>
        <v>0</v>
      </c>
      <c r="Z708" s="9">
        <f>IF($H708&gt;L708,($H708-L708)*INDEX('Key Metrics'!$E$16:$N$19,MATCH($E708,'Key Metrics'!$E$16:$E$19,0),MATCH(Z$1,'Key Metrics'!$E$16:$M$16,0)),0)</f>
        <v>0</v>
      </c>
      <c r="AA708" s="9">
        <f t="shared" si="119"/>
        <v>81117.149999999994</v>
      </c>
      <c r="AB708" s="9">
        <f t="shared" si="111"/>
        <v>81117.871041333332</v>
      </c>
    </row>
    <row r="709" spans="1:28" x14ac:dyDescent="0.55000000000000004">
      <c r="A709" t="str">
        <f t="shared" si="112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COUNTIF(deals_closed!$D$2:$D$20001,Calculations!B154)</f>
        <v>21</v>
      </c>
      <c r="H709" s="7">
        <f>SUMIF(deals_closed!$D:$D,Calculations!B154,deals_closed!$C:$C)</f>
        <v>723173</v>
      </c>
      <c r="I709" s="5">
        <f>VLOOKUP(E709,'2018_commission_structure'!$A$1:$I$4,9,FALSE)</f>
        <v>500000</v>
      </c>
      <c r="J709" s="9">
        <f t="shared" si="113"/>
        <v>625000</v>
      </c>
      <c r="K709" s="10">
        <f t="shared" si="114"/>
        <v>750000</v>
      </c>
      <c r="L709" s="9">
        <f t="shared" si="115"/>
        <v>1000000</v>
      </c>
      <c r="M709" s="8">
        <f t="shared" si="116"/>
        <v>1.4463459999999999</v>
      </c>
      <c r="N709" t="str">
        <f t="shared" si="117"/>
        <v>125-150%</v>
      </c>
      <c r="O709" s="9">
        <f>MIN($H709,$I709)*INDEX('2018_commission_structure'!$A$1:$I$4,MATCH($E709,'2018_commission_structure'!$A$1:$A$4,0),MATCH(O$1,'2018_commission_structure'!$A$1:$I$1,0))</f>
        <v>50000</v>
      </c>
      <c r="P709" s="9">
        <f>IF(H709&gt;I709, MIN(H709-I709, J709-I709)*INDEX('2018_commission_structure'!$A$1:$I$4,MATCH($E709,'2018_commission_structure'!$A$1:$A$4,0),MATCH(P$1,'2018_commission_structure'!$A$1:$I$1,0)),0)</f>
        <v>18750</v>
      </c>
      <c r="Q709" s="9">
        <f>IF($H709&gt;J709, MIN($H709-J709, K709-J709)*INDEX('2018_commission_structure'!$A$1:$I$4,MATCH($E709,'2018_commission_structure'!$A$1:$A$4,0),MATCH(Q$1,'2018_commission_structure'!$A$1:$I$1,0)),0)</f>
        <v>17671.14</v>
      </c>
      <c r="R709" s="9">
        <f>IF($H709&gt;K709, MIN($H709-K709, L709-K709)*INDEX('2018_commission_structure'!$A$1:$I$4,MATCH($E709,'2018_commission_structure'!$A$1:$A$4,0),MATCH(R$1,'2018_commission_structure'!$A$1:$I$1,0)),0)</f>
        <v>0</v>
      </c>
      <c r="S709" s="9">
        <f>IF(H709&gt;L709,(H709-L709)*INDEX('2018_commission_structure'!$A$1:$I$4,MATCH($E709,'2018_commission_structure'!$A$1:$A$4,0),MATCH(S$1,'2018_commission_structure'!$A$1:$I$1,0)),0)</f>
        <v>0</v>
      </c>
      <c r="T709" s="9">
        <f t="shared" si="118"/>
        <v>86421.14</v>
      </c>
      <c r="U709" s="9">
        <f t="shared" si="110"/>
        <v>130781.14</v>
      </c>
      <c r="V709" s="9">
        <f>MIN($I709,$H709)*INDEX('Key Metrics'!$E$16:$N$19,MATCH($E709,'Key Metrics'!$E$16:$E$19,0),MATCH(V$1,'Key Metrics'!$E$16:$M$16,0))</f>
        <v>60000</v>
      </c>
      <c r="W709" s="9">
        <f>IF($H709&gt;I709, MIN($H709-I709, J709-I709)*INDEX('Key Metrics'!$E$16:$N$19,MATCH($E709,'Key Metrics'!$E$16:$E$19,0),MATCH(W$1,'Key Metrics'!$E$16:$M$16,0)),0)</f>
        <v>21250</v>
      </c>
      <c r="X709" s="9">
        <f>IF($H709&gt;J709, MIN($H709-J709, K709-J709)*INDEX('Key Metrics'!$E$16:$N$19,MATCH($E709,'Key Metrics'!$E$16:$E$19,0),MATCH(X$1,'Key Metrics'!$E$16:$M$16,0)),0)</f>
        <v>19634.600000000002</v>
      </c>
      <c r="Y709" s="9">
        <f>IF($H709&gt;K709, MIN($H709-K709, L709-K709)*INDEX('Key Metrics'!$E$16:$N$19,MATCH($E709,'Key Metrics'!$E$16:$E$19,0),MATCH(Y$1,'Key Metrics'!$E$16:$M$16,0)),0)</f>
        <v>0</v>
      </c>
      <c r="Z709" s="9">
        <f>IF($H709&gt;L709,($H709-L709)*INDEX('Key Metrics'!$E$16:$N$19,MATCH($E709,'Key Metrics'!$E$16:$E$19,0),MATCH(Z$1,'Key Metrics'!$E$16:$M$16,0)),0)</f>
        <v>0</v>
      </c>
      <c r="AA709" s="9">
        <f t="shared" si="119"/>
        <v>100884.6</v>
      </c>
      <c r="AB709" s="9">
        <f t="shared" si="111"/>
        <v>100886.046346</v>
      </c>
    </row>
    <row r="710" spans="1:28" x14ac:dyDescent="0.55000000000000004">
      <c r="A710" t="str">
        <f t="shared" si="112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COUNTIF(deals_closed!$D$2:$D$20001,Calculations!B970)</f>
        <v>16</v>
      </c>
      <c r="H710" s="7">
        <f>SUMIF(deals_closed!$D:$D,Calculations!B970,deals_closed!$C:$C)</f>
        <v>655776</v>
      </c>
      <c r="I710" s="5">
        <f>VLOOKUP(E710,'2018_commission_structure'!$A$1:$I$4,9,FALSE)</f>
        <v>600000</v>
      </c>
      <c r="J710" s="9">
        <f t="shared" si="113"/>
        <v>750000</v>
      </c>
      <c r="K710" s="10">
        <f t="shared" si="114"/>
        <v>900000</v>
      </c>
      <c r="L710" s="9">
        <f t="shared" si="115"/>
        <v>1200000</v>
      </c>
      <c r="M710" s="8">
        <f t="shared" si="116"/>
        <v>1.0929599999999999</v>
      </c>
      <c r="N710" t="str">
        <f t="shared" si="117"/>
        <v>100-125%</v>
      </c>
      <c r="O710" s="9">
        <f>MIN($H710,$I710)*INDEX('2018_commission_structure'!$A$1:$I$4,MATCH($E710,'2018_commission_structure'!$A$1:$A$4,0),MATCH(O$1,'2018_commission_structure'!$A$1:$I$1,0))</f>
        <v>78000</v>
      </c>
      <c r="P710" s="9">
        <f>IF(H710&gt;I710, MIN(H710-I710, J710-I710)*INDEX('2018_commission_structure'!$A$1:$I$4,MATCH($E710,'2018_commission_structure'!$A$1:$A$4,0),MATCH(P$1,'2018_commission_structure'!$A$1:$I$1,0)),0)</f>
        <v>9481.92</v>
      </c>
      <c r="Q710" s="9">
        <f>IF($H710&gt;J710, MIN($H710-J710, K710-J710)*INDEX('2018_commission_structure'!$A$1:$I$4,MATCH($E710,'2018_commission_structure'!$A$1:$A$4,0),MATCH(Q$1,'2018_commission_structure'!$A$1:$I$1,0)),0)</f>
        <v>0</v>
      </c>
      <c r="R710" s="9">
        <f>IF($H710&gt;K710, MIN($H710-K710, L710-K710)*INDEX('2018_commission_structure'!$A$1:$I$4,MATCH($E710,'2018_commission_structure'!$A$1:$A$4,0),MATCH(R$1,'2018_commission_structure'!$A$1:$I$1,0)),0)</f>
        <v>0</v>
      </c>
      <c r="S710" s="9">
        <f>IF(H710&gt;L710,(H710-L710)*INDEX('2018_commission_structure'!$A$1:$I$4,MATCH($E710,'2018_commission_structure'!$A$1:$A$4,0),MATCH(S$1,'2018_commission_structure'!$A$1:$I$1,0)),0)</f>
        <v>0</v>
      </c>
      <c r="T710" s="9">
        <f t="shared" si="118"/>
        <v>87481.919999999998</v>
      </c>
      <c r="U710" s="9">
        <f t="shared" si="110"/>
        <v>155066.91999999998</v>
      </c>
      <c r="V710" s="9">
        <f>MIN($I710,$H710)*INDEX('Key Metrics'!$E$16:$N$19,MATCH($E710,'Key Metrics'!$E$16:$E$19,0),MATCH(V$1,'Key Metrics'!$E$16:$M$16,0))</f>
        <v>90000</v>
      </c>
      <c r="W710" s="9">
        <f>IF($H710&gt;I710, MIN($H710-I710, J710-I710)*INDEX('Key Metrics'!$E$16:$N$19,MATCH($E710,'Key Metrics'!$E$16:$E$19,0),MATCH(W$1,'Key Metrics'!$E$16:$M$16,0)),0)</f>
        <v>10039.68</v>
      </c>
      <c r="X710" s="9">
        <f>IF($H710&gt;J710, MIN($H710-J710, K710-J710)*INDEX('Key Metrics'!$E$16:$N$19,MATCH($E710,'Key Metrics'!$E$16:$E$19,0),MATCH(X$1,'Key Metrics'!$E$16:$M$16,0)),0)</f>
        <v>0</v>
      </c>
      <c r="Y710" s="9">
        <f>IF($H710&gt;K710, MIN($H710-K710, L710-K710)*INDEX('Key Metrics'!$E$16:$N$19,MATCH($E710,'Key Metrics'!$E$16:$E$19,0),MATCH(Y$1,'Key Metrics'!$E$16:$M$16,0)),0)</f>
        <v>0</v>
      </c>
      <c r="Z710" s="9">
        <f>IF($H710&gt;L710,($H710-L710)*INDEX('Key Metrics'!$E$16:$N$19,MATCH($E710,'Key Metrics'!$E$16:$E$19,0),MATCH(Z$1,'Key Metrics'!$E$16:$M$16,0)),0)</f>
        <v>0</v>
      </c>
      <c r="AA710" s="9">
        <f t="shared" si="119"/>
        <v>100039.67999999999</v>
      </c>
      <c r="AB710" s="9">
        <f t="shared" si="111"/>
        <v>100040.77295999999</v>
      </c>
    </row>
    <row r="711" spans="1:28" x14ac:dyDescent="0.55000000000000004">
      <c r="A711" t="str">
        <f t="shared" si="112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COUNTIF(deals_closed!$D$2:$D$20001,Calculations!B257)</f>
        <v>15</v>
      </c>
      <c r="H711" s="7">
        <f>SUMIF(deals_closed!$D:$D,Calculations!B257,deals_closed!$C:$C)</f>
        <v>463959</v>
      </c>
      <c r="I711" s="5">
        <f>VLOOKUP(E711,'2018_commission_structure'!$A$1:$I$4,9,FALSE)</f>
        <v>750000</v>
      </c>
      <c r="J711" s="9">
        <f t="shared" si="113"/>
        <v>937500</v>
      </c>
      <c r="K711" s="10">
        <f t="shared" si="114"/>
        <v>1125000</v>
      </c>
      <c r="L711" s="9">
        <f t="shared" si="115"/>
        <v>1500000</v>
      </c>
      <c r="M711" s="8">
        <f t="shared" si="116"/>
        <v>0.61861200000000005</v>
      </c>
      <c r="N711" t="str">
        <f t="shared" si="117"/>
        <v>0-100%</v>
      </c>
      <c r="O711" s="9">
        <f>MIN($H711,$I711)*INDEX('2018_commission_structure'!$A$1:$I$4,MATCH($E711,'2018_commission_structure'!$A$1:$A$4,0),MATCH(O$1,'2018_commission_structure'!$A$1:$I$1,0))</f>
        <v>69593.849999999991</v>
      </c>
      <c r="P711" s="9">
        <f>IF(H711&gt;I711, MIN(H711-I711, J711-I711)*INDEX('2018_commission_structure'!$A$1:$I$4,MATCH($E711,'2018_commission_structure'!$A$1:$A$4,0),MATCH(P$1,'2018_commission_structure'!$A$1:$I$1,0)),0)</f>
        <v>0</v>
      </c>
      <c r="Q711" s="9">
        <f>IF($H711&gt;J711, MIN($H711-J711, K711-J711)*INDEX('2018_commission_structure'!$A$1:$I$4,MATCH($E711,'2018_commission_structure'!$A$1:$A$4,0),MATCH(Q$1,'2018_commission_structure'!$A$1:$I$1,0)),0)</f>
        <v>0</v>
      </c>
      <c r="R711" s="9">
        <f>IF($H711&gt;K711, MIN($H711-K711, L711-K711)*INDEX('2018_commission_structure'!$A$1:$I$4,MATCH($E711,'2018_commission_structure'!$A$1:$A$4,0),MATCH(R$1,'2018_commission_structure'!$A$1:$I$1,0)),0)</f>
        <v>0</v>
      </c>
      <c r="S711" s="9">
        <f>IF(H711&gt;L711,(H711-L711)*INDEX('2018_commission_structure'!$A$1:$I$4,MATCH($E711,'2018_commission_structure'!$A$1:$A$4,0),MATCH(S$1,'2018_commission_structure'!$A$1:$I$1,0)),0)</f>
        <v>0</v>
      </c>
      <c r="T711" s="9">
        <f t="shared" si="118"/>
        <v>69593.849999999991</v>
      </c>
      <c r="U711" s="9">
        <f t="shared" si="110"/>
        <v>183332.84999999998</v>
      </c>
      <c r="V711" s="9">
        <f>MIN($I711,$H711)*INDEX('Key Metrics'!$E$16:$N$19,MATCH($E711,'Key Metrics'!$E$16:$E$19,0),MATCH(V$1,'Key Metrics'!$E$16:$M$16,0))</f>
        <v>69593.849999999991</v>
      </c>
      <c r="W711" s="9">
        <f>IF($H711&gt;I711, MIN($H711-I711, J711-I711)*INDEX('Key Metrics'!$E$16:$N$19,MATCH($E711,'Key Metrics'!$E$16:$E$19,0),MATCH(W$1,'Key Metrics'!$E$16:$M$16,0)),0)</f>
        <v>0</v>
      </c>
      <c r="X711" s="9">
        <f>IF($H711&gt;J711, MIN($H711-J711, K711-J711)*INDEX('Key Metrics'!$E$16:$N$19,MATCH($E711,'Key Metrics'!$E$16:$E$19,0),MATCH(X$1,'Key Metrics'!$E$16:$M$16,0)),0)</f>
        <v>0</v>
      </c>
      <c r="Y711" s="9">
        <f>IF($H711&gt;K711, MIN($H711-K711, L711-K711)*INDEX('Key Metrics'!$E$16:$N$19,MATCH($E711,'Key Metrics'!$E$16:$E$19,0),MATCH(Y$1,'Key Metrics'!$E$16:$M$16,0)),0)</f>
        <v>0</v>
      </c>
      <c r="Z711" s="9">
        <f>IF($H711&gt;L711,($H711-L711)*INDEX('Key Metrics'!$E$16:$N$19,MATCH($E711,'Key Metrics'!$E$16:$E$19,0),MATCH(Z$1,'Key Metrics'!$E$16:$M$16,0)),0)</f>
        <v>0</v>
      </c>
      <c r="AA711" s="9">
        <f t="shared" si="119"/>
        <v>69593.849999999991</v>
      </c>
      <c r="AB711" s="9">
        <f t="shared" si="111"/>
        <v>69594.468611999997</v>
      </c>
    </row>
    <row r="712" spans="1:28" x14ac:dyDescent="0.55000000000000004">
      <c r="A712" t="str">
        <f t="shared" si="112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COUNTIF(deals_closed!$D$2:$D$20001,Calculations!B845)</f>
        <v>23</v>
      </c>
      <c r="H712" s="7">
        <f>SUMIF(deals_closed!$D:$D,Calculations!B845,deals_closed!$C:$C)</f>
        <v>728077</v>
      </c>
      <c r="I712" s="5">
        <f>VLOOKUP(E712,'2018_commission_structure'!$A$1:$I$4,9,FALSE)</f>
        <v>500000</v>
      </c>
      <c r="J712" s="9">
        <f t="shared" si="113"/>
        <v>625000</v>
      </c>
      <c r="K712" s="10">
        <f t="shared" si="114"/>
        <v>750000</v>
      </c>
      <c r="L712" s="9">
        <f t="shared" si="115"/>
        <v>1000000</v>
      </c>
      <c r="M712" s="8">
        <f t="shared" si="116"/>
        <v>1.4561539999999999</v>
      </c>
      <c r="N712" t="str">
        <f t="shared" si="117"/>
        <v>125-150%</v>
      </c>
      <c r="O712" s="9">
        <f>MIN($H712,$I712)*INDEX('2018_commission_structure'!$A$1:$I$4,MATCH($E712,'2018_commission_structure'!$A$1:$A$4,0),MATCH(O$1,'2018_commission_structure'!$A$1:$I$1,0))</f>
        <v>50000</v>
      </c>
      <c r="P712" s="9">
        <f>IF(H712&gt;I712, MIN(H712-I712, J712-I712)*INDEX('2018_commission_structure'!$A$1:$I$4,MATCH($E712,'2018_commission_structure'!$A$1:$A$4,0),MATCH(P$1,'2018_commission_structure'!$A$1:$I$1,0)),0)</f>
        <v>18750</v>
      </c>
      <c r="Q712" s="9">
        <f>IF($H712&gt;J712, MIN($H712-J712, K712-J712)*INDEX('2018_commission_structure'!$A$1:$I$4,MATCH($E712,'2018_commission_structure'!$A$1:$A$4,0),MATCH(Q$1,'2018_commission_structure'!$A$1:$I$1,0)),0)</f>
        <v>18553.86</v>
      </c>
      <c r="R712" s="9">
        <f>IF($H712&gt;K712, MIN($H712-K712, L712-K712)*INDEX('2018_commission_structure'!$A$1:$I$4,MATCH($E712,'2018_commission_structure'!$A$1:$A$4,0),MATCH(R$1,'2018_commission_structure'!$A$1:$I$1,0)),0)</f>
        <v>0</v>
      </c>
      <c r="S712" s="9">
        <f>IF(H712&gt;L712,(H712-L712)*INDEX('2018_commission_structure'!$A$1:$I$4,MATCH($E712,'2018_commission_structure'!$A$1:$A$4,0),MATCH(S$1,'2018_commission_structure'!$A$1:$I$1,0)),0)</f>
        <v>0</v>
      </c>
      <c r="T712" s="9">
        <f t="shared" si="118"/>
        <v>87303.86</v>
      </c>
      <c r="U712" s="9">
        <f t="shared" si="110"/>
        <v>136901.85999999999</v>
      </c>
      <c r="V712" s="9">
        <f>MIN($I712,$H712)*INDEX('Key Metrics'!$E$16:$N$19,MATCH($E712,'Key Metrics'!$E$16:$E$19,0),MATCH(V$1,'Key Metrics'!$E$16:$M$16,0))</f>
        <v>60000</v>
      </c>
      <c r="W712" s="9">
        <f>IF($H712&gt;I712, MIN($H712-I712, J712-I712)*INDEX('Key Metrics'!$E$16:$N$19,MATCH($E712,'Key Metrics'!$E$16:$E$19,0),MATCH(W$1,'Key Metrics'!$E$16:$M$16,0)),0)</f>
        <v>21250</v>
      </c>
      <c r="X712" s="9">
        <f>IF($H712&gt;J712, MIN($H712-J712, K712-J712)*INDEX('Key Metrics'!$E$16:$N$19,MATCH($E712,'Key Metrics'!$E$16:$E$19,0),MATCH(X$1,'Key Metrics'!$E$16:$M$16,0)),0)</f>
        <v>20615.400000000001</v>
      </c>
      <c r="Y712" s="9">
        <f>IF($H712&gt;K712, MIN($H712-K712, L712-K712)*INDEX('Key Metrics'!$E$16:$N$19,MATCH($E712,'Key Metrics'!$E$16:$E$19,0),MATCH(Y$1,'Key Metrics'!$E$16:$M$16,0)),0)</f>
        <v>0</v>
      </c>
      <c r="Z712" s="9">
        <f>IF($H712&gt;L712,($H712-L712)*INDEX('Key Metrics'!$E$16:$N$19,MATCH($E712,'Key Metrics'!$E$16:$E$19,0),MATCH(Z$1,'Key Metrics'!$E$16:$M$16,0)),0)</f>
        <v>0</v>
      </c>
      <c r="AA712" s="9">
        <f t="shared" si="119"/>
        <v>101865.4</v>
      </c>
      <c r="AB712" s="9">
        <f t="shared" si="111"/>
        <v>101866.85615399999</v>
      </c>
    </row>
    <row r="713" spans="1:28" x14ac:dyDescent="0.55000000000000004">
      <c r="A713" t="str">
        <f t="shared" si="112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COUNTIF(deals_closed!$D$2:$D$20001,Calculations!B470)</f>
        <v>29</v>
      </c>
      <c r="H713" s="7">
        <f>SUMIF(deals_closed!$D:$D,Calculations!B470,deals_closed!$C:$C)</f>
        <v>973243</v>
      </c>
      <c r="I713" s="5">
        <f>VLOOKUP(E713,'2018_commission_structure'!$A$1:$I$4,9,FALSE)</f>
        <v>500000</v>
      </c>
      <c r="J713" s="9">
        <f t="shared" si="113"/>
        <v>625000</v>
      </c>
      <c r="K713" s="10">
        <f t="shared" si="114"/>
        <v>750000</v>
      </c>
      <c r="L713" s="9">
        <f t="shared" si="115"/>
        <v>1000000</v>
      </c>
      <c r="M713" s="8">
        <f t="shared" si="116"/>
        <v>1.9464859999999999</v>
      </c>
      <c r="N713" t="str">
        <f t="shared" si="117"/>
        <v>150-200%</v>
      </c>
      <c r="O713" s="9">
        <f>MIN($H713,$I713)*INDEX('2018_commission_structure'!$A$1:$I$4,MATCH($E713,'2018_commission_structure'!$A$1:$A$4,0),MATCH(O$1,'2018_commission_structure'!$A$1:$I$1,0))</f>
        <v>50000</v>
      </c>
      <c r="P713" s="9">
        <f>IF(H713&gt;I713, MIN(H713-I713, J713-I713)*INDEX('2018_commission_structure'!$A$1:$I$4,MATCH($E713,'2018_commission_structure'!$A$1:$A$4,0),MATCH(P$1,'2018_commission_structure'!$A$1:$I$1,0)),0)</f>
        <v>18750</v>
      </c>
      <c r="Q713" s="9">
        <f>IF($H713&gt;J713, MIN($H713-J713, K713-J713)*INDEX('2018_commission_structure'!$A$1:$I$4,MATCH($E713,'2018_commission_structure'!$A$1:$A$4,0),MATCH(Q$1,'2018_commission_structure'!$A$1:$I$1,0)),0)</f>
        <v>22500</v>
      </c>
      <c r="R713" s="9">
        <f>IF($H713&gt;K713, MIN($H713-K713, L713-K713)*INDEX('2018_commission_structure'!$A$1:$I$4,MATCH($E713,'2018_commission_structure'!$A$1:$A$4,0),MATCH(R$1,'2018_commission_structure'!$A$1:$I$1,0)),0)</f>
        <v>49113.46</v>
      </c>
      <c r="S713" s="9">
        <f>IF(H713&gt;L713,(H713-L713)*INDEX('2018_commission_structure'!$A$1:$I$4,MATCH($E713,'2018_commission_structure'!$A$1:$A$4,0),MATCH(S$1,'2018_commission_structure'!$A$1:$I$1,0)),0)</f>
        <v>0</v>
      </c>
      <c r="T713" s="9">
        <f t="shared" si="118"/>
        <v>140363.46</v>
      </c>
      <c r="U713" s="9">
        <f t="shared" si="110"/>
        <v>189613.46</v>
      </c>
      <c r="V713" s="9">
        <f>MIN($I713,$H713)*INDEX('Key Metrics'!$E$16:$N$19,MATCH($E713,'Key Metrics'!$E$16:$E$19,0),MATCH(V$1,'Key Metrics'!$E$16:$M$16,0))</f>
        <v>60000</v>
      </c>
      <c r="W713" s="9">
        <f>IF($H713&gt;I713, MIN($H713-I713, J713-I713)*INDEX('Key Metrics'!$E$16:$N$19,MATCH($E713,'Key Metrics'!$E$16:$E$19,0),MATCH(W$1,'Key Metrics'!$E$16:$M$16,0)),0)</f>
        <v>21250</v>
      </c>
      <c r="X713" s="9">
        <f>IF($H713&gt;J713, MIN($H713-J713, K713-J713)*INDEX('Key Metrics'!$E$16:$N$19,MATCH($E713,'Key Metrics'!$E$16:$E$19,0),MATCH(X$1,'Key Metrics'!$E$16:$M$16,0)),0)</f>
        <v>25000</v>
      </c>
      <c r="Y713" s="9">
        <f>IF($H713&gt;K713, MIN($H713-K713, L713-K713)*INDEX('Key Metrics'!$E$16:$N$19,MATCH($E713,'Key Metrics'!$E$16:$E$19,0),MATCH(Y$1,'Key Metrics'!$E$16:$M$16,0)),0)</f>
        <v>49113.46</v>
      </c>
      <c r="Z713" s="9">
        <f>IF($H713&gt;L713,($H713-L713)*INDEX('Key Metrics'!$E$16:$N$19,MATCH($E713,'Key Metrics'!$E$16:$E$19,0),MATCH(Z$1,'Key Metrics'!$E$16:$M$16,0)),0)</f>
        <v>0</v>
      </c>
      <c r="AA713" s="9">
        <f t="shared" si="119"/>
        <v>155363.46</v>
      </c>
      <c r="AB713" s="9">
        <f t="shared" si="111"/>
        <v>155365.40648599999</v>
      </c>
    </row>
    <row r="714" spans="1:28" x14ac:dyDescent="0.55000000000000004">
      <c r="A714" t="str">
        <f t="shared" si="112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COUNTIF(deals_closed!$D$2:$D$20001,Calculations!B379)</f>
        <v>17</v>
      </c>
      <c r="H714" s="7">
        <f>SUMIF(deals_closed!$D:$D,Calculations!B379,deals_closed!$C:$C)</f>
        <v>619591</v>
      </c>
      <c r="I714" s="5">
        <f>VLOOKUP(E714,'2018_commission_structure'!$A$1:$I$4,9,FALSE)</f>
        <v>500000</v>
      </c>
      <c r="J714" s="9">
        <f t="shared" si="113"/>
        <v>625000</v>
      </c>
      <c r="K714" s="10">
        <f t="shared" si="114"/>
        <v>750000</v>
      </c>
      <c r="L714" s="9">
        <f t="shared" si="115"/>
        <v>1000000</v>
      </c>
      <c r="M714" s="8">
        <f t="shared" si="116"/>
        <v>1.239182</v>
      </c>
      <c r="N714" t="str">
        <f t="shared" si="117"/>
        <v>100-125%</v>
      </c>
      <c r="O714" s="9">
        <f>MIN($H714,$I714)*INDEX('2018_commission_structure'!$A$1:$I$4,MATCH($E714,'2018_commission_structure'!$A$1:$A$4,0),MATCH(O$1,'2018_commission_structure'!$A$1:$I$1,0))</f>
        <v>50000</v>
      </c>
      <c r="P714" s="9">
        <f>IF(H714&gt;I714, MIN(H714-I714, J714-I714)*INDEX('2018_commission_structure'!$A$1:$I$4,MATCH($E714,'2018_commission_structure'!$A$1:$A$4,0),MATCH(P$1,'2018_commission_structure'!$A$1:$I$1,0)),0)</f>
        <v>17938.649999999998</v>
      </c>
      <c r="Q714" s="9">
        <f>IF($H714&gt;J714, MIN($H714-J714, K714-J714)*INDEX('2018_commission_structure'!$A$1:$I$4,MATCH($E714,'2018_commission_structure'!$A$1:$A$4,0),MATCH(Q$1,'2018_commission_structure'!$A$1:$I$1,0)),0)</f>
        <v>0</v>
      </c>
      <c r="R714" s="9">
        <f>IF($H714&gt;K714, MIN($H714-K714, L714-K714)*INDEX('2018_commission_structure'!$A$1:$I$4,MATCH($E714,'2018_commission_structure'!$A$1:$A$4,0),MATCH(R$1,'2018_commission_structure'!$A$1:$I$1,0)),0)</f>
        <v>0</v>
      </c>
      <c r="S714" s="9">
        <f>IF(H714&gt;L714,(H714-L714)*INDEX('2018_commission_structure'!$A$1:$I$4,MATCH($E714,'2018_commission_structure'!$A$1:$A$4,0),MATCH(S$1,'2018_commission_structure'!$A$1:$I$1,0)),0)</f>
        <v>0</v>
      </c>
      <c r="T714" s="9">
        <f t="shared" si="118"/>
        <v>67938.649999999994</v>
      </c>
      <c r="U714" s="9">
        <f t="shared" si="110"/>
        <v>124826.65</v>
      </c>
      <c r="V714" s="9">
        <f>MIN($I714,$H714)*INDEX('Key Metrics'!$E$16:$N$19,MATCH($E714,'Key Metrics'!$E$16:$E$19,0),MATCH(V$1,'Key Metrics'!$E$16:$M$16,0))</f>
        <v>60000</v>
      </c>
      <c r="W714" s="9">
        <f>IF($H714&gt;I714, MIN($H714-I714, J714-I714)*INDEX('Key Metrics'!$E$16:$N$19,MATCH($E714,'Key Metrics'!$E$16:$E$19,0),MATCH(W$1,'Key Metrics'!$E$16:$M$16,0)),0)</f>
        <v>20330.47</v>
      </c>
      <c r="X714" s="9">
        <f>IF($H714&gt;J714, MIN($H714-J714, K714-J714)*INDEX('Key Metrics'!$E$16:$N$19,MATCH($E714,'Key Metrics'!$E$16:$E$19,0),MATCH(X$1,'Key Metrics'!$E$16:$M$16,0)),0)</f>
        <v>0</v>
      </c>
      <c r="Y714" s="9">
        <f>IF($H714&gt;K714, MIN($H714-K714, L714-K714)*INDEX('Key Metrics'!$E$16:$N$19,MATCH($E714,'Key Metrics'!$E$16:$E$19,0),MATCH(Y$1,'Key Metrics'!$E$16:$M$16,0)),0)</f>
        <v>0</v>
      </c>
      <c r="Z714" s="9">
        <f>IF($H714&gt;L714,($H714-L714)*INDEX('Key Metrics'!$E$16:$N$19,MATCH($E714,'Key Metrics'!$E$16:$E$19,0),MATCH(Z$1,'Key Metrics'!$E$16:$M$16,0)),0)</f>
        <v>0</v>
      </c>
      <c r="AA714" s="9">
        <f t="shared" si="119"/>
        <v>80330.47</v>
      </c>
      <c r="AB714" s="9">
        <f t="shared" si="111"/>
        <v>80331.709182000006</v>
      </c>
    </row>
    <row r="715" spans="1:28" x14ac:dyDescent="0.55000000000000004">
      <c r="A715" t="str">
        <f t="shared" si="112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COUNTIF(deals_closed!$D$2:$D$20001,Calculations!B22)</f>
        <v>23</v>
      </c>
      <c r="H715" s="7">
        <f>SUMIF(deals_closed!$D:$D,Calculations!B22,deals_closed!$C:$C)</f>
        <v>633741</v>
      </c>
      <c r="I715" s="5">
        <f>VLOOKUP(E715,'2018_commission_structure'!$A$1:$I$4,9,FALSE)</f>
        <v>750000</v>
      </c>
      <c r="J715" s="9">
        <f t="shared" si="113"/>
        <v>937500</v>
      </c>
      <c r="K715" s="10">
        <f t="shared" si="114"/>
        <v>1125000</v>
      </c>
      <c r="L715" s="9">
        <f t="shared" si="115"/>
        <v>1500000</v>
      </c>
      <c r="M715" s="8">
        <f t="shared" si="116"/>
        <v>0.84498799999999996</v>
      </c>
      <c r="N715" t="str">
        <f t="shared" si="117"/>
        <v>0-100%</v>
      </c>
      <c r="O715" s="9">
        <f>MIN($H715,$I715)*INDEX('2018_commission_structure'!$A$1:$I$4,MATCH($E715,'2018_commission_structure'!$A$1:$A$4,0),MATCH(O$1,'2018_commission_structure'!$A$1:$I$1,0))</f>
        <v>95061.15</v>
      </c>
      <c r="P715" s="9">
        <f>IF(H715&gt;I715, MIN(H715-I715, J715-I715)*INDEX('2018_commission_structure'!$A$1:$I$4,MATCH($E715,'2018_commission_structure'!$A$1:$A$4,0),MATCH(P$1,'2018_commission_structure'!$A$1:$I$1,0)),0)</f>
        <v>0</v>
      </c>
      <c r="Q715" s="9">
        <f>IF($H715&gt;J715, MIN($H715-J715, K715-J715)*INDEX('2018_commission_structure'!$A$1:$I$4,MATCH($E715,'2018_commission_structure'!$A$1:$A$4,0),MATCH(Q$1,'2018_commission_structure'!$A$1:$I$1,0)),0)</f>
        <v>0</v>
      </c>
      <c r="R715" s="9">
        <f>IF($H715&gt;K715, MIN($H715-K715, L715-K715)*INDEX('2018_commission_structure'!$A$1:$I$4,MATCH($E715,'2018_commission_structure'!$A$1:$A$4,0),MATCH(R$1,'2018_commission_structure'!$A$1:$I$1,0)),0)</f>
        <v>0</v>
      </c>
      <c r="S715" s="9">
        <f>IF(H715&gt;L715,(H715-L715)*INDEX('2018_commission_structure'!$A$1:$I$4,MATCH($E715,'2018_commission_structure'!$A$1:$A$4,0),MATCH(S$1,'2018_commission_structure'!$A$1:$I$1,0)),0)</f>
        <v>0</v>
      </c>
      <c r="T715" s="9">
        <f t="shared" si="118"/>
        <v>95061.15</v>
      </c>
      <c r="U715" s="9">
        <f t="shared" si="110"/>
        <v>179151.15</v>
      </c>
      <c r="V715" s="9">
        <f>MIN($I715,$H715)*INDEX('Key Metrics'!$E$16:$N$19,MATCH($E715,'Key Metrics'!$E$16:$E$19,0),MATCH(V$1,'Key Metrics'!$E$16:$M$16,0))</f>
        <v>95061.15</v>
      </c>
      <c r="W715" s="9">
        <f>IF($H715&gt;I715, MIN($H715-I715, J715-I715)*INDEX('Key Metrics'!$E$16:$N$19,MATCH($E715,'Key Metrics'!$E$16:$E$19,0),MATCH(W$1,'Key Metrics'!$E$16:$M$16,0)),0)</f>
        <v>0</v>
      </c>
      <c r="X715" s="9">
        <f>IF($H715&gt;J715, MIN($H715-J715, K715-J715)*INDEX('Key Metrics'!$E$16:$N$19,MATCH($E715,'Key Metrics'!$E$16:$E$19,0),MATCH(X$1,'Key Metrics'!$E$16:$M$16,0)),0)</f>
        <v>0</v>
      </c>
      <c r="Y715" s="9">
        <f>IF($H715&gt;K715, MIN($H715-K715, L715-K715)*INDEX('Key Metrics'!$E$16:$N$19,MATCH($E715,'Key Metrics'!$E$16:$E$19,0),MATCH(Y$1,'Key Metrics'!$E$16:$M$16,0)),0)</f>
        <v>0</v>
      </c>
      <c r="Z715" s="9">
        <f>IF($H715&gt;L715,($H715-L715)*INDEX('Key Metrics'!$E$16:$N$19,MATCH($E715,'Key Metrics'!$E$16:$E$19,0),MATCH(Z$1,'Key Metrics'!$E$16:$M$16,0)),0)</f>
        <v>0</v>
      </c>
      <c r="AA715" s="9">
        <f t="shared" si="119"/>
        <v>95061.15</v>
      </c>
      <c r="AB715" s="9">
        <f t="shared" si="111"/>
        <v>95061.994987999991</v>
      </c>
    </row>
    <row r="716" spans="1:28" x14ac:dyDescent="0.55000000000000004">
      <c r="A716" t="str">
        <f t="shared" si="112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COUNTIF(deals_closed!$D$2:$D$20001,Calculations!B28)</f>
        <v>17</v>
      </c>
      <c r="H716" s="7">
        <f>SUMIF(deals_closed!$D:$D,Calculations!B28,deals_closed!$C:$C)</f>
        <v>546387</v>
      </c>
      <c r="I716" s="5">
        <f>VLOOKUP(E716,'2018_commission_structure'!$A$1:$I$4,9,FALSE)</f>
        <v>600000</v>
      </c>
      <c r="J716" s="9">
        <f t="shared" si="113"/>
        <v>750000</v>
      </c>
      <c r="K716" s="10">
        <f t="shared" si="114"/>
        <v>900000</v>
      </c>
      <c r="L716" s="9">
        <f t="shared" si="115"/>
        <v>1200000</v>
      </c>
      <c r="M716" s="8">
        <f t="shared" si="116"/>
        <v>0.91064500000000004</v>
      </c>
      <c r="N716" t="str">
        <f t="shared" si="117"/>
        <v>0-100%</v>
      </c>
      <c r="O716" s="9">
        <f>MIN($H716,$I716)*INDEX('2018_commission_structure'!$A$1:$I$4,MATCH($E716,'2018_commission_structure'!$A$1:$A$4,0),MATCH(O$1,'2018_commission_structure'!$A$1:$I$1,0))</f>
        <v>71030.31</v>
      </c>
      <c r="P716" s="9">
        <f>IF(H716&gt;I716, MIN(H716-I716, J716-I716)*INDEX('2018_commission_structure'!$A$1:$I$4,MATCH($E716,'2018_commission_structure'!$A$1:$A$4,0),MATCH(P$1,'2018_commission_structure'!$A$1:$I$1,0)),0)</f>
        <v>0</v>
      </c>
      <c r="Q716" s="9">
        <f>IF($H716&gt;J716, MIN($H716-J716, K716-J716)*INDEX('2018_commission_structure'!$A$1:$I$4,MATCH($E716,'2018_commission_structure'!$A$1:$A$4,0),MATCH(Q$1,'2018_commission_structure'!$A$1:$I$1,0)),0)</f>
        <v>0</v>
      </c>
      <c r="R716" s="9">
        <f>IF($H716&gt;K716, MIN($H716-K716, L716-K716)*INDEX('2018_commission_structure'!$A$1:$I$4,MATCH($E716,'2018_commission_structure'!$A$1:$A$4,0),MATCH(R$1,'2018_commission_structure'!$A$1:$I$1,0)),0)</f>
        <v>0</v>
      </c>
      <c r="S716" s="9">
        <f>IF(H716&gt;L716,(H716-L716)*INDEX('2018_commission_structure'!$A$1:$I$4,MATCH($E716,'2018_commission_structure'!$A$1:$A$4,0),MATCH(S$1,'2018_commission_structure'!$A$1:$I$1,0)),0)</f>
        <v>0</v>
      </c>
      <c r="T716" s="9">
        <f t="shared" si="118"/>
        <v>71030.31</v>
      </c>
      <c r="U716" s="9">
        <f t="shared" si="110"/>
        <v>124307.31</v>
      </c>
      <c r="V716" s="9">
        <f>MIN($I716,$H716)*INDEX('Key Metrics'!$E$16:$N$19,MATCH($E716,'Key Metrics'!$E$16:$E$19,0),MATCH(V$1,'Key Metrics'!$E$16:$M$16,0))</f>
        <v>81958.05</v>
      </c>
      <c r="W716" s="9">
        <f>IF($H716&gt;I716, MIN($H716-I716, J716-I716)*INDEX('Key Metrics'!$E$16:$N$19,MATCH($E716,'Key Metrics'!$E$16:$E$19,0),MATCH(W$1,'Key Metrics'!$E$16:$M$16,0)),0)</f>
        <v>0</v>
      </c>
      <c r="X716" s="9">
        <f>IF($H716&gt;J716, MIN($H716-J716, K716-J716)*INDEX('Key Metrics'!$E$16:$N$19,MATCH($E716,'Key Metrics'!$E$16:$E$19,0),MATCH(X$1,'Key Metrics'!$E$16:$M$16,0)),0)</f>
        <v>0</v>
      </c>
      <c r="Y716" s="9">
        <f>IF($H716&gt;K716, MIN($H716-K716, L716-K716)*INDEX('Key Metrics'!$E$16:$N$19,MATCH($E716,'Key Metrics'!$E$16:$E$19,0),MATCH(Y$1,'Key Metrics'!$E$16:$M$16,0)),0)</f>
        <v>0</v>
      </c>
      <c r="Z716" s="9">
        <f>IF($H716&gt;L716,($H716-L716)*INDEX('Key Metrics'!$E$16:$N$19,MATCH($E716,'Key Metrics'!$E$16:$E$19,0),MATCH(Z$1,'Key Metrics'!$E$16:$M$16,0)),0)</f>
        <v>0</v>
      </c>
      <c r="AA716" s="9">
        <f t="shared" si="119"/>
        <v>81958.05</v>
      </c>
      <c r="AB716" s="9">
        <f t="shared" si="111"/>
        <v>81958.960644999999</v>
      </c>
    </row>
    <row r="717" spans="1:28" x14ac:dyDescent="0.55000000000000004">
      <c r="A717" t="str">
        <f t="shared" si="112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COUNTIF(deals_closed!$D$2:$D$20001,Calculations!B881)</f>
        <v>14</v>
      </c>
      <c r="H717" s="7">
        <f>SUMIF(deals_closed!$D:$D,Calculations!B881,deals_closed!$C:$C)</f>
        <v>449442</v>
      </c>
      <c r="I717" s="5">
        <f>VLOOKUP(E717,'2018_commission_structure'!$A$1:$I$4,9,FALSE)</f>
        <v>600000</v>
      </c>
      <c r="J717" s="9">
        <f t="shared" si="113"/>
        <v>750000</v>
      </c>
      <c r="K717" s="10">
        <f t="shared" si="114"/>
        <v>900000</v>
      </c>
      <c r="L717" s="9">
        <f t="shared" si="115"/>
        <v>1200000</v>
      </c>
      <c r="M717" s="8">
        <f t="shared" si="116"/>
        <v>0.74907000000000001</v>
      </c>
      <c r="N717" t="str">
        <f t="shared" si="117"/>
        <v>0-100%</v>
      </c>
      <c r="O717" s="9">
        <f>MIN($H717,$I717)*INDEX('2018_commission_structure'!$A$1:$I$4,MATCH($E717,'2018_commission_structure'!$A$1:$A$4,0),MATCH(O$1,'2018_commission_structure'!$A$1:$I$1,0))</f>
        <v>58427.46</v>
      </c>
      <c r="P717" s="9">
        <f>IF(H717&gt;I717, MIN(H717-I717, J717-I717)*INDEX('2018_commission_structure'!$A$1:$I$4,MATCH($E717,'2018_commission_structure'!$A$1:$A$4,0),MATCH(P$1,'2018_commission_structure'!$A$1:$I$1,0)),0)</f>
        <v>0</v>
      </c>
      <c r="Q717" s="9">
        <f>IF($H717&gt;J717, MIN($H717-J717, K717-J717)*INDEX('2018_commission_structure'!$A$1:$I$4,MATCH($E717,'2018_commission_structure'!$A$1:$A$4,0),MATCH(Q$1,'2018_commission_structure'!$A$1:$I$1,0)),0)</f>
        <v>0</v>
      </c>
      <c r="R717" s="9">
        <f>IF($H717&gt;K717, MIN($H717-K717, L717-K717)*INDEX('2018_commission_structure'!$A$1:$I$4,MATCH($E717,'2018_commission_structure'!$A$1:$A$4,0),MATCH(R$1,'2018_commission_structure'!$A$1:$I$1,0)),0)</f>
        <v>0</v>
      </c>
      <c r="S717" s="9">
        <f>IF(H717&gt;L717,(H717-L717)*INDEX('2018_commission_structure'!$A$1:$I$4,MATCH($E717,'2018_commission_structure'!$A$1:$A$4,0),MATCH(S$1,'2018_commission_structure'!$A$1:$I$1,0)),0)</f>
        <v>0</v>
      </c>
      <c r="T717" s="9">
        <f t="shared" si="118"/>
        <v>58427.46</v>
      </c>
      <c r="U717" s="9">
        <f t="shared" si="110"/>
        <v>115703.45999999999</v>
      </c>
      <c r="V717" s="9">
        <f>MIN($I717,$H717)*INDEX('Key Metrics'!$E$16:$N$19,MATCH($E717,'Key Metrics'!$E$16:$E$19,0),MATCH(V$1,'Key Metrics'!$E$16:$M$16,0))</f>
        <v>67416.3</v>
      </c>
      <c r="W717" s="9">
        <f>IF($H717&gt;I717, MIN($H717-I717, J717-I717)*INDEX('Key Metrics'!$E$16:$N$19,MATCH($E717,'Key Metrics'!$E$16:$E$19,0),MATCH(W$1,'Key Metrics'!$E$16:$M$16,0)),0)</f>
        <v>0</v>
      </c>
      <c r="X717" s="9">
        <f>IF($H717&gt;J717, MIN($H717-J717, K717-J717)*INDEX('Key Metrics'!$E$16:$N$19,MATCH($E717,'Key Metrics'!$E$16:$E$19,0),MATCH(X$1,'Key Metrics'!$E$16:$M$16,0)),0)</f>
        <v>0</v>
      </c>
      <c r="Y717" s="9">
        <f>IF($H717&gt;K717, MIN($H717-K717, L717-K717)*INDEX('Key Metrics'!$E$16:$N$19,MATCH($E717,'Key Metrics'!$E$16:$E$19,0),MATCH(Y$1,'Key Metrics'!$E$16:$M$16,0)),0)</f>
        <v>0</v>
      </c>
      <c r="Z717" s="9">
        <f>IF($H717&gt;L717,($H717-L717)*INDEX('Key Metrics'!$E$16:$N$19,MATCH($E717,'Key Metrics'!$E$16:$E$19,0),MATCH(Z$1,'Key Metrics'!$E$16:$M$16,0)),0)</f>
        <v>0</v>
      </c>
      <c r="AA717" s="9">
        <f t="shared" si="119"/>
        <v>67416.3</v>
      </c>
      <c r="AB717" s="9">
        <f t="shared" si="111"/>
        <v>67417.049070000008</v>
      </c>
    </row>
    <row r="718" spans="1:28" x14ac:dyDescent="0.55000000000000004">
      <c r="A718" t="str">
        <f t="shared" si="112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COUNTIF(deals_closed!$D$2:$D$20001,Calculations!B572)</f>
        <v>21</v>
      </c>
      <c r="H718" s="7">
        <f>SUMIF(deals_closed!$D:$D,Calculations!B572,deals_closed!$C:$C)</f>
        <v>768592</v>
      </c>
      <c r="I718" s="5">
        <f>VLOOKUP(E718,'2018_commission_structure'!$A$1:$I$4,9,FALSE)</f>
        <v>600000</v>
      </c>
      <c r="J718" s="9">
        <f t="shared" si="113"/>
        <v>750000</v>
      </c>
      <c r="K718" s="10">
        <f t="shared" si="114"/>
        <v>900000</v>
      </c>
      <c r="L718" s="9">
        <f t="shared" si="115"/>
        <v>1200000</v>
      </c>
      <c r="M718" s="8">
        <f t="shared" si="116"/>
        <v>1.2809866666666667</v>
      </c>
      <c r="N718" t="str">
        <f t="shared" si="117"/>
        <v>125-150%</v>
      </c>
      <c r="O718" s="9">
        <f>MIN($H718,$I718)*INDEX('2018_commission_structure'!$A$1:$I$4,MATCH($E718,'2018_commission_structure'!$A$1:$A$4,0),MATCH(O$1,'2018_commission_structure'!$A$1:$I$1,0))</f>
        <v>78000</v>
      </c>
      <c r="P718" s="9">
        <f>IF(H718&gt;I718, MIN(H718-I718, J718-I718)*INDEX('2018_commission_structure'!$A$1:$I$4,MATCH($E718,'2018_commission_structure'!$A$1:$A$4,0),MATCH(P$1,'2018_commission_structure'!$A$1:$I$1,0)),0)</f>
        <v>25500.000000000004</v>
      </c>
      <c r="Q718" s="9">
        <f>IF($H718&gt;J718, MIN($H718-J718, K718-J718)*INDEX('2018_commission_structure'!$A$1:$I$4,MATCH($E718,'2018_commission_structure'!$A$1:$A$4,0),MATCH(Q$1,'2018_commission_structure'!$A$1:$I$1,0)),0)</f>
        <v>3904.3199999999997</v>
      </c>
      <c r="R718" s="9">
        <f>IF($H718&gt;K718, MIN($H718-K718, L718-K718)*INDEX('2018_commission_structure'!$A$1:$I$4,MATCH($E718,'2018_commission_structure'!$A$1:$A$4,0),MATCH(R$1,'2018_commission_structure'!$A$1:$I$1,0)),0)</f>
        <v>0</v>
      </c>
      <c r="S718" s="9">
        <f>IF(H718&gt;L718,(H718-L718)*INDEX('2018_commission_structure'!$A$1:$I$4,MATCH($E718,'2018_commission_structure'!$A$1:$A$4,0),MATCH(S$1,'2018_commission_structure'!$A$1:$I$1,0)),0)</f>
        <v>0</v>
      </c>
      <c r="T718" s="9">
        <f t="shared" si="118"/>
        <v>107404.32</v>
      </c>
      <c r="U718" s="9">
        <f t="shared" si="110"/>
        <v>173908.32</v>
      </c>
      <c r="V718" s="9">
        <f>MIN($I718,$H718)*INDEX('Key Metrics'!$E$16:$N$19,MATCH($E718,'Key Metrics'!$E$16:$E$19,0),MATCH(V$1,'Key Metrics'!$E$16:$M$16,0))</f>
        <v>90000</v>
      </c>
      <c r="W718" s="9">
        <f>IF($H718&gt;I718, MIN($H718-I718, J718-I718)*INDEX('Key Metrics'!$E$16:$N$19,MATCH($E718,'Key Metrics'!$E$16:$E$19,0),MATCH(W$1,'Key Metrics'!$E$16:$M$16,0)),0)</f>
        <v>27000</v>
      </c>
      <c r="X718" s="9">
        <f>IF($H718&gt;J718, MIN($H718-J718, K718-J718)*INDEX('Key Metrics'!$E$16:$N$19,MATCH($E718,'Key Metrics'!$E$16:$E$19,0),MATCH(X$1,'Key Metrics'!$E$16:$M$16,0)),0)</f>
        <v>4648</v>
      </c>
      <c r="Y718" s="9">
        <f>IF($H718&gt;K718, MIN($H718-K718, L718-K718)*INDEX('Key Metrics'!$E$16:$N$19,MATCH($E718,'Key Metrics'!$E$16:$E$19,0),MATCH(Y$1,'Key Metrics'!$E$16:$M$16,0)),0)</f>
        <v>0</v>
      </c>
      <c r="Z718" s="9">
        <f>IF($H718&gt;L718,($H718-L718)*INDEX('Key Metrics'!$E$16:$N$19,MATCH($E718,'Key Metrics'!$E$16:$E$19,0),MATCH(Z$1,'Key Metrics'!$E$16:$M$16,0)),0)</f>
        <v>0</v>
      </c>
      <c r="AA718" s="9">
        <f t="shared" si="119"/>
        <v>121648</v>
      </c>
      <c r="AB718" s="9">
        <f t="shared" si="111"/>
        <v>121649.28098666666</v>
      </c>
    </row>
    <row r="719" spans="1:28" x14ac:dyDescent="0.55000000000000004">
      <c r="A719" t="str">
        <f t="shared" si="112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COUNTIF(deals_closed!$D$2:$D$20001,Calculations!B277)</f>
        <v>29</v>
      </c>
      <c r="H719" s="7">
        <f>SUMIF(deals_closed!$D:$D,Calculations!B277,deals_closed!$C:$C)</f>
        <v>1082264</v>
      </c>
      <c r="I719" s="5">
        <f>VLOOKUP(E719,'2018_commission_structure'!$A$1:$I$4,9,FALSE)</f>
        <v>500000</v>
      </c>
      <c r="J719" s="9">
        <f t="shared" si="113"/>
        <v>625000</v>
      </c>
      <c r="K719" s="10">
        <f t="shared" si="114"/>
        <v>750000</v>
      </c>
      <c r="L719" s="9">
        <f t="shared" si="115"/>
        <v>1000000</v>
      </c>
      <c r="M719" s="8">
        <f t="shared" si="116"/>
        <v>2.1645279999999998</v>
      </c>
      <c r="N719" t="str">
        <f t="shared" si="117"/>
        <v>&gt;200%</v>
      </c>
      <c r="O719" s="9">
        <f>MIN($H719,$I719)*INDEX('2018_commission_structure'!$A$1:$I$4,MATCH($E719,'2018_commission_structure'!$A$1:$A$4,0),MATCH(O$1,'2018_commission_structure'!$A$1:$I$1,0))</f>
        <v>50000</v>
      </c>
      <c r="P719" s="9">
        <f>IF(H719&gt;I719, MIN(H719-I719, J719-I719)*INDEX('2018_commission_structure'!$A$1:$I$4,MATCH($E719,'2018_commission_structure'!$A$1:$A$4,0),MATCH(P$1,'2018_commission_structure'!$A$1:$I$1,0)),0)</f>
        <v>18750</v>
      </c>
      <c r="Q719" s="9">
        <f>IF($H719&gt;J719, MIN($H719-J719, K719-J719)*INDEX('2018_commission_structure'!$A$1:$I$4,MATCH($E719,'2018_commission_structure'!$A$1:$A$4,0),MATCH(Q$1,'2018_commission_structure'!$A$1:$I$1,0)),0)</f>
        <v>22500</v>
      </c>
      <c r="R719" s="9">
        <f>IF($H719&gt;K719, MIN($H719-K719, L719-K719)*INDEX('2018_commission_structure'!$A$1:$I$4,MATCH($E719,'2018_commission_structure'!$A$1:$A$4,0),MATCH(R$1,'2018_commission_structure'!$A$1:$I$1,0)),0)</f>
        <v>55000</v>
      </c>
      <c r="S719" s="9">
        <f>IF(H719&gt;L719,(H719-L719)*INDEX('2018_commission_structure'!$A$1:$I$4,MATCH($E719,'2018_commission_structure'!$A$1:$A$4,0),MATCH(S$1,'2018_commission_structure'!$A$1:$I$1,0)),0)</f>
        <v>8226.4</v>
      </c>
      <c r="T719" s="9">
        <f t="shared" si="118"/>
        <v>154476.4</v>
      </c>
      <c r="U719" s="9">
        <f t="shared" si="110"/>
        <v>216420.4</v>
      </c>
      <c r="V719" s="9">
        <f>MIN($I719,$H719)*INDEX('Key Metrics'!$E$16:$N$19,MATCH($E719,'Key Metrics'!$E$16:$E$19,0),MATCH(V$1,'Key Metrics'!$E$16:$M$16,0))</f>
        <v>60000</v>
      </c>
      <c r="W719" s="9">
        <f>IF($H719&gt;I719, MIN($H719-I719, J719-I719)*INDEX('Key Metrics'!$E$16:$N$19,MATCH($E719,'Key Metrics'!$E$16:$E$19,0),MATCH(W$1,'Key Metrics'!$E$16:$M$16,0)),0)</f>
        <v>21250</v>
      </c>
      <c r="X719" s="9">
        <f>IF($H719&gt;J719, MIN($H719-J719, K719-J719)*INDEX('Key Metrics'!$E$16:$N$19,MATCH($E719,'Key Metrics'!$E$16:$E$19,0),MATCH(X$1,'Key Metrics'!$E$16:$M$16,0)),0)</f>
        <v>25000</v>
      </c>
      <c r="Y719" s="9">
        <f>IF($H719&gt;K719, MIN($H719-K719, L719-K719)*INDEX('Key Metrics'!$E$16:$N$19,MATCH($E719,'Key Metrics'!$E$16:$E$19,0),MATCH(Y$1,'Key Metrics'!$E$16:$M$16,0)),0)</f>
        <v>55000</v>
      </c>
      <c r="Z719" s="9">
        <f>IF($H719&gt;L719,($H719-L719)*INDEX('Key Metrics'!$E$16:$N$19,MATCH($E719,'Key Metrics'!$E$16:$E$19,0),MATCH(Z$1,'Key Metrics'!$E$16:$M$16,0)),0)</f>
        <v>8226.4</v>
      </c>
      <c r="AA719" s="9">
        <f t="shared" si="119"/>
        <v>169476.4</v>
      </c>
      <c r="AB719" s="9">
        <f t="shared" si="111"/>
        <v>169478.56452799999</v>
      </c>
    </row>
    <row r="720" spans="1:28" x14ac:dyDescent="0.55000000000000004">
      <c r="A720" t="str">
        <f t="shared" si="112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COUNTIF(deals_closed!$D$2:$D$20001,Calculations!B95)</f>
        <v>17</v>
      </c>
      <c r="H720" s="7">
        <f>SUMIF(deals_closed!$D:$D,Calculations!B95,deals_closed!$C:$C)</f>
        <v>495757</v>
      </c>
      <c r="I720" s="5">
        <f>VLOOKUP(E720,'2018_commission_structure'!$A$1:$I$4,9,FALSE)</f>
        <v>500000</v>
      </c>
      <c r="J720" s="9">
        <f t="shared" si="113"/>
        <v>625000</v>
      </c>
      <c r="K720" s="10">
        <f t="shared" si="114"/>
        <v>750000</v>
      </c>
      <c r="L720" s="9">
        <f t="shared" si="115"/>
        <v>1000000</v>
      </c>
      <c r="M720" s="8">
        <f t="shared" si="116"/>
        <v>0.99151400000000001</v>
      </c>
      <c r="N720" t="str">
        <f t="shared" si="117"/>
        <v>0-100%</v>
      </c>
      <c r="O720" s="9">
        <f>MIN($H720,$I720)*INDEX('2018_commission_structure'!$A$1:$I$4,MATCH($E720,'2018_commission_structure'!$A$1:$A$4,0),MATCH(O$1,'2018_commission_structure'!$A$1:$I$1,0))</f>
        <v>49575.700000000004</v>
      </c>
      <c r="P720" s="9">
        <f>IF(H720&gt;I720, MIN(H720-I720, J720-I720)*INDEX('2018_commission_structure'!$A$1:$I$4,MATCH($E720,'2018_commission_structure'!$A$1:$A$4,0),MATCH(P$1,'2018_commission_structure'!$A$1:$I$1,0)),0)</f>
        <v>0</v>
      </c>
      <c r="Q720" s="9">
        <f>IF($H720&gt;J720, MIN($H720-J720, K720-J720)*INDEX('2018_commission_structure'!$A$1:$I$4,MATCH($E720,'2018_commission_structure'!$A$1:$A$4,0),MATCH(Q$1,'2018_commission_structure'!$A$1:$I$1,0)),0)</f>
        <v>0</v>
      </c>
      <c r="R720" s="9">
        <f>IF($H720&gt;K720, MIN($H720-K720, L720-K720)*INDEX('2018_commission_structure'!$A$1:$I$4,MATCH($E720,'2018_commission_structure'!$A$1:$A$4,0),MATCH(R$1,'2018_commission_structure'!$A$1:$I$1,0)),0)</f>
        <v>0</v>
      </c>
      <c r="S720" s="9">
        <f>IF(H720&gt;L720,(H720-L720)*INDEX('2018_commission_structure'!$A$1:$I$4,MATCH($E720,'2018_commission_structure'!$A$1:$A$4,0),MATCH(S$1,'2018_commission_structure'!$A$1:$I$1,0)),0)</f>
        <v>0</v>
      </c>
      <c r="T720" s="9">
        <f t="shared" si="118"/>
        <v>49575.700000000004</v>
      </c>
      <c r="U720" s="9">
        <f t="shared" si="110"/>
        <v>93447.700000000012</v>
      </c>
      <c r="V720" s="9">
        <f>MIN($I720,$H720)*INDEX('Key Metrics'!$E$16:$N$19,MATCH($E720,'Key Metrics'!$E$16:$E$19,0),MATCH(V$1,'Key Metrics'!$E$16:$M$16,0))</f>
        <v>59490.84</v>
      </c>
      <c r="W720" s="9">
        <f>IF($H720&gt;I720, MIN($H720-I720, J720-I720)*INDEX('Key Metrics'!$E$16:$N$19,MATCH($E720,'Key Metrics'!$E$16:$E$19,0),MATCH(W$1,'Key Metrics'!$E$16:$M$16,0)),0)</f>
        <v>0</v>
      </c>
      <c r="X720" s="9">
        <f>IF($H720&gt;J720, MIN($H720-J720, K720-J720)*INDEX('Key Metrics'!$E$16:$N$19,MATCH($E720,'Key Metrics'!$E$16:$E$19,0),MATCH(X$1,'Key Metrics'!$E$16:$M$16,0)),0)</f>
        <v>0</v>
      </c>
      <c r="Y720" s="9">
        <f>IF($H720&gt;K720, MIN($H720-K720, L720-K720)*INDEX('Key Metrics'!$E$16:$N$19,MATCH($E720,'Key Metrics'!$E$16:$E$19,0),MATCH(Y$1,'Key Metrics'!$E$16:$M$16,0)),0)</f>
        <v>0</v>
      </c>
      <c r="Z720" s="9">
        <f>IF($H720&gt;L720,($H720-L720)*INDEX('Key Metrics'!$E$16:$N$19,MATCH($E720,'Key Metrics'!$E$16:$E$19,0),MATCH(Z$1,'Key Metrics'!$E$16:$M$16,0)),0)</f>
        <v>0</v>
      </c>
      <c r="AA720" s="9">
        <f t="shared" si="119"/>
        <v>59490.84</v>
      </c>
      <c r="AB720" s="9">
        <f t="shared" si="111"/>
        <v>59491.831513999998</v>
      </c>
    </row>
    <row r="721" spans="1:28" x14ac:dyDescent="0.55000000000000004">
      <c r="A721" t="str">
        <f t="shared" si="112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COUNTIF(deals_closed!$D$2:$D$20001,Calculations!B302)</f>
        <v>29</v>
      </c>
      <c r="H721" s="7">
        <f>SUMIF(deals_closed!$D:$D,Calculations!B302,deals_closed!$C:$C)</f>
        <v>1086845</v>
      </c>
      <c r="I721" s="5">
        <f>VLOOKUP(E721,'2018_commission_structure'!$A$1:$I$4,9,FALSE)</f>
        <v>500000</v>
      </c>
      <c r="J721" s="9">
        <f t="shared" si="113"/>
        <v>625000</v>
      </c>
      <c r="K721" s="10">
        <f t="shared" si="114"/>
        <v>750000</v>
      </c>
      <c r="L721" s="9">
        <f t="shared" si="115"/>
        <v>1000000</v>
      </c>
      <c r="M721" s="8">
        <f t="shared" si="116"/>
        <v>2.1736900000000001</v>
      </c>
      <c r="N721" t="str">
        <f t="shared" si="117"/>
        <v>&gt;200%</v>
      </c>
      <c r="O721" s="9">
        <f>MIN($H721,$I721)*INDEX('2018_commission_structure'!$A$1:$I$4,MATCH($E721,'2018_commission_structure'!$A$1:$A$4,0),MATCH(O$1,'2018_commission_structure'!$A$1:$I$1,0))</f>
        <v>50000</v>
      </c>
      <c r="P721" s="9">
        <f>IF(H721&gt;I721, MIN(H721-I721, J721-I721)*INDEX('2018_commission_structure'!$A$1:$I$4,MATCH($E721,'2018_commission_structure'!$A$1:$A$4,0),MATCH(P$1,'2018_commission_structure'!$A$1:$I$1,0)),0)</f>
        <v>18750</v>
      </c>
      <c r="Q721" s="9">
        <f>IF($H721&gt;J721, MIN($H721-J721, K721-J721)*INDEX('2018_commission_structure'!$A$1:$I$4,MATCH($E721,'2018_commission_structure'!$A$1:$A$4,0),MATCH(Q$1,'2018_commission_structure'!$A$1:$I$1,0)),0)</f>
        <v>22500</v>
      </c>
      <c r="R721" s="9">
        <f>IF($H721&gt;K721, MIN($H721-K721, L721-K721)*INDEX('2018_commission_structure'!$A$1:$I$4,MATCH($E721,'2018_commission_structure'!$A$1:$A$4,0),MATCH(R$1,'2018_commission_structure'!$A$1:$I$1,0)),0)</f>
        <v>55000</v>
      </c>
      <c r="S721" s="9">
        <f>IF(H721&gt;L721,(H721-L721)*INDEX('2018_commission_structure'!$A$1:$I$4,MATCH($E721,'2018_commission_structure'!$A$1:$A$4,0),MATCH(S$1,'2018_commission_structure'!$A$1:$I$1,0)),0)</f>
        <v>8684.5</v>
      </c>
      <c r="T721" s="9">
        <f t="shared" si="118"/>
        <v>154934.5</v>
      </c>
      <c r="U721" s="9">
        <f t="shared" si="110"/>
        <v>191156.5</v>
      </c>
      <c r="V721" s="9">
        <f>MIN($I721,$H721)*INDEX('Key Metrics'!$E$16:$N$19,MATCH($E721,'Key Metrics'!$E$16:$E$19,0),MATCH(V$1,'Key Metrics'!$E$16:$M$16,0))</f>
        <v>60000</v>
      </c>
      <c r="W721" s="9">
        <f>IF($H721&gt;I721, MIN($H721-I721, J721-I721)*INDEX('Key Metrics'!$E$16:$N$19,MATCH($E721,'Key Metrics'!$E$16:$E$19,0),MATCH(W$1,'Key Metrics'!$E$16:$M$16,0)),0)</f>
        <v>21250</v>
      </c>
      <c r="X721" s="9">
        <f>IF($H721&gt;J721, MIN($H721-J721, K721-J721)*INDEX('Key Metrics'!$E$16:$N$19,MATCH($E721,'Key Metrics'!$E$16:$E$19,0),MATCH(X$1,'Key Metrics'!$E$16:$M$16,0)),0)</f>
        <v>25000</v>
      </c>
      <c r="Y721" s="9">
        <f>IF($H721&gt;K721, MIN($H721-K721, L721-K721)*INDEX('Key Metrics'!$E$16:$N$19,MATCH($E721,'Key Metrics'!$E$16:$E$19,0),MATCH(Y$1,'Key Metrics'!$E$16:$M$16,0)),0)</f>
        <v>55000</v>
      </c>
      <c r="Z721" s="9">
        <f>IF($H721&gt;L721,($H721-L721)*INDEX('Key Metrics'!$E$16:$N$19,MATCH($E721,'Key Metrics'!$E$16:$E$19,0),MATCH(Z$1,'Key Metrics'!$E$16:$M$16,0)),0)</f>
        <v>8684.5</v>
      </c>
      <c r="AA721" s="9">
        <f t="shared" si="119"/>
        <v>169934.5</v>
      </c>
      <c r="AB721" s="9">
        <f t="shared" si="111"/>
        <v>169936.67369</v>
      </c>
    </row>
    <row r="722" spans="1:28" x14ac:dyDescent="0.55000000000000004">
      <c r="A722" t="str">
        <f t="shared" si="112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COUNTIF(deals_closed!$D$2:$D$20001,Calculations!B258)</f>
        <v>26</v>
      </c>
      <c r="H722" s="7">
        <f>SUMIF(deals_closed!$D:$D,Calculations!B258,deals_closed!$C:$C)</f>
        <v>961682</v>
      </c>
      <c r="I722" s="5">
        <f>VLOOKUP(E722,'2018_commission_structure'!$A$1:$I$4,9,FALSE)</f>
        <v>750000</v>
      </c>
      <c r="J722" s="9">
        <f t="shared" si="113"/>
        <v>937500</v>
      </c>
      <c r="K722" s="10">
        <f t="shared" si="114"/>
        <v>1125000</v>
      </c>
      <c r="L722" s="9">
        <f t="shared" si="115"/>
        <v>1500000</v>
      </c>
      <c r="M722" s="8">
        <f t="shared" si="116"/>
        <v>1.2822426666666666</v>
      </c>
      <c r="N722" t="str">
        <f t="shared" si="117"/>
        <v>125-150%</v>
      </c>
      <c r="O722" s="9">
        <f>MIN($H722,$I722)*INDEX('2018_commission_structure'!$A$1:$I$4,MATCH($E722,'2018_commission_structure'!$A$1:$A$4,0),MATCH(O$1,'2018_commission_structure'!$A$1:$I$1,0))</f>
        <v>112500</v>
      </c>
      <c r="P722" s="9">
        <f>IF(H722&gt;I722, MIN(H722-I722, J722-I722)*INDEX('2018_commission_structure'!$A$1:$I$4,MATCH($E722,'2018_commission_structure'!$A$1:$A$4,0),MATCH(P$1,'2018_commission_structure'!$A$1:$I$1,0)),0)</f>
        <v>35625</v>
      </c>
      <c r="Q722" s="9">
        <f>IF($H722&gt;J722, MIN($H722-J722, K722-J722)*INDEX('2018_commission_structure'!$A$1:$I$4,MATCH($E722,'2018_commission_structure'!$A$1:$A$4,0),MATCH(Q$1,'2018_commission_structure'!$A$1:$I$1,0)),0)</f>
        <v>5561.8600000000006</v>
      </c>
      <c r="R722" s="9">
        <f>IF($H722&gt;K722, MIN($H722-K722, L722-K722)*INDEX('2018_commission_structure'!$A$1:$I$4,MATCH($E722,'2018_commission_structure'!$A$1:$A$4,0),MATCH(R$1,'2018_commission_structure'!$A$1:$I$1,0)),0)</f>
        <v>0</v>
      </c>
      <c r="S722" s="9">
        <f>IF(H722&gt;L722,(H722-L722)*INDEX('2018_commission_structure'!$A$1:$I$4,MATCH($E722,'2018_commission_structure'!$A$1:$A$4,0),MATCH(S$1,'2018_commission_structure'!$A$1:$I$1,0)),0)</f>
        <v>0</v>
      </c>
      <c r="T722" s="9">
        <f t="shared" si="118"/>
        <v>153686.85999999999</v>
      </c>
      <c r="U722" s="9">
        <f t="shared" si="110"/>
        <v>278058.86</v>
      </c>
      <c r="V722" s="9">
        <f>MIN($I722,$H722)*INDEX('Key Metrics'!$E$16:$N$19,MATCH($E722,'Key Metrics'!$E$16:$E$19,0),MATCH(V$1,'Key Metrics'!$E$16:$M$16,0))</f>
        <v>112500</v>
      </c>
      <c r="W722" s="9">
        <f>IF($H722&gt;I722, MIN($H722-I722, J722-I722)*INDEX('Key Metrics'!$E$16:$N$19,MATCH($E722,'Key Metrics'!$E$16:$E$19,0),MATCH(W$1,'Key Metrics'!$E$16:$M$16,0)),0)</f>
        <v>41250</v>
      </c>
      <c r="X722" s="9">
        <f>IF($H722&gt;J722, MIN($H722-J722, K722-J722)*INDEX('Key Metrics'!$E$16:$N$19,MATCH($E722,'Key Metrics'!$E$16:$E$19,0),MATCH(X$1,'Key Metrics'!$E$16:$M$16,0)),0)</f>
        <v>6045.5</v>
      </c>
      <c r="Y722" s="9">
        <f>IF($H722&gt;K722, MIN($H722-K722, L722-K722)*INDEX('Key Metrics'!$E$16:$N$19,MATCH($E722,'Key Metrics'!$E$16:$E$19,0),MATCH(Y$1,'Key Metrics'!$E$16:$M$16,0)),0)</f>
        <v>0</v>
      </c>
      <c r="Z722" s="9">
        <f>IF($H722&gt;L722,($H722-L722)*INDEX('Key Metrics'!$E$16:$N$19,MATCH($E722,'Key Metrics'!$E$16:$E$19,0),MATCH(Z$1,'Key Metrics'!$E$16:$M$16,0)),0)</f>
        <v>0</v>
      </c>
      <c r="AA722" s="9">
        <f t="shared" si="119"/>
        <v>159795.5</v>
      </c>
      <c r="AB722" s="9">
        <f t="shared" si="111"/>
        <v>159796.78224266667</v>
      </c>
    </row>
    <row r="723" spans="1:28" x14ac:dyDescent="0.55000000000000004">
      <c r="A723" t="str">
        <f t="shared" si="112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COUNTIF(deals_closed!$D$2:$D$20001,Calculations!B555)</f>
        <v>21</v>
      </c>
      <c r="H723" s="7">
        <f>SUMIF(deals_closed!$D:$D,Calculations!B555,deals_closed!$C:$C)</f>
        <v>662174</v>
      </c>
      <c r="I723" s="5">
        <f>VLOOKUP(E723,'2018_commission_structure'!$A$1:$I$4,9,FALSE)</f>
        <v>500000</v>
      </c>
      <c r="J723" s="9">
        <f t="shared" si="113"/>
        <v>625000</v>
      </c>
      <c r="K723" s="10">
        <f t="shared" si="114"/>
        <v>750000</v>
      </c>
      <c r="L723" s="9">
        <f t="shared" si="115"/>
        <v>1000000</v>
      </c>
      <c r="M723" s="8">
        <f t="shared" si="116"/>
        <v>1.3243480000000001</v>
      </c>
      <c r="N723" t="str">
        <f t="shared" si="117"/>
        <v>125-150%</v>
      </c>
      <c r="O723" s="9">
        <f>MIN($H723,$I723)*INDEX('2018_commission_structure'!$A$1:$I$4,MATCH($E723,'2018_commission_structure'!$A$1:$A$4,0),MATCH(O$1,'2018_commission_structure'!$A$1:$I$1,0))</f>
        <v>50000</v>
      </c>
      <c r="P723" s="9">
        <f>IF(H723&gt;I723, MIN(H723-I723, J723-I723)*INDEX('2018_commission_structure'!$A$1:$I$4,MATCH($E723,'2018_commission_structure'!$A$1:$A$4,0),MATCH(P$1,'2018_commission_structure'!$A$1:$I$1,0)),0)</f>
        <v>18750</v>
      </c>
      <c r="Q723" s="9">
        <f>IF($H723&gt;J723, MIN($H723-J723, K723-J723)*INDEX('2018_commission_structure'!$A$1:$I$4,MATCH($E723,'2018_commission_structure'!$A$1:$A$4,0),MATCH(Q$1,'2018_commission_structure'!$A$1:$I$1,0)),0)</f>
        <v>6691.32</v>
      </c>
      <c r="R723" s="9">
        <f>IF($H723&gt;K723, MIN($H723-K723, L723-K723)*INDEX('2018_commission_structure'!$A$1:$I$4,MATCH($E723,'2018_commission_structure'!$A$1:$A$4,0),MATCH(R$1,'2018_commission_structure'!$A$1:$I$1,0)),0)</f>
        <v>0</v>
      </c>
      <c r="S723" s="9">
        <f>IF(H723&gt;L723,(H723-L723)*INDEX('2018_commission_structure'!$A$1:$I$4,MATCH($E723,'2018_commission_structure'!$A$1:$A$4,0),MATCH(S$1,'2018_commission_structure'!$A$1:$I$1,0)),0)</f>
        <v>0</v>
      </c>
      <c r="T723" s="9">
        <f t="shared" si="118"/>
        <v>75441.320000000007</v>
      </c>
      <c r="U723" s="9">
        <f t="shared" si="110"/>
        <v>139349.32</v>
      </c>
      <c r="V723" s="9">
        <f>MIN($I723,$H723)*INDEX('Key Metrics'!$E$16:$N$19,MATCH($E723,'Key Metrics'!$E$16:$E$19,0),MATCH(V$1,'Key Metrics'!$E$16:$M$16,0))</f>
        <v>60000</v>
      </c>
      <c r="W723" s="9">
        <f>IF($H723&gt;I723, MIN($H723-I723, J723-I723)*INDEX('Key Metrics'!$E$16:$N$19,MATCH($E723,'Key Metrics'!$E$16:$E$19,0),MATCH(W$1,'Key Metrics'!$E$16:$M$16,0)),0)</f>
        <v>21250</v>
      </c>
      <c r="X723" s="9">
        <f>IF($H723&gt;J723, MIN($H723-J723, K723-J723)*INDEX('Key Metrics'!$E$16:$N$19,MATCH($E723,'Key Metrics'!$E$16:$E$19,0),MATCH(X$1,'Key Metrics'!$E$16:$M$16,0)),0)</f>
        <v>7434.8</v>
      </c>
      <c r="Y723" s="9">
        <f>IF($H723&gt;K723, MIN($H723-K723, L723-K723)*INDEX('Key Metrics'!$E$16:$N$19,MATCH($E723,'Key Metrics'!$E$16:$E$19,0),MATCH(Y$1,'Key Metrics'!$E$16:$M$16,0)),0)</f>
        <v>0</v>
      </c>
      <c r="Z723" s="9">
        <f>IF($H723&gt;L723,($H723-L723)*INDEX('Key Metrics'!$E$16:$N$19,MATCH($E723,'Key Metrics'!$E$16:$E$19,0),MATCH(Z$1,'Key Metrics'!$E$16:$M$16,0)),0)</f>
        <v>0</v>
      </c>
      <c r="AA723" s="9">
        <f t="shared" si="119"/>
        <v>88684.800000000003</v>
      </c>
      <c r="AB723" s="9">
        <f t="shared" si="111"/>
        <v>88686.124347999998</v>
      </c>
    </row>
    <row r="724" spans="1:28" x14ac:dyDescent="0.55000000000000004">
      <c r="A724" t="str">
        <f t="shared" si="112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COUNTIF(deals_closed!$D$2:$D$20001,Calculations!B734)</f>
        <v>31</v>
      </c>
      <c r="H724" s="7">
        <f>SUMIF(deals_closed!$D:$D,Calculations!B734,deals_closed!$C:$C)</f>
        <v>1005303</v>
      </c>
      <c r="I724" s="5">
        <f>VLOOKUP(E724,'2018_commission_structure'!$A$1:$I$4,9,FALSE)</f>
        <v>500000</v>
      </c>
      <c r="J724" s="9">
        <f t="shared" si="113"/>
        <v>625000</v>
      </c>
      <c r="K724" s="10">
        <f t="shared" si="114"/>
        <v>750000</v>
      </c>
      <c r="L724" s="9">
        <f t="shared" si="115"/>
        <v>1000000</v>
      </c>
      <c r="M724" s="8">
        <f t="shared" si="116"/>
        <v>2.0106060000000001</v>
      </c>
      <c r="N724" t="str">
        <f t="shared" si="117"/>
        <v>&gt;200%</v>
      </c>
      <c r="O724" s="9">
        <f>MIN($H724,$I724)*INDEX('2018_commission_structure'!$A$1:$I$4,MATCH($E724,'2018_commission_structure'!$A$1:$A$4,0),MATCH(O$1,'2018_commission_structure'!$A$1:$I$1,0))</f>
        <v>50000</v>
      </c>
      <c r="P724" s="9">
        <f>IF(H724&gt;I724, MIN(H724-I724, J724-I724)*INDEX('2018_commission_structure'!$A$1:$I$4,MATCH($E724,'2018_commission_structure'!$A$1:$A$4,0),MATCH(P$1,'2018_commission_structure'!$A$1:$I$1,0)),0)</f>
        <v>18750</v>
      </c>
      <c r="Q724" s="9">
        <f>IF($H724&gt;J724, MIN($H724-J724, K724-J724)*INDEX('2018_commission_structure'!$A$1:$I$4,MATCH($E724,'2018_commission_structure'!$A$1:$A$4,0),MATCH(Q$1,'2018_commission_structure'!$A$1:$I$1,0)),0)</f>
        <v>22500</v>
      </c>
      <c r="R724" s="9">
        <f>IF($H724&gt;K724, MIN($H724-K724, L724-K724)*INDEX('2018_commission_structure'!$A$1:$I$4,MATCH($E724,'2018_commission_structure'!$A$1:$A$4,0),MATCH(R$1,'2018_commission_structure'!$A$1:$I$1,0)),0)</f>
        <v>55000</v>
      </c>
      <c r="S724" s="9">
        <f>IF(H724&gt;L724,(H724-L724)*INDEX('2018_commission_structure'!$A$1:$I$4,MATCH($E724,'2018_commission_structure'!$A$1:$A$4,0),MATCH(S$1,'2018_commission_structure'!$A$1:$I$1,0)),0)</f>
        <v>530.30000000000007</v>
      </c>
      <c r="T724" s="9">
        <f t="shared" si="118"/>
        <v>146780.29999999999</v>
      </c>
      <c r="U724" s="9">
        <f t="shared" si="110"/>
        <v>182950.3</v>
      </c>
      <c r="V724" s="9">
        <f>MIN($I724,$H724)*INDEX('Key Metrics'!$E$16:$N$19,MATCH($E724,'Key Metrics'!$E$16:$E$19,0),MATCH(V$1,'Key Metrics'!$E$16:$M$16,0))</f>
        <v>60000</v>
      </c>
      <c r="W724" s="9">
        <f>IF($H724&gt;I724, MIN($H724-I724, J724-I724)*INDEX('Key Metrics'!$E$16:$N$19,MATCH($E724,'Key Metrics'!$E$16:$E$19,0),MATCH(W$1,'Key Metrics'!$E$16:$M$16,0)),0)</f>
        <v>21250</v>
      </c>
      <c r="X724" s="9">
        <f>IF($H724&gt;J724, MIN($H724-J724, K724-J724)*INDEX('Key Metrics'!$E$16:$N$19,MATCH($E724,'Key Metrics'!$E$16:$E$19,0),MATCH(X$1,'Key Metrics'!$E$16:$M$16,0)),0)</f>
        <v>25000</v>
      </c>
      <c r="Y724" s="9">
        <f>IF($H724&gt;K724, MIN($H724-K724, L724-K724)*INDEX('Key Metrics'!$E$16:$N$19,MATCH($E724,'Key Metrics'!$E$16:$E$19,0),MATCH(Y$1,'Key Metrics'!$E$16:$M$16,0)),0)</f>
        <v>55000</v>
      </c>
      <c r="Z724" s="9">
        <f>IF($H724&gt;L724,($H724-L724)*INDEX('Key Metrics'!$E$16:$N$19,MATCH($E724,'Key Metrics'!$E$16:$E$19,0),MATCH(Z$1,'Key Metrics'!$E$16:$M$16,0)),0)</f>
        <v>530.30000000000007</v>
      </c>
      <c r="AA724" s="9">
        <f t="shared" si="119"/>
        <v>161780.29999999999</v>
      </c>
      <c r="AB724" s="9">
        <f t="shared" si="111"/>
        <v>161782.31060599998</v>
      </c>
    </row>
    <row r="725" spans="1:28" x14ac:dyDescent="0.55000000000000004">
      <c r="A725" t="str">
        <f t="shared" si="112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COUNTIF(deals_closed!$D$2:$D$20001,Calculations!B155)</f>
        <v>21</v>
      </c>
      <c r="H725" s="7">
        <f>SUMIF(deals_closed!$D:$D,Calculations!B155,deals_closed!$C:$C)</f>
        <v>823572</v>
      </c>
      <c r="I725" s="5">
        <f>VLOOKUP(E725,'2018_commission_structure'!$A$1:$I$4,9,FALSE)</f>
        <v>750000</v>
      </c>
      <c r="J725" s="9">
        <f t="shared" si="113"/>
        <v>937500</v>
      </c>
      <c r="K725" s="10">
        <f t="shared" si="114"/>
        <v>1125000</v>
      </c>
      <c r="L725" s="9">
        <f t="shared" si="115"/>
        <v>1500000</v>
      </c>
      <c r="M725" s="8">
        <f t="shared" si="116"/>
        <v>1.098096</v>
      </c>
      <c r="N725" t="str">
        <f t="shared" si="117"/>
        <v>100-125%</v>
      </c>
      <c r="O725" s="9">
        <f>MIN($H725,$I725)*INDEX('2018_commission_structure'!$A$1:$I$4,MATCH($E725,'2018_commission_structure'!$A$1:$A$4,0),MATCH(O$1,'2018_commission_structure'!$A$1:$I$1,0))</f>
        <v>112500</v>
      </c>
      <c r="P725" s="9">
        <f>IF(H725&gt;I725, MIN(H725-I725, J725-I725)*INDEX('2018_commission_structure'!$A$1:$I$4,MATCH($E725,'2018_commission_structure'!$A$1:$A$4,0),MATCH(P$1,'2018_commission_structure'!$A$1:$I$1,0)),0)</f>
        <v>13978.68</v>
      </c>
      <c r="Q725" s="9">
        <f>IF($H725&gt;J725, MIN($H725-J725, K725-J725)*INDEX('2018_commission_structure'!$A$1:$I$4,MATCH($E725,'2018_commission_structure'!$A$1:$A$4,0),MATCH(Q$1,'2018_commission_structure'!$A$1:$I$1,0)),0)</f>
        <v>0</v>
      </c>
      <c r="R725" s="9">
        <f>IF($H725&gt;K725, MIN($H725-K725, L725-K725)*INDEX('2018_commission_structure'!$A$1:$I$4,MATCH($E725,'2018_commission_structure'!$A$1:$A$4,0),MATCH(R$1,'2018_commission_structure'!$A$1:$I$1,0)),0)</f>
        <v>0</v>
      </c>
      <c r="S725" s="9">
        <f>IF(H725&gt;L725,(H725-L725)*INDEX('2018_commission_structure'!$A$1:$I$4,MATCH($E725,'2018_commission_structure'!$A$1:$A$4,0),MATCH(S$1,'2018_commission_structure'!$A$1:$I$1,0)),0)</f>
        <v>0</v>
      </c>
      <c r="T725" s="9">
        <f t="shared" si="118"/>
        <v>126478.68</v>
      </c>
      <c r="U725" s="9">
        <f t="shared" si="110"/>
        <v>219051.68</v>
      </c>
      <c r="V725" s="9">
        <f>MIN($I725,$H725)*INDEX('Key Metrics'!$E$16:$N$19,MATCH($E725,'Key Metrics'!$E$16:$E$19,0),MATCH(V$1,'Key Metrics'!$E$16:$M$16,0))</f>
        <v>112500</v>
      </c>
      <c r="W725" s="9">
        <f>IF($H725&gt;I725, MIN($H725-I725, J725-I725)*INDEX('Key Metrics'!$E$16:$N$19,MATCH($E725,'Key Metrics'!$E$16:$E$19,0),MATCH(W$1,'Key Metrics'!$E$16:$M$16,0)),0)</f>
        <v>16185.84</v>
      </c>
      <c r="X725" s="9">
        <f>IF($H725&gt;J725, MIN($H725-J725, K725-J725)*INDEX('Key Metrics'!$E$16:$N$19,MATCH($E725,'Key Metrics'!$E$16:$E$19,0),MATCH(X$1,'Key Metrics'!$E$16:$M$16,0)),0)</f>
        <v>0</v>
      </c>
      <c r="Y725" s="9">
        <f>IF($H725&gt;K725, MIN($H725-K725, L725-K725)*INDEX('Key Metrics'!$E$16:$N$19,MATCH($E725,'Key Metrics'!$E$16:$E$19,0),MATCH(Y$1,'Key Metrics'!$E$16:$M$16,0)),0)</f>
        <v>0</v>
      </c>
      <c r="Z725" s="9">
        <f>IF($H725&gt;L725,($H725-L725)*INDEX('Key Metrics'!$E$16:$N$19,MATCH($E725,'Key Metrics'!$E$16:$E$19,0),MATCH(Z$1,'Key Metrics'!$E$16:$M$16,0)),0)</f>
        <v>0</v>
      </c>
      <c r="AA725" s="9">
        <f t="shared" si="119"/>
        <v>128685.84</v>
      </c>
      <c r="AB725" s="9">
        <f t="shared" si="111"/>
        <v>128686.938096</v>
      </c>
    </row>
    <row r="726" spans="1:28" x14ac:dyDescent="0.55000000000000004">
      <c r="A726" t="str">
        <f t="shared" si="112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COUNTIF(deals_closed!$D$2:$D$20001,Calculations!B116)</f>
        <v>13</v>
      </c>
      <c r="H726" s="7">
        <f>SUMIF(deals_closed!$D:$D,Calculations!B116,deals_closed!$C:$C)</f>
        <v>616122</v>
      </c>
      <c r="I726" s="5">
        <f>VLOOKUP(E726,'2018_commission_structure'!$A$1:$I$4,9,FALSE)</f>
        <v>600000</v>
      </c>
      <c r="J726" s="9">
        <f t="shared" si="113"/>
        <v>750000</v>
      </c>
      <c r="K726" s="10">
        <f t="shared" si="114"/>
        <v>900000</v>
      </c>
      <c r="L726" s="9">
        <f t="shared" si="115"/>
        <v>1200000</v>
      </c>
      <c r="M726" s="8">
        <f t="shared" si="116"/>
        <v>1.0268699999999999</v>
      </c>
      <c r="N726" t="str">
        <f t="shared" si="117"/>
        <v>100-125%</v>
      </c>
      <c r="O726" s="9">
        <f>MIN($H726,$I726)*INDEX('2018_commission_structure'!$A$1:$I$4,MATCH($E726,'2018_commission_structure'!$A$1:$A$4,0),MATCH(O$1,'2018_commission_structure'!$A$1:$I$1,0))</f>
        <v>78000</v>
      </c>
      <c r="P726" s="9">
        <f>IF(H726&gt;I726, MIN(H726-I726, J726-I726)*INDEX('2018_commission_structure'!$A$1:$I$4,MATCH($E726,'2018_commission_structure'!$A$1:$A$4,0),MATCH(P$1,'2018_commission_structure'!$A$1:$I$1,0)),0)</f>
        <v>2740.7400000000002</v>
      </c>
      <c r="Q726" s="9">
        <f>IF($H726&gt;J726, MIN($H726-J726, K726-J726)*INDEX('2018_commission_structure'!$A$1:$I$4,MATCH($E726,'2018_commission_structure'!$A$1:$A$4,0),MATCH(Q$1,'2018_commission_structure'!$A$1:$I$1,0)),0)</f>
        <v>0</v>
      </c>
      <c r="R726" s="9">
        <f>IF($H726&gt;K726, MIN($H726-K726, L726-K726)*INDEX('2018_commission_structure'!$A$1:$I$4,MATCH($E726,'2018_commission_structure'!$A$1:$A$4,0),MATCH(R$1,'2018_commission_structure'!$A$1:$I$1,0)),0)</f>
        <v>0</v>
      </c>
      <c r="S726" s="9">
        <f>IF(H726&gt;L726,(H726-L726)*INDEX('2018_commission_structure'!$A$1:$I$4,MATCH($E726,'2018_commission_structure'!$A$1:$A$4,0),MATCH(S$1,'2018_commission_structure'!$A$1:$I$1,0)),0)</f>
        <v>0</v>
      </c>
      <c r="T726" s="9">
        <f t="shared" si="118"/>
        <v>80740.740000000005</v>
      </c>
      <c r="U726" s="9">
        <f t="shared" si="110"/>
        <v>153489.74</v>
      </c>
      <c r="V726" s="9">
        <f>MIN($I726,$H726)*INDEX('Key Metrics'!$E$16:$N$19,MATCH($E726,'Key Metrics'!$E$16:$E$19,0),MATCH(V$1,'Key Metrics'!$E$16:$M$16,0))</f>
        <v>90000</v>
      </c>
      <c r="W726" s="9">
        <f>IF($H726&gt;I726, MIN($H726-I726, J726-I726)*INDEX('Key Metrics'!$E$16:$N$19,MATCH($E726,'Key Metrics'!$E$16:$E$19,0),MATCH(W$1,'Key Metrics'!$E$16:$M$16,0)),0)</f>
        <v>2901.96</v>
      </c>
      <c r="X726" s="9">
        <f>IF($H726&gt;J726, MIN($H726-J726, K726-J726)*INDEX('Key Metrics'!$E$16:$N$19,MATCH($E726,'Key Metrics'!$E$16:$E$19,0),MATCH(X$1,'Key Metrics'!$E$16:$M$16,0)),0)</f>
        <v>0</v>
      </c>
      <c r="Y726" s="9">
        <f>IF($H726&gt;K726, MIN($H726-K726, L726-K726)*INDEX('Key Metrics'!$E$16:$N$19,MATCH($E726,'Key Metrics'!$E$16:$E$19,0),MATCH(Y$1,'Key Metrics'!$E$16:$M$16,0)),0)</f>
        <v>0</v>
      </c>
      <c r="Z726" s="9">
        <f>IF($H726&gt;L726,($H726-L726)*INDEX('Key Metrics'!$E$16:$N$19,MATCH($E726,'Key Metrics'!$E$16:$E$19,0),MATCH(Z$1,'Key Metrics'!$E$16:$M$16,0)),0)</f>
        <v>0</v>
      </c>
      <c r="AA726" s="9">
        <f t="shared" si="119"/>
        <v>92901.96</v>
      </c>
      <c r="AB726" s="9">
        <f t="shared" si="111"/>
        <v>92902.986870000008</v>
      </c>
    </row>
    <row r="727" spans="1:28" x14ac:dyDescent="0.55000000000000004">
      <c r="A727" t="str">
        <f t="shared" si="112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COUNTIF(deals_closed!$D$2:$D$20001,Calculations!B214)</f>
        <v>17</v>
      </c>
      <c r="H727" s="7">
        <f>SUMIF(deals_closed!$D:$D,Calculations!B214,deals_closed!$C:$C)</f>
        <v>593443</v>
      </c>
      <c r="I727" s="5">
        <f>VLOOKUP(E727,'2018_commission_structure'!$A$1:$I$4,9,FALSE)</f>
        <v>750000</v>
      </c>
      <c r="J727" s="9">
        <f t="shared" si="113"/>
        <v>937500</v>
      </c>
      <c r="K727" s="10">
        <f t="shared" si="114"/>
        <v>1125000</v>
      </c>
      <c r="L727" s="9">
        <f t="shared" si="115"/>
        <v>1500000</v>
      </c>
      <c r="M727" s="8">
        <f t="shared" si="116"/>
        <v>0.79125733333333337</v>
      </c>
      <c r="N727" t="str">
        <f t="shared" si="117"/>
        <v>0-100%</v>
      </c>
      <c r="O727" s="9">
        <f>MIN($H727,$I727)*INDEX('2018_commission_structure'!$A$1:$I$4,MATCH($E727,'2018_commission_structure'!$A$1:$A$4,0),MATCH(O$1,'2018_commission_structure'!$A$1:$I$1,0))</f>
        <v>89016.45</v>
      </c>
      <c r="P727" s="9">
        <f>IF(H727&gt;I727, MIN(H727-I727, J727-I727)*INDEX('2018_commission_structure'!$A$1:$I$4,MATCH($E727,'2018_commission_structure'!$A$1:$A$4,0),MATCH(P$1,'2018_commission_structure'!$A$1:$I$1,0)),0)</f>
        <v>0</v>
      </c>
      <c r="Q727" s="9">
        <f>IF($H727&gt;J727, MIN($H727-J727, K727-J727)*INDEX('2018_commission_structure'!$A$1:$I$4,MATCH($E727,'2018_commission_structure'!$A$1:$A$4,0),MATCH(Q$1,'2018_commission_structure'!$A$1:$I$1,0)),0)</f>
        <v>0</v>
      </c>
      <c r="R727" s="9">
        <f>IF($H727&gt;K727, MIN($H727-K727, L727-K727)*INDEX('2018_commission_structure'!$A$1:$I$4,MATCH($E727,'2018_commission_structure'!$A$1:$A$4,0),MATCH(R$1,'2018_commission_structure'!$A$1:$I$1,0)),0)</f>
        <v>0</v>
      </c>
      <c r="S727" s="9">
        <f>IF(H727&gt;L727,(H727-L727)*INDEX('2018_commission_structure'!$A$1:$I$4,MATCH($E727,'2018_commission_structure'!$A$1:$A$4,0),MATCH(S$1,'2018_commission_structure'!$A$1:$I$1,0)),0)</f>
        <v>0</v>
      </c>
      <c r="T727" s="9">
        <f t="shared" si="118"/>
        <v>89016.45</v>
      </c>
      <c r="U727" s="9">
        <f t="shared" si="110"/>
        <v>194481.45</v>
      </c>
      <c r="V727" s="9">
        <f>MIN($I727,$H727)*INDEX('Key Metrics'!$E$16:$N$19,MATCH($E727,'Key Metrics'!$E$16:$E$19,0),MATCH(V$1,'Key Metrics'!$E$16:$M$16,0))</f>
        <v>89016.45</v>
      </c>
      <c r="W727" s="9">
        <f>IF($H727&gt;I727, MIN($H727-I727, J727-I727)*INDEX('Key Metrics'!$E$16:$N$19,MATCH($E727,'Key Metrics'!$E$16:$E$19,0),MATCH(W$1,'Key Metrics'!$E$16:$M$16,0)),0)</f>
        <v>0</v>
      </c>
      <c r="X727" s="9">
        <f>IF($H727&gt;J727, MIN($H727-J727, K727-J727)*INDEX('Key Metrics'!$E$16:$N$19,MATCH($E727,'Key Metrics'!$E$16:$E$19,0),MATCH(X$1,'Key Metrics'!$E$16:$M$16,0)),0)</f>
        <v>0</v>
      </c>
      <c r="Y727" s="9">
        <f>IF($H727&gt;K727, MIN($H727-K727, L727-K727)*INDEX('Key Metrics'!$E$16:$N$19,MATCH($E727,'Key Metrics'!$E$16:$E$19,0),MATCH(Y$1,'Key Metrics'!$E$16:$M$16,0)),0)</f>
        <v>0</v>
      </c>
      <c r="Z727" s="9">
        <f>IF($H727&gt;L727,($H727-L727)*INDEX('Key Metrics'!$E$16:$N$19,MATCH($E727,'Key Metrics'!$E$16:$E$19,0),MATCH(Z$1,'Key Metrics'!$E$16:$M$16,0)),0)</f>
        <v>0</v>
      </c>
      <c r="AA727" s="9">
        <f t="shared" si="119"/>
        <v>89016.45</v>
      </c>
      <c r="AB727" s="9">
        <f t="shared" si="111"/>
        <v>89017.241257333328</v>
      </c>
    </row>
    <row r="728" spans="1:28" x14ac:dyDescent="0.55000000000000004">
      <c r="A728" t="str">
        <f t="shared" si="112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COUNTIF(deals_closed!$D$2:$D$20001,Calculations!B353)</f>
        <v>20</v>
      </c>
      <c r="H728" s="7">
        <f>SUMIF(deals_closed!$D:$D,Calculations!B353,deals_closed!$C:$C)</f>
        <v>694093</v>
      </c>
      <c r="I728" s="5">
        <f>VLOOKUP(E728,'2018_commission_structure'!$A$1:$I$4,9,FALSE)</f>
        <v>600000</v>
      </c>
      <c r="J728" s="9">
        <f t="shared" si="113"/>
        <v>750000</v>
      </c>
      <c r="K728" s="10">
        <f t="shared" si="114"/>
        <v>900000</v>
      </c>
      <c r="L728" s="9">
        <f t="shared" si="115"/>
        <v>1200000</v>
      </c>
      <c r="M728" s="8">
        <f t="shared" si="116"/>
        <v>1.1568216666666666</v>
      </c>
      <c r="N728" t="str">
        <f t="shared" si="117"/>
        <v>100-125%</v>
      </c>
      <c r="O728" s="9">
        <f>MIN($H728,$I728)*INDEX('2018_commission_structure'!$A$1:$I$4,MATCH($E728,'2018_commission_structure'!$A$1:$A$4,0),MATCH(O$1,'2018_commission_structure'!$A$1:$I$1,0))</f>
        <v>78000</v>
      </c>
      <c r="P728" s="9">
        <f>IF(H728&gt;I728, MIN(H728-I728, J728-I728)*INDEX('2018_commission_structure'!$A$1:$I$4,MATCH($E728,'2018_commission_structure'!$A$1:$A$4,0),MATCH(P$1,'2018_commission_structure'!$A$1:$I$1,0)),0)</f>
        <v>15995.810000000001</v>
      </c>
      <c r="Q728" s="9">
        <f>IF($H728&gt;J728, MIN($H728-J728, K728-J728)*INDEX('2018_commission_structure'!$A$1:$I$4,MATCH($E728,'2018_commission_structure'!$A$1:$A$4,0),MATCH(Q$1,'2018_commission_structure'!$A$1:$I$1,0)),0)</f>
        <v>0</v>
      </c>
      <c r="R728" s="9">
        <f>IF($H728&gt;K728, MIN($H728-K728, L728-K728)*INDEX('2018_commission_structure'!$A$1:$I$4,MATCH($E728,'2018_commission_structure'!$A$1:$A$4,0),MATCH(R$1,'2018_commission_structure'!$A$1:$I$1,0)),0)</f>
        <v>0</v>
      </c>
      <c r="S728" s="9">
        <f>IF(H728&gt;L728,(H728-L728)*INDEX('2018_commission_structure'!$A$1:$I$4,MATCH($E728,'2018_commission_structure'!$A$1:$A$4,0),MATCH(S$1,'2018_commission_structure'!$A$1:$I$1,0)),0)</f>
        <v>0</v>
      </c>
      <c r="T728" s="9">
        <f t="shared" si="118"/>
        <v>93995.81</v>
      </c>
      <c r="U728" s="9">
        <f t="shared" si="110"/>
        <v>157647.81</v>
      </c>
      <c r="V728" s="9">
        <f>MIN($I728,$H728)*INDEX('Key Metrics'!$E$16:$N$19,MATCH($E728,'Key Metrics'!$E$16:$E$19,0),MATCH(V$1,'Key Metrics'!$E$16:$M$16,0))</f>
        <v>90000</v>
      </c>
      <c r="W728" s="9">
        <f>IF($H728&gt;I728, MIN($H728-I728, J728-I728)*INDEX('Key Metrics'!$E$16:$N$19,MATCH($E728,'Key Metrics'!$E$16:$E$19,0),MATCH(W$1,'Key Metrics'!$E$16:$M$16,0)),0)</f>
        <v>16936.739999999998</v>
      </c>
      <c r="X728" s="9">
        <f>IF($H728&gt;J728, MIN($H728-J728, K728-J728)*INDEX('Key Metrics'!$E$16:$N$19,MATCH($E728,'Key Metrics'!$E$16:$E$19,0),MATCH(X$1,'Key Metrics'!$E$16:$M$16,0)),0)</f>
        <v>0</v>
      </c>
      <c r="Y728" s="9">
        <f>IF($H728&gt;K728, MIN($H728-K728, L728-K728)*INDEX('Key Metrics'!$E$16:$N$19,MATCH($E728,'Key Metrics'!$E$16:$E$19,0),MATCH(Y$1,'Key Metrics'!$E$16:$M$16,0)),0)</f>
        <v>0</v>
      </c>
      <c r="Z728" s="9">
        <f>IF($H728&gt;L728,($H728-L728)*INDEX('Key Metrics'!$E$16:$N$19,MATCH($E728,'Key Metrics'!$E$16:$E$19,0),MATCH(Z$1,'Key Metrics'!$E$16:$M$16,0)),0)</f>
        <v>0</v>
      </c>
      <c r="AA728" s="9">
        <f t="shared" si="119"/>
        <v>106936.73999999999</v>
      </c>
      <c r="AB728" s="9">
        <f t="shared" si="111"/>
        <v>106937.89682166665</v>
      </c>
    </row>
    <row r="729" spans="1:28" x14ac:dyDescent="0.55000000000000004">
      <c r="A729" t="str">
        <f t="shared" si="112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COUNTIF(deals_closed!$D$2:$D$20001,Calculations!B614)</f>
        <v>21</v>
      </c>
      <c r="H729" s="7">
        <f>SUMIF(deals_closed!$D:$D,Calculations!B614,deals_closed!$C:$C)</f>
        <v>839903</v>
      </c>
      <c r="I729" s="5">
        <f>VLOOKUP(E729,'2018_commission_structure'!$A$1:$I$4,9,FALSE)</f>
        <v>600000</v>
      </c>
      <c r="J729" s="9">
        <f t="shared" si="113"/>
        <v>750000</v>
      </c>
      <c r="K729" s="10">
        <f t="shared" si="114"/>
        <v>900000</v>
      </c>
      <c r="L729" s="9">
        <f t="shared" si="115"/>
        <v>1200000</v>
      </c>
      <c r="M729" s="8">
        <f t="shared" si="116"/>
        <v>1.3998383333333333</v>
      </c>
      <c r="N729" t="str">
        <f t="shared" si="117"/>
        <v>125-150%</v>
      </c>
      <c r="O729" s="9">
        <f>MIN($H729,$I729)*INDEX('2018_commission_structure'!$A$1:$I$4,MATCH($E729,'2018_commission_structure'!$A$1:$A$4,0),MATCH(O$1,'2018_commission_structure'!$A$1:$I$1,0))</f>
        <v>78000</v>
      </c>
      <c r="P729" s="9">
        <f>IF(H729&gt;I729, MIN(H729-I729, J729-I729)*INDEX('2018_commission_structure'!$A$1:$I$4,MATCH($E729,'2018_commission_structure'!$A$1:$A$4,0),MATCH(P$1,'2018_commission_structure'!$A$1:$I$1,0)),0)</f>
        <v>25500.000000000004</v>
      </c>
      <c r="Q729" s="9">
        <f>IF($H729&gt;J729, MIN($H729-J729, K729-J729)*INDEX('2018_commission_structure'!$A$1:$I$4,MATCH($E729,'2018_commission_structure'!$A$1:$A$4,0),MATCH(Q$1,'2018_commission_structure'!$A$1:$I$1,0)),0)</f>
        <v>18879.63</v>
      </c>
      <c r="R729" s="9">
        <f>IF($H729&gt;K729, MIN($H729-K729, L729-K729)*INDEX('2018_commission_structure'!$A$1:$I$4,MATCH($E729,'2018_commission_structure'!$A$1:$A$4,0),MATCH(R$1,'2018_commission_structure'!$A$1:$I$1,0)),0)</f>
        <v>0</v>
      </c>
      <c r="S729" s="9">
        <f>IF(H729&gt;L729,(H729-L729)*INDEX('2018_commission_structure'!$A$1:$I$4,MATCH($E729,'2018_commission_structure'!$A$1:$A$4,0),MATCH(S$1,'2018_commission_structure'!$A$1:$I$1,0)),0)</f>
        <v>0</v>
      </c>
      <c r="T729" s="9">
        <f t="shared" si="118"/>
        <v>122379.63</v>
      </c>
      <c r="U729" s="9">
        <f t="shared" si="110"/>
        <v>196817.63</v>
      </c>
      <c r="V729" s="9">
        <f>MIN($I729,$H729)*INDEX('Key Metrics'!$E$16:$N$19,MATCH($E729,'Key Metrics'!$E$16:$E$19,0),MATCH(V$1,'Key Metrics'!$E$16:$M$16,0))</f>
        <v>90000</v>
      </c>
      <c r="W729" s="9">
        <f>IF($H729&gt;I729, MIN($H729-I729, J729-I729)*INDEX('Key Metrics'!$E$16:$N$19,MATCH($E729,'Key Metrics'!$E$16:$E$19,0),MATCH(W$1,'Key Metrics'!$E$16:$M$16,0)),0)</f>
        <v>27000</v>
      </c>
      <c r="X729" s="9">
        <f>IF($H729&gt;J729, MIN($H729-J729, K729-J729)*INDEX('Key Metrics'!$E$16:$N$19,MATCH($E729,'Key Metrics'!$E$16:$E$19,0),MATCH(X$1,'Key Metrics'!$E$16:$M$16,0)),0)</f>
        <v>22475.75</v>
      </c>
      <c r="Y729" s="9">
        <f>IF($H729&gt;K729, MIN($H729-K729, L729-K729)*INDEX('Key Metrics'!$E$16:$N$19,MATCH($E729,'Key Metrics'!$E$16:$E$19,0),MATCH(Y$1,'Key Metrics'!$E$16:$M$16,0)),0)</f>
        <v>0</v>
      </c>
      <c r="Z729" s="9">
        <f>IF($H729&gt;L729,($H729-L729)*INDEX('Key Metrics'!$E$16:$N$19,MATCH($E729,'Key Metrics'!$E$16:$E$19,0),MATCH(Z$1,'Key Metrics'!$E$16:$M$16,0)),0)</f>
        <v>0</v>
      </c>
      <c r="AA729" s="9">
        <f t="shared" si="119"/>
        <v>139475.75</v>
      </c>
      <c r="AB729" s="9">
        <f t="shared" si="111"/>
        <v>139477.14983833334</v>
      </c>
    </row>
    <row r="730" spans="1:28" x14ac:dyDescent="0.55000000000000004">
      <c r="A730" t="str">
        <f t="shared" si="112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COUNTIF(deals_closed!$D$2:$D$20001,Calculations!B981)</f>
        <v>20</v>
      </c>
      <c r="H730" s="7">
        <f>SUMIF(deals_closed!$D:$D,Calculations!B981,deals_closed!$C:$C)</f>
        <v>674452</v>
      </c>
      <c r="I730" s="5">
        <f>VLOOKUP(E730,'2018_commission_structure'!$A$1:$I$4,9,FALSE)</f>
        <v>750000</v>
      </c>
      <c r="J730" s="9">
        <f t="shared" si="113"/>
        <v>937500</v>
      </c>
      <c r="K730" s="10">
        <f t="shared" si="114"/>
        <v>1125000</v>
      </c>
      <c r="L730" s="9">
        <f t="shared" si="115"/>
        <v>1500000</v>
      </c>
      <c r="M730" s="8">
        <f t="shared" si="116"/>
        <v>0.89926933333333336</v>
      </c>
      <c r="N730" t="str">
        <f t="shared" si="117"/>
        <v>0-100%</v>
      </c>
      <c r="O730" s="9">
        <f>MIN($H730,$I730)*INDEX('2018_commission_structure'!$A$1:$I$4,MATCH($E730,'2018_commission_structure'!$A$1:$A$4,0),MATCH(O$1,'2018_commission_structure'!$A$1:$I$1,0))</f>
        <v>101167.8</v>
      </c>
      <c r="P730" s="9">
        <f>IF(H730&gt;I730, MIN(H730-I730, J730-I730)*INDEX('2018_commission_structure'!$A$1:$I$4,MATCH($E730,'2018_commission_structure'!$A$1:$A$4,0),MATCH(P$1,'2018_commission_structure'!$A$1:$I$1,0)),0)</f>
        <v>0</v>
      </c>
      <c r="Q730" s="9">
        <f>IF($H730&gt;J730, MIN($H730-J730, K730-J730)*INDEX('2018_commission_structure'!$A$1:$I$4,MATCH($E730,'2018_commission_structure'!$A$1:$A$4,0),MATCH(Q$1,'2018_commission_structure'!$A$1:$I$1,0)),0)</f>
        <v>0</v>
      </c>
      <c r="R730" s="9">
        <f>IF($H730&gt;K730, MIN($H730-K730, L730-K730)*INDEX('2018_commission_structure'!$A$1:$I$4,MATCH($E730,'2018_commission_structure'!$A$1:$A$4,0),MATCH(R$1,'2018_commission_structure'!$A$1:$I$1,0)),0)</f>
        <v>0</v>
      </c>
      <c r="S730" s="9">
        <f>IF(H730&gt;L730,(H730-L730)*INDEX('2018_commission_structure'!$A$1:$I$4,MATCH($E730,'2018_commission_structure'!$A$1:$A$4,0),MATCH(S$1,'2018_commission_structure'!$A$1:$I$1,0)),0)</f>
        <v>0</v>
      </c>
      <c r="T730" s="9">
        <f t="shared" si="118"/>
        <v>101167.8</v>
      </c>
      <c r="U730" s="9">
        <f t="shared" si="110"/>
        <v>201720.8</v>
      </c>
      <c r="V730" s="9">
        <f>MIN($I730,$H730)*INDEX('Key Metrics'!$E$16:$N$19,MATCH($E730,'Key Metrics'!$E$16:$E$19,0),MATCH(V$1,'Key Metrics'!$E$16:$M$16,0))</f>
        <v>101167.8</v>
      </c>
      <c r="W730" s="9">
        <f>IF($H730&gt;I730, MIN($H730-I730, J730-I730)*INDEX('Key Metrics'!$E$16:$N$19,MATCH($E730,'Key Metrics'!$E$16:$E$19,0),MATCH(W$1,'Key Metrics'!$E$16:$M$16,0)),0)</f>
        <v>0</v>
      </c>
      <c r="X730" s="9">
        <f>IF($H730&gt;J730, MIN($H730-J730, K730-J730)*INDEX('Key Metrics'!$E$16:$N$19,MATCH($E730,'Key Metrics'!$E$16:$E$19,0),MATCH(X$1,'Key Metrics'!$E$16:$M$16,0)),0)</f>
        <v>0</v>
      </c>
      <c r="Y730" s="9">
        <f>IF($H730&gt;K730, MIN($H730-K730, L730-K730)*INDEX('Key Metrics'!$E$16:$N$19,MATCH($E730,'Key Metrics'!$E$16:$E$19,0),MATCH(Y$1,'Key Metrics'!$E$16:$M$16,0)),0)</f>
        <v>0</v>
      </c>
      <c r="Z730" s="9">
        <f>IF($H730&gt;L730,($H730-L730)*INDEX('Key Metrics'!$E$16:$N$19,MATCH($E730,'Key Metrics'!$E$16:$E$19,0),MATCH(Z$1,'Key Metrics'!$E$16:$M$16,0)),0)</f>
        <v>0</v>
      </c>
      <c r="AA730" s="9">
        <f t="shared" si="119"/>
        <v>101167.8</v>
      </c>
      <c r="AB730" s="9">
        <f t="shared" si="111"/>
        <v>101168.69926933333</v>
      </c>
    </row>
    <row r="731" spans="1:28" x14ac:dyDescent="0.55000000000000004">
      <c r="A731" t="str">
        <f t="shared" si="112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COUNTIF(deals_closed!$D$2:$D$20001,Calculations!B377)</f>
        <v>9</v>
      </c>
      <c r="H731" s="7">
        <f>SUMIF(deals_closed!$D:$D,Calculations!B377,deals_closed!$C:$C)</f>
        <v>277209</v>
      </c>
      <c r="I731" s="5">
        <f>VLOOKUP(E731,'2018_commission_structure'!$A$1:$I$4,9,FALSE)</f>
        <v>500000</v>
      </c>
      <c r="J731" s="9">
        <f t="shared" si="113"/>
        <v>625000</v>
      </c>
      <c r="K731" s="10">
        <f t="shared" si="114"/>
        <v>750000</v>
      </c>
      <c r="L731" s="9">
        <f t="shared" si="115"/>
        <v>1000000</v>
      </c>
      <c r="M731" s="8">
        <f t="shared" si="116"/>
        <v>0.55441799999999997</v>
      </c>
      <c r="N731" t="str">
        <f t="shared" si="117"/>
        <v>0-100%</v>
      </c>
      <c r="O731" s="9">
        <f>MIN($H731,$I731)*INDEX('2018_commission_structure'!$A$1:$I$4,MATCH($E731,'2018_commission_structure'!$A$1:$A$4,0),MATCH(O$1,'2018_commission_structure'!$A$1:$I$1,0))</f>
        <v>27720.9</v>
      </c>
      <c r="P731" s="9">
        <f>IF(H731&gt;I731, MIN(H731-I731, J731-I731)*INDEX('2018_commission_structure'!$A$1:$I$4,MATCH($E731,'2018_commission_structure'!$A$1:$A$4,0),MATCH(P$1,'2018_commission_structure'!$A$1:$I$1,0)),0)</f>
        <v>0</v>
      </c>
      <c r="Q731" s="9">
        <f>IF($H731&gt;J731, MIN($H731-J731, K731-J731)*INDEX('2018_commission_structure'!$A$1:$I$4,MATCH($E731,'2018_commission_structure'!$A$1:$A$4,0),MATCH(Q$1,'2018_commission_structure'!$A$1:$I$1,0)),0)</f>
        <v>0</v>
      </c>
      <c r="R731" s="9">
        <f>IF($H731&gt;K731, MIN($H731-K731, L731-K731)*INDEX('2018_commission_structure'!$A$1:$I$4,MATCH($E731,'2018_commission_structure'!$A$1:$A$4,0),MATCH(R$1,'2018_commission_structure'!$A$1:$I$1,0)),0)</f>
        <v>0</v>
      </c>
      <c r="S731" s="9">
        <f>IF(H731&gt;L731,(H731-L731)*INDEX('2018_commission_structure'!$A$1:$I$4,MATCH($E731,'2018_commission_structure'!$A$1:$A$4,0),MATCH(S$1,'2018_commission_structure'!$A$1:$I$1,0)),0)</f>
        <v>0</v>
      </c>
      <c r="T731" s="9">
        <f t="shared" si="118"/>
        <v>27720.9</v>
      </c>
      <c r="U731" s="9">
        <f t="shared" si="110"/>
        <v>61028.9</v>
      </c>
      <c r="V731" s="9">
        <f>MIN($I731,$H731)*INDEX('Key Metrics'!$E$16:$N$19,MATCH($E731,'Key Metrics'!$E$16:$E$19,0),MATCH(V$1,'Key Metrics'!$E$16:$M$16,0))</f>
        <v>33265.08</v>
      </c>
      <c r="W731" s="9">
        <f>IF($H731&gt;I731, MIN($H731-I731, J731-I731)*INDEX('Key Metrics'!$E$16:$N$19,MATCH($E731,'Key Metrics'!$E$16:$E$19,0),MATCH(W$1,'Key Metrics'!$E$16:$M$16,0)),0)</f>
        <v>0</v>
      </c>
      <c r="X731" s="9">
        <f>IF($H731&gt;J731, MIN($H731-J731, K731-J731)*INDEX('Key Metrics'!$E$16:$N$19,MATCH($E731,'Key Metrics'!$E$16:$E$19,0),MATCH(X$1,'Key Metrics'!$E$16:$M$16,0)),0)</f>
        <v>0</v>
      </c>
      <c r="Y731" s="9">
        <f>IF($H731&gt;K731, MIN($H731-K731, L731-K731)*INDEX('Key Metrics'!$E$16:$N$19,MATCH($E731,'Key Metrics'!$E$16:$E$19,0),MATCH(Y$1,'Key Metrics'!$E$16:$M$16,0)),0)</f>
        <v>0</v>
      </c>
      <c r="Z731" s="9">
        <f>IF($H731&gt;L731,($H731-L731)*INDEX('Key Metrics'!$E$16:$N$19,MATCH($E731,'Key Metrics'!$E$16:$E$19,0),MATCH(Z$1,'Key Metrics'!$E$16:$M$16,0)),0)</f>
        <v>0</v>
      </c>
      <c r="AA731" s="9">
        <f t="shared" si="119"/>
        <v>33265.08</v>
      </c>
      <c r="AB731" s="9">
        <f t="shared" si="111"/>
        <v>33265.634418000001</v>
      </c>
    </row>
    <row r="732" spans="1:28" x14ac:dyDescent="0.55000000000000004">
      <c r="A732" t="str">
        <f t="shared" si="112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COUNTIF(deals_closed!$D$2:$D$20001,Calculations!B719)</f>
        <v>14</v>
      </c>
      <c r="H732" s="7">
        <f>SUMIF(deals_closed!$D:$D,Calculations!B719,deals_closed!$C:$C)</f>
        <v>458541</v>
      </c>
      <c r="I732" s="5">
        <f>VLOOKUP(E732,'2018_commission_structure'!$A$1:$I$4,9,FALSE)</f>
        <v>600000</v>
      </c>
      <c r="J732" s="9">
        <f t="shared" si="113"/>
        <v>750000</v>
      </c>
      <c r="K732" s="10">
        <f t="shared" si="114"/>
        <v>900000</v>
      </c>
      <c r="L732" s="9">
        <f t="shared" si="115"/>
        <v>1200000</v>
      </c>
      <c r="M732" s="8">
        <f t="shared" si="116"/>
        <v>0.764235</v>
      </c>
      <c r="N732" t="str">
        <f t="shared" si="117"/>
        <v>0-100%</v>
      </c>
      <c r="O732" s="9">
        <f>MIN($H732,$I732)*INDEX('2018_commission_structure'!$A$1:$I$4,MATCH($E732,'2018_commission_structure'!$A$1:$A$4,0),MATCH(O$1,'2018_commission_structure'!$A$1:$I$1,0))</f>
        <v>59610.33</v>
      </c>
      <c r="P732" s="9">
        <f>IF(H732&gt;I732, MIN(H732-I732, J732-I732)*INDEX('2018_commission_structure'!$A$1:$I$4,MATCH($E732,'2018_commission_structure'!$A$1:$A$4,0),MATCH(P$1,'2018_commission_structure'!$A$1:$I$1,0)),0)</f>
        <v>0</v>
      </c>
      <c r="Q732" s="9">
        <f>IF($H732&gt;J732, MIN($H732-J732, K732-J732)*INDEX('2018_commission_structure'!$A$1:$I$4,MATCH($E732,'2018_commission_structure'!$A$1:$A$4,0),MATCH(Q$1,'2018_commission_structure'!$A$1:$I$1,0)),0)</f>
        <v>0</v>
      </c>
      <c r="R732" s="9">
        <f>IF($H732&gt;K732, MIN($H732-K732, L732-K732)*INDEX('2018_commission_structure'!$A$1:$I$4,MATCH($E732,'2018_commission_structure'!$A$1:$A$4,0),MATCH(R$1,'2018_commission_structure'!$A$1:$I$1,0)),0)</f>
        <v>0</v>
      </c>
      <c r="S732" s="9">
        <f>IF(H732&gt;L732,(H732-L732)*INDEX('2018_commission_structure'!$A$1:$I$4,MATCH($E732,'2018_commission_structure'!$A$1:$A$4,0),MATCH(S$1,'2018_commission_structure'!$A$1:$I$1,0)),0)</f>
        <v>0</v>
      </c>
      <c r="T732" s="9">
        <f t="shared" si="118"/>
        <v>59610.33</v>
      </c>
      <c r="U732" s="9">
        <f t="shared" si="110"/>
        <v>125928.33</v>
      </c>
      <c r="V732" s="9">
        <f>MIN($I732,$H732)*INDEX('Key Metrics'!$E$16:$N$19,MATCH($E732,'Key Metrics'!$E$16:$E$19,0),MATCH(V$1,'Key Metrics'!$E$16:$M$16,0))</f>
        <v>68781.149999999994</v>
      </c>
      <c r="W732" s="9">
        <f>IF($H732&gt;I732, MIN($H732-I732, J732-I732)*INDEX('Key Metrics'!$E$16:$N$19,MATCH($E732,'Key Metrics'!$E$16:$E$19,0),MATCH(W$1,'Key Metrics'!$E$16:$M$16,0)),0)</f>
        <v>0</v>
      </c>
      <c r="X732" s="9">
        <f>IF($H732&gt;J732, MIN($H732-J732, K732-J732)*INDEX('Key Metrics'!$E$16:$N$19,MATCH($E732,'Key Metrics'!$E$16:$E$19,0),MATCH(X$1,'Key Metrics'!$E$16:$M$16,0)),0)</f>
        <v>0</v>
      </c>
      <c r="Y732" s="9">
        <f>IF($H732&gt;K732, MIN($H732-K732, L732-K732)*INDEX('Key Metrics'!$E$16:$N$19,MATCH($E732,'Key Metrics'!$E$16:$E$19,0),MATCH(Y$1,'Key Metrics'!$E$16:$M$16,0)),0)</f>
        <v>0</v>
      </c>
      <c r="Z732" s="9">
        <f>IF($H732&gt;L732,($H732-L732)*INDEX('Key Metrics'!$E$16:$N$19,MATCH($E732,'Key Metrics'!$E$16:$E$19,0),MATCH(Z$1,'Key Metrics'!$E$16:$M$16,0)),0)</f>
        <v>0</v>
      </c>
      <c r="AA732" s="9">
        <f t="shared" si="119"/>
        <v>68781.149999999994</v>
      </c>
      <c r="AB732" s="9">
        <f t="shared" si="111"/>
        <v>68781.914234999989</v>
      </c>
    </row>
    <row r="733" spans="1:28" x14ac:dyDescent="0.55000000000000004">
      <c r="A733" t="str">
        <f t="shared" si="112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COUNTIF(deals_closed!$D$2:$D$20001,Calculations!B188)</f>
        <v>21</v>
      </c>
      <c r="H733" s="7">
        <f>SUMIF(deals_closed!$D:$D,Calculations!B188,deals_closed!$C:$C)</f>
        <v>830970</v>
      </c>
      <c r="I733" s="5">
        <f>VLOOKUP(E733,'2018_commission_structure'!$A$1:$I$4,9,FALSE)</f>
        <v>500000</v>
      </c>
      <c r="J733" s="9">
        <f t="shared" si="113"/>
        <v>625000</v>
      </c>
      <c r="K733" s="10">
        <f t="shared" si="114"/>
        <v>750000</v>
      </c>
      <c r="L733" s="9">
        <f t="shared" si="115"/>
        <v>1000000</v>
      </c>
      <c r="M733" s="8">
        <f t="shared" si="116"/>
        <v>1.66194</v>
      </c>
      <c r="N733" t="str">
        <f t="shared" si="117"/>
        <v>150-200%</v>
      </c>
      <c r="O733" s="9">
        <f>MIN($H733,$I733)*INDEX('2018_commission_structure'!$A$1:$I$4,MATCH($E733,'2018_commission_structure'!$A$1:$A$4,0),MATCH(O$1,'2018_commission_structure'!$A$1:$I$1,0))</f>
        <v>50000</v>
      </c>
      <c r="P733" s="9">
        <f>IF(H733&gt;I733, MIN(H733-I733, J733-I733)*INDEX('2018_commission_structure'!$A$1:$I$4,MATCH($E733,'2018_commission_structure'!$A$1:$A$4,0),MATCH(P$1,'2018_commission_structure'!$A$1:$I$1,0)),0)</f>
        <v>18750</v>
      </c>
      <c r="Q733" s="9">
        <f>IF($H733&gt;J733, MIN($H733-J733, K733-J733)*INDEX('2018_commission_structure'!$A$1:$I$4,MATCH($E733,'2018_commission_structure'!$A$1:$A$4,0),MATCH(Q$1,'2018_commission_structure'!$A$1:$I$1,0)),0)</f>
        <v>22500</v>
      </c>
      <c r="R733" s="9">
        <f>IF($H733&gt;K733, MIN($H733-K733, L733-K733)*INDEX('2018_commission_structure'!$A$1:$I$4,MATCH($E733,'2018_commission_structure'!$A$1:$A$4,0),MATCH(R$1,'2018_commission_structure'!$A$1:$I$1,0)),0)</f>
        <v>17813.400000000001</v>
      </c>
      <c r="S733" s="9">
        <f>IF(H733&gt;L733,(H733-L733)*INDEX('2018_commission_structure'!$A$1:$I$4,MATCH($E733,'2018_commission_structure'!$A$1:$A$4,0),MATCH(S$1,'2018_commission_structure'!$A$1:$I$1,0)),0)</f>
        <v>0</v>
      </c>
      <c r="T733" s="9">
        <f t="shared" si="118"/>
        <v>109063.4</v>
      </c>
      <c r="U733" s="9">
        <f t="shared" si="110"/>
        <v>150405.4</v>
      </c>
      <c r="V733" s="9">
        <f>MIN($I733,$H733)*INDEX('Key Metrics'!$E$16:$N$19,MATCH($E733,'Key Metrics'!$E$16:$E$19,0),MATCH(V$1,'Key Metrics'!$E$16:$M$16,0))</f>
        <v>60000</v>
      </c>
      <c r="W733" s="9">
        <f>IF($H733&gt;I733, MIN($H733-I733, J733-I733)*INDEX('Key Metrics'!$E$16:$N$19,MATCH($E733,'Key Metrics'!$E$16:$E$19,0),MATCH(W$1,'Key Metrics'!$E$16:$M$16,0)),0)</f>
        <v>21250</v>
      </c>
      <c r="X733" s="9">
        <f>IF($H733&gt;J733, MIN($H733-J733, K733-J733)*INDEX('Key Metrics'!$E$16:$N$19,MATCH($E733,'Key Metrics'!$E$16:$E$19,0),MATCH(X$1,'Key Metrics'!$E$16:$M$16,0)),0)</f>
        <v>25000</v>
      </c>
      <c r="Y733" s="9">
        <f>IF($H733&gt;K733, MIN($H733-K733, L733-K733)*INDEX('Key Metrics'!$E$16:$N$19,MATCH($E733,'Key Metrics'!$E$16:$E$19,0),MATCH(Y$1,'Key Metrics'!$E$16:$M$16,0)),0)</f>
        <v>17813.400000000001</v>
      </c>
      <c r="Z733" s="9">
        <f>IF($H733&gt;L733,($H733-L733)*INDEX('Key Metrics'!$E$16:$N$19,MATCH($E733,'Key Metrics'!$E$16:$E$19,0),MATCH(Z$1,'Key Metrics'!$E$16:$M$16,0)),0)</f>
        <v>0</v>
      </c>
      <c r="AA733" s="9">
        <f t="shared" si="119"/>
        <v>124063.4</v>
      </c>
      <c r="AB733" s="9">
        <f t="shared" si="111"/>
        <v>124065.06194</v>
      </c>
    </row>
    <row r="734" spans="1:28" x14ac:dyDescent="0.55000000000000004">
      <c r="A734" t="str">
        <f t="shared" si="112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COUNTIF(deals_closed!$D$2:$D$20001,Calculations!B602)</f>
        <v>31</v>
      </c>
      <c r="H734" s="7">
        <f>SUMIF(deals_closed!$D:$D,Calculations!B602,deals_closed!$C:$C)</f>
        <v>1026059</v>
      </c>
      <c r="I734" s="5">
        <f>VLOOKUP(E734,'2018_commission_structure'!$A$1:$I$4,9,FALSE)</f>
        <v>600000</v>
      </c>
      <c r="J734" s="9">
        <f t="shared" si="113"/>
        <v>750000</v>
      </c>
      <c r="K734" s="10">
        <f t="shared" si="114"/>
        <v>900000</v>
      </c>
      <c r="L734" s="9">
        <f t="shared" si="115"/>
        <v>1200000</v>
      </c>
      <c r="M734" s="8">
        <f t="shared" si="116"/>
        <v>1.7100983333333333</v>
      </c>
      <c r="N734" t="str">
        <f t="shared" si="117"/>
        <v>150-200%</v>
      </c>
      <c r="O734" s="9">
        <f>MIN($H734,$I734)*INDEX('2018_commission_structure'!$A$1:$I$4,MATCH($E734,'2018_commission_structure'!$A$1:$A$4,0),MATCH(O$1,'2018_commission_structure'!$A$1:$I$1,0))</f>
        <v>78000</v>
      </c>
      <c r="P734" s="9">
        <f>IF(H734&gt;I734, MIN(H734-I734, J734-I734)*INDEX('2018_commission_structure'!$A$1:$I$4,MATCH($E734,'2018_commission_structure'!$A$1:$A$4,0),MATCH(P$1,'2018_commission_structure'!$A$1:$I$1,0)),0)</f>
        <v>25500.000000000004</v>
      </c>
      <c r="Q734" s="9">
        <f>IF($H734&gt;J734, MIN($H734-J734, K734-J734)*INDEX('2018_commission_structure'!$A$1:$I$4,MATCH($E734,'2018_commission_structure'!$A$1:$A$4,0),MATCH(Q$1,'2018_commission_structure'!$A$1:$I$1,0)),0)</f>
        <v>31500</v>
      </c>
      <c r="R734" s="9">
        <f>IF($H734&gt;K734, MIN($H734-K734, L734-K734)*INDEX('2018_commission_structure'!$A$1:$I$4,MATCH($E734,'2018_commission_structure'!$A$1:$A$4,0),MATCH(R$1,'2018_commission_structure'!$A$1:$I$1,0)),0)</f>
        <v>32775.340000000004</v>
      </c>
      <c r="S734" s="9">
        <f>IF(H734&gt;L734,(H734-L734)*INDEX('2018_commission_structure'!$A$1:$I$4,MATCH($E734,'2018_commission_structure'!$A$1:$A$4,0),MATCH(S$1,'2018_commission_structure'!$A$1:$I$1,0)),0)</f>
        <v>0</v>
      </c>
      <c r="T734" s="9">
        <f t="shared" si="118"/>
        <v>167775.34</v>
      </c>
      <c r="U734" s="9">
        <f t="shared" si="110"/>
        <v>234142.34</v>
      </c>
      <c r="V734" s="9">
        <f>MIN($I734,$H734)*INDEX('Key Metrics'!$E$16:$N$19,MATCH($E734,'Key Metrics'!$E$16:$E$19,0),MATCH(V$1,'Key Metrics'!$E$16:$M$16,0))</f>
        <v>90000</v>
      </c>
      <c r="W734" s="9">
        <f>IF($H734&gt;I734, MIN($H734-I734, J734-I734)*INDEX('Key Metrics'!$E$16:$N$19,MATCH($E734,'Key Metrics'!$E$16:$E$19,0),MATCH(W$1,'Key Metrics'!$E$16:$M$16,0)),0)</f>
        <v>27000</v>
      </c>
      <c r="X734" s="9">
        <f>IF($H734&gt;J734, MIN($H734-J734, K734-J734)*INDEX('Key Metrics'!$E$16:$N$19,MATCH($E734,'Key Metrics'!$E$16:$E$19,0),MATCH(X$1,'Key Metrics'!$E$16:$M$16,0)),0)</f>
        <v>37500</v>
      </c>
      <c r="Y734" s="9">
        <f>IF($H734&gt;K734, MIN($H734-K734, L734-K734)*INDEX('Key Metrics'!$E$16:$N$19,MATCH($E734,'Key Metrics'!$E$16:$E$19,0),MATCH(Y$1,'Key Metrics'!$E$16:$M$16,0)),0)</f>
        <v>37817.699999999997</v>
      </c>
      <c r="Z734" s="9">
        <f>IF($H734&gt;L734,($H734-L734)*INDEX('Key Metrics'!$E$16:$N$19,MATCH($E734,'Key Metrics'!$E$16:$E$19,0),MATCH(Z$1,'Key Metrics'!$E$16:$M$16,0)),0)</f>
        <v>0</v>
      </c>
      <c r="AA734" s="9">
        <f t="shared" si="119"/>
        <v>192317.7</v>
      </c>
      <c r="AB734" s="9">
        <f t="shared" si="111"/>
        <v>192319.41009833335</v>
      </c>
    </row>
    <row r="735" spans="1:28" x14ac:dyDescent="0.55000000000000004">
      <c r="A735" t="str">
        <f t="shared" si="112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COUNTIF(deals_closed!$D$2:$D$20001,Calculations!B187)</f>
        <v>19</v>
      </c>
      <c r="H735" s="7">
        <f>SUMIF(deals_closed!$D:$D,Calculations!B187,deals_closed!$C:$C)</f>
        <v>680870</v>
      </c>
      <c r="I735" s="5">
        <f>VLOOKUP(E735,'2018_commission_structure'!$A$1:$I$4,9,FALSE)</f>
        <v>500000</v>
      </c>
      <c r="J735" s="9">
        <f t="shared" si="113"/>
        <v>625000</v>
      </c>
      <c r="K735" s="10">
        <f t="shared" si="114"/>
        <v>750000</v>
      </c>
      <c r="L735" s="9">
        <f t="shared" si="115"/>
        <v>1000000</v>
      </c>
      <c r="M735" s="8">
        <f t="shared" si="116"/>
        <v>1.36174</v>
      </c>
      <c r="N735" t="str">
        <f t="shared" si="117"/>
        <v>125-150%</v>
      </c>
      <c r="O735" s="9">
        <f>MIN($H735,$I735)*INDEX('2018_commission_structure'!$A$1:$I$4,MATCH($E735,'2018_commission_structure'!$A$1:$A$4,0),MATCH(O$1,'2018_commission_structure'!$A$1:$I$1,0))</f>
        <v>50000</v>
      </c>
      <c r="P735" s="9">
        <f>IF(H735&gt;I735, MIN(H735-I735, J735-I735)*INDEX('2018_commission_structure'!$A$1:$I$4,MATCH($E735,'2018_commission_structure'!$A$1:$A$4,0),MATCH(P$1,'2018_commission_structure'!$A$1:$I$1,0)),0)</f>
        <v>18750</v>
      </c>
      <c r="Q735" s="9">
        <f>IF($H735&gt;J735, MIN($H735-J735, K735-J735)*INDEX('2018_commission_structure'!$A$1:$I$4,MATCH($E735,'2018_commission_structure'!$A$1:$A$4,0),MATCH(Q$1,'2018_commission_structure'!$A$1:$I$1,0)),0)</f>
        <v>10056.6</v>
      </c>
      <c r="R735" s="9">
        <f>IF($H735&gt;K735, MIN($H735-K735, L735-K735)*INDEX('2018_commission_structure'!$A$1:$I$4,MATCH($E735,'2018_commission_structure'!$A$1:$A$4,0),MATCH(R$1,'2018_commission_structure'!$A$1:$I$1,0)),0)</f>
        <v>0</v>
      </c>
      <c r="S735" s="9">
        <f>IF(H735&gt;L735,(H735-L735)*INDEX('2018_commission_structure'!$A$1:$I$4,MATCH($E735,'2018_commission_structure'!$A$1:$A$4,0),MATCH(S$1,'2018_commission_structure'!$A$1:$I$1,0)),0)</f>
        <v>0</v>
      </c>
      <c r="T735" s="9">
        <f t="shared" si="118"/>
        <v>78806.600000000006</v>
      </c>
      <c r="U735" s="9">
        <f t="shared" si="110"/>
        <v>126337.60000000001</v>
      </c>
      <c r="V735" s="9">
        <f>MIN($I735,$H735)*INDEX('Key Metrics'!$E$16:$N$19,MATCH($E735,'Key Metrics'!$E$16:$E$19,0),MATCH(V$1,'Key Metrics'!$E$16:$M$16,0))</f>
        <v>60000</v>
      </c>
      <c r="W735" s="9">
        <f>IF($H735&gt;I735, MIN($H735-I735, J735-I735)*INDEX('Key Metrics'!$E$16:$N$19,MATCH($E735,'Key Metrics'!$E$16:$E$19,0),MATCH(W$1,'Key Metrics'!$E$16:$M$16,0)),0)</f>
        <v>21250</v>
      </c>
      <c r="X735" s="9">
        <f>IF($H735&gt;J735, MIN($H735-J735, K735-J735)*INDEX('Key Metrics'!$E$16:$N$19,MATCH($E735,'Key Metrics'!$E$16:$E$19,0),MATCH(X$1,'Key Metrics'!$E$16:$M$16,0)),0)</f>
        <v>11174</v>
      </c>
      <c r="Y735" s="9">
        <f>IF($H735&gt;K735, MIN($H735-K735, L735-K735)*INDEX('Key Metrics'!$E$16:$N$19,MATCH($E735,'Key Metrics'!$E$16:$E$19,0),MATCH(Y$1,'Key Metrics'!$E$16:$M$16,0)),0)</f>
        <v>0</v>
      </c>
      <c r="Z735" s="9">
        <f>IF($H735&gt;L735,($H735-L735)*INDEX('Key Metrics'!$E$16:$N$19,MATCH($E735,'Key Metrics'!$E$16:$E$19,0),MATCH(Z$1,'Key Metrics'!$E$16:$M$16,0)),0)</f>
        <v>0</v>
      </c>
      <c r="AA735" s="9">
        <f t="shared" si="119"/>
        <v>92424</v>
      </c>
      <c r="AB735" s="9">
        <f t="shared" si="111"/>
        <v>92425.361739999993</v>
      </c>
    </row>
    <row r="736" spans="1:28" x14ac:dyDescent="0.55000000000000004">
      <c r="A736" t="str">
        <f t="shared" si="112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COUNTIF(deals_closed!$D$2:$D$20001,Calculations!B768)</f>
        <v>23</v>
      </c>
      <c r="H736" s="7">
        <f>SUMIF(deals_closed!$D:$D,Calculations!B768,deals_closed!$C:$C)</f>
        <v>784517</v>
      </c>
      <c r="I736" s="5">
        <f>VLOOKUP(E736,'2018_commission_structure'!$A$1:$I$4,9,FALSE)</f>
        <v>600000</v>
      </c>
      <c r="J736" s="9">
        <f t="shared" si="113"/>
        <v>750000</v>
      </c>
      <c r="K736" s="10">
        <f t="shared" si="114"/>
        <v>900000</v>
      </c>
      <c r="L736" s="9">
        <f t="shared" si="115"/>
        <v>1200000</v>
      </c>
      <c r="M736" s="8">
        <f t="shared" si="116"/>
        <v>1.3075283333333334</v>
      </c>
      <c r="N736" t="str">
        <f t="shared" si="117"/>
        <v>125-150%</v>
      </c>
      <c r="O736" s="9">
        <f>MIN($H736,$I736)*INDEX('2018_commission_structure'!$A$1:$I$4,MATCH($E736,'2018_commission_structure'!$A$1:$A$4,0),MATCH(O$1,'2018_commission_structure'!$A$1:$I$1,0))</f>
        <v>78000</v>
      </c>
      <c r="P736" s="9">
        <f>IF(H736&gt;I736, MIN(H736-I736, J736-I736)*INDEX('2018_commission_structure'!$A$1:$I$4,MATCH($E736,'2018_commission_structure'!$A$1:$A$4,0),MATCH(P$1,'2018_commission_structure'!$A$1:$I$1,0)),0)</f>
        <v>25500.000000000004</v>
      </c>
      <c r="Q736" s="9">
        <f>IF($H736&gt;J736, MIN($H736-J736, K736-J736)*INDEX('2018_commission_structure'!$A$1:$I$4,MATCH($E736,'2018_commission_structure'!$A$1:$A$4,0),MATCH(Q$1,'2018_commission_structure'!$A$1:$I$1,0)),0)</f>
        <v>7248.57</v>
      </c>
      <c r="R736" s="9">
        <f>IF($H736&gt;K736, MIN($H736-K736, L736-K736)*INDEX('2018_commission_structure'!$A$1:$I$4,MATCH($E736,'2018_commission_structure'!$A$1:$A$4,0),MATCH(R$1,'2018_commission_structure'!$A$1:$I$1,0)),0)</f>
        <v>0</v>
      </c>
      <c r="S736" s="9">
        <f>IF(H736&gt;L736,(H736-L736)*INDEX('2018_commission_structure'!$A$1:$I$4,MATCH($E736,'2018_commission_structure'!$A$1:$A$4,0),MATCH(S$1,'2018_commission_structure'!$A$1:$I$1,0)),0)</f>
        <v>0</v>
      </c>
      <c r="T736" s="9">
        <f t="shared" si="118"/>
        <v>110748.57</v>
      </c>
      <c r="U736" s="9">
        <f t="shared" si="110"/>
        <v>175431.57</v>
      </c>
      <c r="V736" s="9">
        <f>MIN($I736,$H736)*INDEX('Key Metrics'!$E$16:$N$19,MATCH($E736,'Key Metrics'!$E$16:$E$19,0),MATCH(V$1,'Key Metrics'!$E$16:$M$16,0))</f>
        <v>90000</v>
      </c>
      <c r="W736" s="9">
        <f>IF($H736&gt;I736, MIN($H736-I736, J736-I736)*INDEX('Key Metrics'!$E$16:$N$19,MATCH($E736,'Key Metrics'!$E$16:$E$19,0),MATCH(W$1,'Key Metrics'!$E$16:$M$16,0)),0)</f>
        <v>27000</v>
      </c>
      <c r="X736" s="9">
        <f>IF($H736&gt;J736, MIN($H736-J736, K736-J736)*INDEX('Key Metrics'!$E$16:$N$19,MATCH($E736,'Key Metrics'!$E$16:$E$19,0),MATCH(X$1,'Key Metrics'!$E$16:$M$16,0)),0)</f>
        <v>8629.25</v>
      </c>
      <c r="Y736" s="9">
        <f>IF($H736&gt;K736, MIN($H736-K736, L736-K736)*INDEX('Key Metrics'!$E$16:$N$19,MATCH($E736,'Key Metrics'!$E$16:$E$19,0),MATCH(Y$1,'Key Metrics'!$E$16:$M$16,0)),0)</f>
        <v>0</v>
      </c>
      <c r="Z736" s="9">
        <f>IF($H736&gt;L736,($H736-L736)*INDEX('Key Metrics'!$E$16:$N$19,MATCH($E736,'Key Metrics'!$E$16:$E$19,0),MATCH(Z$1,'Key Metrics'!$E$16:$M$16,0)),0)</f>
        <v>0</v>
      </c>
      <c r="AA736" s="9">
        <f t="shared" si="119"/>
        <v>125629.25</v>
      </c>
      <c r="AB736" s="9">
        <f t="shared" si="111"/>
        <v>125630.55752833333</v>
      </c>
    </row>
    <row r="737" spans="1:28" x14ac:dyDescent="0.55000000000000004">
      <c r="A737" t="str">
        <f t="shared" si="112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COUNTIF(deals_closed!$D$2:$D$20001,Calculations!B625)</f>
        <v>23</v>
      </c>
      <c r="H737" s="7">
        <f>SUMIF(deals_closed!$D:$D,Calculations!B625,deals_closed!$C:$C)</f>
        <v>659507</v>
      </c>
      <c r="I737" s="5">
        <f>VLOOKUP(E737,'2018_commission_structure'!$A$1:$I$4,9,FALSE)</f>
        <v>500000</v>
      </c>
      <c r="J737" s="9">
        <f t="shared" si="113"/>
        <v>625000</v>
      </c>
      <c r="K737" s="10">
        <f t="shared" si="114"/>
        <v>750000</v>
      </c>
      <c r="L737" s="9">
        <f t="shared" si="115"/>
        <v>1000000</v>
      </c>
      <c r="M737" s="8">
        <f t="shared" si="116"/>
        <v>1.3190139999999999</v>
      </c>
      <c r="N737" t="str">
        <f t="shared" si="117"/>
        <v>125-150%</v>
      </c>
      <c r="O737" s="9">
        <f>MIN($H737,$I737)*INDEX('2018_commission_structure'!$A$1:$I$4,MATCH($E737,'2018_commission_structure'!$A$1:$A$4,0),MATCH(O$1,'2018_commission_structure'!$A$1:$I$1,0))</f>
        <v>50000</v>
      </c>
      <c r="P737" s="9">
        <f>IF(H737&gt;I737, MIN(H737-I737, J737-I737)*INDEX('2018_commission_structure'!$A$1:$I$4,MATCH($E737,'2018_commission_structure'!$A$1:$A$4,0),MATCH(P$1,'2018_commission_structure'!$A$1:$I$1,0)),0)</f>
        <v>18750</v>
      </c>
      <c r="Q737" s="9">
        <f>IF($H737&gt;J737, MIN($H737-J737, K737-J737)*INDEX('2018_commission_structure'!$A$1:$I$4,MATCH($E737,'2018_commission_structure'!$A$1:$A$4,0),MATCH(Q$1,'2018_commission_structure'!$A$1:$I$1,0)),0)</f>
        <v>6211.26</v>
      </c>
      <c r="R737" s="9">
        <f>IF($H737&gt;K737, MIN($H737-K737, L737-K737)*INDEX('2018_commission_structure'!$A$1:$I$4,MATCH($E737,'2018_commission_structure'!$A$1:$A$4,0),MATCH(R$1,'2018_commission_structure'!$A$1:$I$1,0)),0)</f>
        <v>0</v>
      </c>
      <c r="S737" s="9">
        <f>IF(H737&gt;L737,(H737-L737)*INDEX('2018_commission_structure'!$A$1:$I$4,MATCH($E737,'2018_commission_structure'!$A$1:$A$4,0),MATCH(S$1,'2018_commission_structure'!$A$1:$I$1,0)),0)</f>
        <v>0</v>
      </c>
      <c r="T737" s="9">
        <f t="shared" si="118"/>
        <v>74961.259999999995</v>
      </c>
      <c r="U737" s="9">
        <f t="shared" si="110"/>
        <v>136669.26</v>
      </c>
      <c r="V737" s="9">
        <f>MIN($I737,$H737)*INDEX('Key Metrics'!$E$16:$N$19,MATCH($E737,'Key Metrics'!$E$16:$E$19,0),MATCH(V$1,'Key Metrics'!$E$16:$M$16,0))</f>
        <v>60000</v>
      </c>
      <c r="W737" s="9">
        <f>IF($H737&gt;I737, MIN($H737-I737, J737-I737)*INDEX('Key Metrics'!$E$16:$N$19,MATCH($E737,'Key Metrics'!$E$16:$E$19,0),MATCH(W$1,'Key Metrics'!$E$16:$M$16,0)),0)</f>
        <v>21250</v>
      </c>
      <c r="X737" s="9">
        <f>IF($H737&gt;J737, MIN($H737-J737, K737-J737)*INDEX('Key Metrics'!$E$16:$N$19,MATCH($E737,'Key Metrics'!$E$16:$E$19,0),MATCH(X$1,'Key Metrics'!$E$16:$M$16,0)),0)</f>
        <v>6901.4000000000005</v>
      </c>
      <c r="Y737" s="9">
        <f>IF($H737&gt;K737, MIN($H737-K737, L737-K737)*INDEX('Key Metrics'!$E$16:$N$19,MATCH($E737,'Key Metrics'!$E$16:$E$19,0),MATCH(Y$1,'Key Metrics'!$E$16:$M$16,0)),0)</f>
        <v>0</v>
      </c>
      <c r="Z737" s="9">
        <f>IF($H737&gt;L737,($H737-L737)*INDEX('Key Metrics'!$E$16:$N$19,MATCH($E737,'Key Metrics'!$E$16:$E$19,0),MATCH(Z$1,'Key Metrics'!$E$16:$M$16,0)),0)</f>
        <v>0</v>
      </c>
      <c r="AA737" s="9">
        <f t="shared" si="119"/>
        <v>88151.4</v>
      </c>
      <c r="AB737" s="9">
        <f t="shared" si="111"/>
        <v>88152.719013999988</v>
      </c>
    </row>
    <row r="738" spans="1:28" x14ac:dyDescent="0.55000000000000004">
      <c r="A738" t="str">
        <f t="shared" si="112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COUNTIF(deals_closed!$D$2:$D$20001,Calculations!B166)</f>
        <v>25</v>
      </c>
      <c r="H738" s="7">
        <f>SUMIF(deals_closed!$D:$D,Calculations!B166,deals_closed!$C:$C)</f>
        <v>852493</v>
      </c>
      <c r="I738" s="5">
        <f>VLOOKUP(E738,'2018_commission_structure'!$A$1:$I$4,9,FALSE)</f>
        <v>500000</v>
      </c>
      <c r="J738" s="9">
        <f t="shared" si="113"/>
        <v>625000</v>
      </c>
      <c r="K738" s="10">
        <f t="shared" si="114"/>
        <v>750000</v>
      </c>
      <c r="L738" s="9">
        <f t="shared" si="115"/>
        <v>1000000</v>
      </c>
      <c r="M738" s="8">
        <f t="shared" si="116"/>
        <v>1.7049859999999999</v>
      </c>
      <c r="N738" t="str">
        <f t="shared" si="117"/>
        <v>150-200%</v>
      </c>
      <c r="O738" s="9">
        <f>MIN($H738,$I738)*INDEX('2018_commission_structure'!$A$1:$I$4,MATCH($E738,'2018_commission_structure'!$A$1:$A$4,0),MATCH(O$1,'2018_commission_structure'!$A$1:$I$1,0))</f>
        <v>50000</v>
      </c>
      <c r="P738" s="9">
        <f>IF(H738&gt;I738, MIN(H738-I738, J738-I738)*INDEX('2018_commission_structure'!$A$1:$I$4,MATCH($E738,'2018_commission_structure'!$A$1:$A$4,0),MATCH(P$1,'2018_commission_structure'!$A$1:$I$1,0)),0)</f>
        <v>18750</v>
      </c>
      <c r="Q738" s="9">
        <f>IF($H738&gt;J738, MIN($H738-J738, K738-J738)*INDEX('2018_commission_structure'!$A$1:$I$4,MATCH($E738,'2018_commission_structure'!$A$1:$A$4,0),MATCH(Q$1,'2018_commission_structure'!$A$1:$I$1,0)),0)</f>
        <v>22500</v>
      </c>
      <c r="R738" s="9">
        <f>IF($H738&gt;K738, MIN($H738-K738, L738-K738)*INDEX('2018_commission_structure'!$A$1:$I$4,MATCH($E738,'2018_commission_structure'!$A$1:$A$4,0),MATCH(R$1,'2018_commission_structure'!$A$1:$I$1,0)),0)</f>
        <v>22548.46</v>
      </c>
      <c r="S738" s="9">
        <f>IF(H738&gt;L738,(H738-L738)*INDEX('2018_commission_structure'!$A$1:$I$4,MATCH($E738,'2018_commission_structure'!$A$1:$A$4,0),MATCH(S$1,'2018_commission_structure'!$A$1:$I$1,0)),0)</f>
        <v>0</v>
      </c>
      <c r="T738" s="9">
        <f t="shared" si="118"/>
        <v>113798.45999999999</v>
      </c>
      <c r="U738" s="9">
        <f t="shared" ref="U738:U801" si="120">F738+T738</f>
        <v>176080.46</v>
      </c>
      <c r="V738" s="9">
        <f>MIN($I738,$H738)*INDEX('Key Metrics'!$E$16:$N$19,MATCH($E738,'Key Metrics'!$E$16:$E$19,0),MATCH(V$1,'Key Metrics'!$E$16:$M$16,0))</f>
        <v>60000</v>
      </c>
      <c r="W738" s="9">
        <f>IF($H738&gt;I738, MIN($H738-I738, J738-I738)*INDEX('Key Metrics'!$E$16:$N$19,MATCH($E738,'Key Metrics'!$E$16:$E$19,0),MATCH(W$1,'Key Metrics'!$E$16:$M$16,0)),0)</f>
        <v>21250</v>
      </c>
      <c r="X738" s="9">
        <f>IF($H738&gt;J738, MIN($H738-J738, K738-J738)*INDEX('Key Metrics'!$E$16:$N$19,MATCH($E738,'Key Metrics'!$E$16:$E$19,0),MATCH(X$1,'Key Metrics'!$E$16:$M$16,0)),0)</f>
        <v>25000</v>
      </c>
      <c r="Y738" s="9">
        <f>IF($H738&gt;K738, MIN($H738-K738, L738-K738)*INDEX('Key Metrics'!$E$16:$N$19,MATCH($E738,'Key Metrics'!$E$16:$E$19,0),MATCH(Y$1,'Key Metrics'!$E$16:$M$16,0)),0)</f>
        <v>22548.46</v>
      </c>
      <c r="Z738" s="9">
        <f>IF($H738&gt;L738,($H738-L738)*INDEX('Key Metrics'!$E$16:$N$19,MATCH($E738,'Key Metrics'!$E$16:$E$19,0),MATCH(Z$1,'Key Metrics'!$E$16:$M$16,0)),0)</f>
        <v>0</v>
      </c>
      <c r="AA738" s="9">
        <f t="shared" si="119"/>
        <v>128798.45999999999</v>
      </c>
      <c r="AB738" s="9">
        <f t="shared" ref="AB738:AB801" si="121">M738+AA738</f>
        <v>128800.16498599999</v>
      </c>
    </row>
    <row r="739" spans="1:28" x14ac:dyDescent="0.55000000000000004">
      <c r="A739" t="str">
        <f t="shared" si="112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COUNTIF(deals_closed!$D$2:$D$20001,Calculations!B311)</f>
        <v>12</v>
      </c>
      <c r="H739" s="7">
        <f>SUMIF(deals_closed!$D:$D,Calculations!B311,deals_closed!$C:$C)</f>
        <v>435921</v>
      </c>
      <c r="I739" s="5">
        <f>VLOOKUP(E739,'2018_commission_structure'!$A$1:$I$4,9,FALSE)</f>
        <v>600000</v>
      </c>
      <c r="J739" s="9">
        <f t="shared" si="113"/>
        <v>750000</v>
      </c>
      <c r="K739" s="10">
        <f t="shared" si="114"/>
        <v>900000</v>
      </c>
      <c r="L739" s="9">
        <f t="shared" si="115"/>
        <v>1200000</v>
      </c>
      <c r="M739" s="8">
        <f t="shared" si="116"/>
        <v>0.72653500000000004</v>
      </c>
      <c r="N739" t="str">
        <f t="shared" si="117"/>
        <v>0-100%</v>
      </c>
      <c r="O739" s="9">
        <f>MIN($H739,$I739)*INDEX('2018_commission_structure'!$A$1:$I$4,MATCH($E739,'2018_commission_structure'!$A$1:$A$4,0),MATCH(O$1,'2018_commission_structure'!$A$1:$I$1,0))</f>
        <v>56669.73</v>
      </c>
      <c r="P739" s="9">
        <f>IF(H739&gt;I739, MIN(H739-I739, J739-I739)*INDEX('2018_commission_structure'!$A$1:$I$4,MATCH($E739,'2018_commission_structure'!$A$1:$A$4,0),MATCH(P$1,'2018_commission_structure'!$A$1:$I$1,0)),0)</f>
        <v>0</v>
      </c>
      <c r="Q739" s="9">
        <f>IF($H739&gt;J739, MIN($H739-J739, K739-J739)*INDEX('2018_commission_structure'!$A$1:$I$4,MATCH($E739,'2018_commission_structure'!$A$1:$A$4,0),MATCH(Q$1,'2018_commission_structure'!$A$1:$I$1,0)),0)</f>
        <v>0</v>
      </c>
      <c r="R739" s="9">
        <f>IF($H739&gt;K739, MIN($H739-K739, L739-K739)*INDEX('2018_commission_structure'!$A$1:$I$4,MATCH($E739,'2018_commission_structure'!$A$1:$A$4,0),MATCH(R$1,'2018_commission_structure'!$A$1:$I$1,0)),0)</f>
        <v>0</v>
      </c>
      <c r="S739" s="9">
        <f>IF(H739&gt;L739,(H739-L739)*INDEX('2018_commission_structure'!$A$1:$I$4,MATCH($E739,'2018_commission_structure'!$A$1:$A$4,0),MATCH(S$1,'2018_commission_structure'!$A$1:$I$1,0)),0)</f>
        <v>0</v>
      </c>
      <c r="T739" s="9">
        <f t="shared" si="118"/>
        <v>56669.73</v>
      </c>
      <c r="U739" s="9">
        <f t="shared" si="120"/>
        <v>109873.73000000001</v>
      </c>
      <c r="V739" s="9">
        <f>MIN($I739,$H739)*INDEX('Key Metrics'!$E$16:$N$19,MATCH($E739,'Key Metrics'!$E$16:$E$19,0),MATCH(V$1,'Key Metrics'!$E$16:$M$16,0))</f>
        <v>65388.149999999994</v>
      </c>
      <c r="W739" s="9">
        <f>IF($H739&gt;I739, MIN($H739-I739, J739-I739)*INDEX('Key Metrics'!$E$16:$N$19,MATCH($E739,'Key Metrics'!$E$16:$E$19,0),MATCH(W$1,'Key Metrics'!$E$16:$M$16,0)),0)</f>
        <v>0</v>
      </c>
      <c r="X739" s="9">
        <f>IF($H739&gt;J739, MIN($H739-J739, K739-J739)*INDEX('Key Metrics'!$E$16:$N$19,MATCH($E739,'Key Metrics'!$E$16:$E$19,0),MATCH(X$1,'Key Metrics'!$E$16:$M$16,0)),0)</f>
        <v>0</v>
      </c>
      <c r="Y739" s="9">
        <f>IF($H739&gt;K739, MIN($H739-K739, L739-K739)*INDEX('Key Metrics'!$E$16:$N$19,MATCH($E739,'Key Metrics'!$E$16:$E$19,0),MATCH(Y$1,'Key Metrics'!$E$16:$M$16,0)),0)</f>
        <v>0</v>
      </c>
      <c r="Z739" s="9">
        <f>IF($H739&gt;L739,($H739-L739)*INDEX('Key Metrics'!$E$16:$N$19,MATCH($E739,'Key Metrics'!$E$16:$E$19,0),MATCH(Z$1,'Key Metrics'!$E$16:$M$16,0)),0)</f>
        <v>0</v>
      </c>
      <c r="AA739" s="9">
        <f t="shared" si="119"/>
        <v>65388.149999999994</v>
      </c>
      <c r="AB739" s="9">
        <f t="shared" si="121"/>
        <v>65388.876534999996</v>
      </c>
    </row>
    <row r="740" spans="1:28" x14ac:dyDescent="0.55000000000000004">
      <c r="A740" t="str">
        <f t="shared" si="112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COUNTIF(deals_closed!$D$2:$D$20001,Calculations!B585)</f>
        <v>24</v>
      </c>
      <c r="H740" s="7">
        <f>SUMIF(deals_closed!$D:$D,Calculations!B585,deals_closed!$C:$C)</f>
        <v>765238</v>
      </c>
      <c r="I740" s="5">
        <f>VLOOKUP(E740,'2018_commission_structure'!$A$1:$I$4,9,FALSE)</f>
        <v>500000</v>
      </c>
      <c r="J740" s="9">
        <f t="shared" si="113"/>
        <v>625000</v>
      </c>
      <c r="K740" s="10">
        <f t="shared" si="114"/>
        <v>750000</v>
      </c>
      <c r="L740" s="9">
        <f t="shared" si="115"/>
        <v>1000000</v>
      </c>
      <c r="M740" s="8">
        <f t="shared" si="116"/>
        <v>1.5304759999999999</v>
      </c>
      <c r="N740" t="str">
        <f t="shared" si="117"/>
        <v>150-200%</v>
      </c>
      <c r="O740" s="9">
        <f>MIN($H740,$I740)*INDEX('2018_commission_structure'!$A$1:$I$4,MATCH($E740,'2018_commission_structure'!$A$1:$A$4,0),MATCH(O$1,'2018_commission_structure'!$A$1:$I$1,0))</f>
        <v>50000</v>
      </c>
      <c r="P740" s="9">
        <f>IF(H740&gt;I740, MIN(H740-I740, J740-I740)*INDEX('2018_commission_structure'!$A$1:$I$4,MATCH($E740,'2018_commission_structure'!$A$1:$A$4,0),MATCH(P$1,'2018_commission_structure'!$A$1:$I$1,0)),0)</f>
        <v>18750</v>
      </c>
      <c r="Q740" s="9">
        <f>IF($H740&gt;J740, MIN($H740-J740, K740-J740)*INDEX('2018_commission_structure'!$A$1:$I$4,MATCH($E740,'2018_commission_structure'!$A$1:$A$4,0),MATCH(Q$1,'2018_commission_structure'!$A$1:$I$1,0)),0)</f>
        <v>22500</v>
      </c>
      <c r="R740" s="9">
        <f>IF($H740&gt;K740, MIN($H740-K740, L740-K740)*INDEX('2018_commission_structure'!$A$1:$I$4,MATCH($E740,'2018_commission_structure'!$A$1:$A$4,0),MATCH(R$1,'2018_commission_structure'!$A$1:$I$1,0)),0)</f>
        <v>3352.36</v>
      </c>
      <c r="S740" s="9">
        <f>IF(H740&gt;L740,(H740-L740)*INDEX('2018_commission_structure'!$A$1:$I$4,MATCH($E740,'2018_commission_structure'!$A$1:$A$4,0),MATCH(S$1,'2018_commission_structure'!$A$1:$I$1,0)),0)</f>
        <v>0</v>
      </c>
      <c r="T740" s="9">
        <f t="shared" si="118"/>
        <v>94602.36</v>
      </c>
      <c r="U740" s="9">
        <f t="shared" si="120"/>
        <v>129751.36</v>
      </c>
      <c r="V740" s="9">
        <f>MIN($I740,$H740)*INDEX('Key Metrics'!$E$16:$N$19,MATCH($E740,'Key Metrics'!$E$16:$E$19,0),MATCH(V$1,'Key Metrics'!$E$16:$M$16,0))</f>
        <v>60000</v>
      </c>
      <c r="W740" s="9">
        <f>IF($H740&gt;I740, MIN($H740-I740, J740-I740)*INDEX('Key Metrics'!$E$16:$N$19,MATCH($E740,'Key Metrics'!$E$16:$E$19,0),MATCH(W$1,'Key Metrics'!$E$16:$M$16,0)),0)</f>
        <v>21250</v>
      </c>
      <c r="X740" s="9">
        <f>IF($H740&gt;J740, MIN($H740-J740, K740-J740)*INDEX('Key Metrics'!$E$16:$N$19,MATCH($E740,'Key Metrics'!$E$16:$E$19,0),MATCH(X$1,'Key Metrics'!$E$16:$M$16,0)),0)</f>
        <v>25000</v>
      </c>
      <c r="Y740" s="9">
        <f>IF($H740&gt;K740, MIN($H740-K740, L740-K740)*INDEX('Key Metrics'!$E$16:$N$19,MATCH($E740,'Key Metrics'!$E$16:$E$19,0),MATCH(Y$1,'Key Metrics'!$E$16:$M$16,0)),0)</f>
        <v>3352.36</v>
      </c>
      <c r="Z740" s="9">
        <f>IF($H740&gt;L740,($H740-L740)*INDEX('Key Metrics'!$E$16:$N$19,MATCH($E740,'Key Metrics'!$E$16:$E$19,0),MATCH(Z$1,'Key Metrics'!$E$16:$M$16,0)),0)</f>
        <v>0</v>
      </c>
      <c r="AA740" s="9">
        <f t="shared" si="119"/>
        <v>109602.36</v>
      </c>
      <c r="AB740" s="9">
        <f t="shared" si="121"/>
        <v>109603.890476</v>
      </c>
    </row>
    <row r="741" spans="1:28" x14ac:dyDescent="0.55000000000000004">
      <c r="A741" t="str">
        <f t="shared" si="112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COUNTIF(deals_closed!$D$2:$D$20001,Calculations!B692)</f>
        <v>15</v>
      </c>
      <c r="H741" s="7">
        <f>SUMIF(deals_closed!$D:$D,Calculations!B692,deals_closed!$C:$C)</f>
        <v>458838</v>
      </c>
      <c r="I741" s="5">
        <f>VLOOKUP(E741,'2018_commission_structure'!$A$1:$I$4,9,FALSE)</f>
        <v>500000</v>
      </c>
      <c r="J741" s="9">
        <f t="shared" si="113"/>
        <v>625000</v>
      </c>
      <c r="K741" s="10">
        <f t="shared" si="114"/>
        <v>750000</v>
      </c>
      <c r="L741" s="9">
        <f t="shared" si="115"/>
        <v>1000000</v>
      </c>
      <c r="M741" s="8">
        <f t="shared" si="116"/>
        <v>0.91767600000000005</v>
      </c>
      <c r="N741" t="str">
        <f t="shared" si="117"/>
        <v>0-100%</v>
      </c>
      <c r="O741" s="9">
        <f>MIN($H741,$I741)*INDEX('2018_commission_structure'!$A$1:$I$4,MATCH($E741,'2018_commission_structure'!$A$1:$A$4,0),MATCH(O$1,'2018_commission_structure'!$A$1:$I$1,0))</f>
        <v>45883.8</v>
      </c>
      <c r="P741" s="9">
        <f>IF(H741&gt;I741, MIN(H741-I741, J741-I741)*INDEX('2018_commission_structure'!$A$1:$I$4,MATCH($E741,'2018_commission_structure'!$A$1:$A$4,0),MATCH(P$1,'2018_commission_structure'!$A$1:$I$1,0)),0)</f>
        <v>0</v>
      </c>
      <c r="Q741" s="9">
        <f>IF($H741&gt;J741, MIN($H741-J741, K741-J741)*INDEX('2018_commission_structure'!$A$1:$I$4,MATCH($E741,'2018_commission_structure'!$A$1:$A$4,0),MATCH(Q$1,'2018_commission_structure'!$A$1:$I$1,0)),0)</f>
        <v>0</v>
      </c>
      <c r="R741" s="9">
        <f>IF($H741&gt;K741, MIN($H741-K741, L741-K741)*INDEX('2018_commission_structure'!$A$1:$I$4,MATCH($E741,'2018_commission_structure'!$A$1:$A$4,0),MATCH(R$1,'2018_commission_structure'!$A$1:$I$1,0)),0)</f>
        <v>0</v>
      </c>
      <c r="S741" s="9">
        <f>IF(H741&gt;L741,(H741-L741)*INDEX('2018_commission_structure'!$A$1:$I$4,MATCH($E741,'2018_commission_structure'!$A$1:$A$4,0),MATCH(S$1,'2018_commission_structure'!$A$1:$I$1,0)),0)</f>
        <v>0</v>
      </c>
      <c r="T741" s="9">
        <f t="shared" si="118"/>
        <v>45883.8</v>
      </c>
      <c r="U741" s="9">
        <f t="shared" si="120"/>
        <v>100726.8</v>
      </c>
      <c r="V741" s="9">
        <f>MIN($I741,$H741)*INDEX('Key Metrics'!$E$16:$N$19,MATCH($E741,'Key Metrics'!$E$16:$E$19,0),MATCH(V$1,'Key Metrics'!$E$16:$M$16,0))</f>
        <v>55060.56</v>
      </c>
      <c r="W741" s="9">
        <f>IF($H741&gt;I741, MIN($H741-I741, J741-I741)*INDEX('Key Metrics'!$E$16:$N$19,MATCH($E741,'Key Metrics'!$E$16:$E$19,0),MATCH(W$1,'Key Metrics'!$E$16:$M$16,0)),0)</f>
        <v>0</v>
      </c>
      <c r="X741" s="9">
        <f>IF($H741&gt;J741, MIN($H741-J741, K741-J741)*INDEX('Key Metrics'!$E$16:$N$19,MATCH($E741,'Key Metrics'!$E$16:$E$19,0),MATCH(X$1,'Key Metrics'!$E$16:$M$16,0)),0)</f>
        <v>0</v>
      </c>
      <c r="Y741" s="9">
        <f>IF($H741&gt;K741, MIN($H741-K741, L741-K741)*INDEX('Key Metrics'!$E$16:$N$19,MATCH($E741,'Key Metrics'!$E$16:$E$19,0),MATCH(Y$1,'Key Metrics'!$E$16:$M$16,0)),0)</f>
        <v>0</v>
      </c>
      <c r="Z741" s="9">
        <f>IF($H741&gt;L741,($H741-L741)*INDEX('Key Metrics'!$E$16:$N$19,MATCH($E741,'Key Metrics'!$E$16:$E$19,0),MATCH(Z$1,'Key Metrics'!$E$16:$M$16,0)),0)</f>
        <v>0</v>
      </c>
      <c r="AA741" s="9">
        <f t="shared" si="119"/>
        <v>55060.56</v>
      </c>
      <c r="AB741" s="9">
        <f t="shared" si="121"/>
        <v>55061.477675999995</v>
      </c>
    </row>
    <row r="742" spans="1:28" x14ac:dyDescent="0.55000000000000004">
      <c r="A742" t="str">
        <f t="shared" si="112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COUNTIF(deals_closed!$D$2:$D$20001,Calculations!B48)</f>
        <v>23</v>
      </c>
      <c r="H742" s="7">
        <f>SUMIF(deals_closed!$D:$D,Calculations!B48,deals_closed!$C:$C)</f>
        <v>825594</v>
      </c>
      <c r="I742" s="5">
        <f>VLOOKUP(E742,'2018_commission_structure'!$A$1:$I$4,9,FALSE)</f>
        <v>500000</v>
      </c>
      <c r="J742" s="9">
        <f t="shared" si="113"/>
        <v>625000</v>
      </c>
      <c r="K742" s="10">
        <f t="shared" si="114"/>
        <v>750000</v>
      </c>
      <c r="L742" s="9">
        <f t="shared" si="115"/>
        <v>1000000</v>
      </c>
      <c r="M742" s="8">
        <f t="shared" si="116"/>
        <v>1.6511880000000001</v>
      </c>
      <c r="N742" t="str">
        <f t="shared" si="117"/>
        <v>150-200%</v>
      </c>
      <c r="O742" s="9">
        <f>MIN($H742,$I742)*INDEX('2018_commission_structure'!$A$1:$I$4,MATCH($E742,'2018_commission_structure'!$A$1:$A$4,0),MATCH(O$1,'2018_commission_structure'!$A$1:$I$1,0))</f>
        <v>50000</v>
      </c>
      <c r="P742" s="9">
        <f>IF(H742&gt;I742, MIN(H742-I742, J742-I742)*INDEX('2018_commission_structure'!$A$1:$I$4,MATCH($E742,'2018_commission_structure'!$A$1:$A$4,0),MATCH(P$1,'2018_commission_structure'!$A$1:$I$1,0)),0)</f>
        <v>18750</v>
      </c>
      <c r="Q742" s="9">
        <f>IF($H742&gt;J742, MIN($H742-J742, K742-J742)*INDEX('2018_commission_structure'!$A$1:$I$4,MATCH($E742,'2018_commission_structure'!$A$1:$A$4,0),MATCH(Q$1,'2018_commission_structure'!$A$1:$I$1,0)),0)</f>
        <v>22500</v>
      </c>
      <c r="R742" s="9">
        <f>IF($H742&gt;K742, MIN($H742-K742, L742-K742)*INDEX('2018_commission_structure'!$A$1:$I$4,MATCH($E742,'2018_commission_structure'!$A$1:$A$4,0),MATCH(R$1,'2018_commission_structure'!$A$1:$I$1,0)),0)</f>
        <v>16630.68</v>
      </c>
      <c r="S742" s="9">
        <f>IF(H742&gt;L742,(H742-L742)*INDEX('2018_commission_structure'!$A$1:$I$4,MATCH($E742,'2018_commission_structure'!$A$1:$A$4,0),MATCH(S$1,'2018_commission_structure'!$A$1:$I$1,0)),0)</f>
        <v>0</v>
      </c>
      <c r="T742" s="9">
        <f t="shared" si="118"/>
        <v>107880.68</v>
      </c>
      <c r="U742" s="9">
        <f t="shared" si="120"/>
        <v>154232.68</v>
      </c>
      <c r="V742" s="9">
        <f>MIN($I742,$H742)*INDEX('Key Metrics'!$E$16:$N$19,MATCH($E742,'Key Metrics'!$E$16:$E$19,0),MATCH(V$1,'Key Metrics'!$E$16:$M$16,0))</f>
        <v>60000</v>
      </c>
      <c r="W742" s="9">
        <f>IF($H742&gt;I742, MIN($H742-I742, J742-I742)*INDEX('Key Metrics'!$E$16:$N$19,MATCH($E742,'Key Metrics'!$E$16:$E$19,0),MATCH(W$1,'Key Metrics'!$E$16:$M$16,0)),0)</f>
        <v>21250</v>
      </c>
      <c r="X742" s="9">
        <f>IF($H742&gt;J742, MIN($H742-J742, K742-J742)*INDEX('Key Metrics'!$E$16:$N$19,MATCH($E742,'Key Metrics'!$E$16:$E$19,0),MATCH(X$1,'Key Metrics'!$E$16:$M$16,0)),0)</f>
        <v>25000</v>
      </c>
      <c r="Y742" s="9">
        <f>IF($H742&gt;K742, MIN($H742-K742, L742-K742)*INDEX('Key Metrics'!$E$16:$N$19,MATCH($E742,'Key Metrics'!$E$16:$E$19,0),MATCH(Y$1,'Key Metrics'!$E$16:$M$16,0)),0)</f>
        <v>16630.68</v>
      </c>
      <c r="Z742" s="9">
        <f>IF($H742&gt;L742,($H742-L742)*INDEX('Key Metrics'!$E$16:$N$19,MATCH($E742,'Key Metrics'!$E$16:$E$19,0),MATCH(Z$1,'Key Metrics'!$E$16:$M$16,0)),0)</f>
        <v>0</v>
      </c>
      <c r="AA742" s="9">
        <f t="shared" si="119"/>
        <v>122880.68</v>
      </c>
      <c r="AB742" s="9">
        <f t="shared" si="121"/>
        <v>122882.331188</v>
      </c>
    </row>
    <row r="743" spans="1:28" x14ac:dyDescent="0.55000000000000004">
      <c r="A743" t="str">
        <f t="shared" si="112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COUNTIF(deals_closed!$D$2:$D$20001,Calculations!B172)</f>
        <v>16</v>
      </c>
      <c r="H743" s="7">
        <f>SUMIF(deals_closed!$D:$D,Calculations!B172,deals_closed!$C:$C)</f>
        <v>521382</v>
      </c>
      <c r="I743" s="5">
        <f>VLOOKUP(E743,'2018_commission_structure'!$A$1:$I$4,9,FALSE)</f>
        <v>600000</v>
      </c>
      <c r="J743" s="9">
        <f t="shared" si="113"/>
        <v>750000</v>
      </c>
      <c r="K743" s="10">
        <f t="shared" si="114"/>
        <v>900000</v>
      </c>
      <c r="L743" s="9">
        <f t="shared" si="115"/>
        <v>1200000</v>
      </c>
      <c r="M743" s="8">
        <f t="shared" si="116"/>
        <v>0.86897000000000002</v>
      </c>
      <c r="N743" t="str">
        <f t="shared" si="117"/>
        <v>0-100%</v>
      </c>
      <c r="O743" s="9">
        <f>MIN($H743,$I743)*INDEX('2018_commission_structure'!$A$1:$I$4,MATCH($E743,'2018_commission_structure'!$A$1:$A$4,0),MATCH(O$1,'2018_commission_structure'!$A$1:$I$1,0))</f>
        <v>67779.66</v>
      </c>
      <c r="P743" s="9">
        <f>IF(H743&gt;I743, MIN(H743-I743, J743-I743)*INDEX('2018_commission_structure'!$A$1:$I$4,MATCH($E743,'2018_commission_structure'!$A$1:$A$4,0),MATCH(P$1,'2018_commission_structure'!$A$1:$I$1,0)),0)</f>
        <v>0</v>
      </c>
      <c r="Q743" s="9">
        <f>IF($H743&gt;J743, MIN($H743-J743, K743-J743)*INDEX('2018_commission_structure'!$A$1:$I$4,MATCH($E743,'2018_commission_structure'!$A$1:$A$4,0),MATCH(Q$1,'2018_commission_structure'!$A$1:$I$1,0)),0)</f>
        <v>0</v>
      </c>
      <c r="R743" s="9">
        <f>IF($H743&gt;K743, MIN($H743-K743, L743-K743)*INDEX('2018_commission_structure'!$A$1:$I$4,MATCH($E743,'2018_commission_structure'!$A$1:$A$4,0),MATCH(R$1,'2018_commission_structure'!$A$1:$I$1,0)),0)</f>
        <v>0</v>
      </c>
      <c r="S743" s="9">
        <f>IF(H743&gt;L743,(H743-L743)*INDEX('2018_commission_structure'!$A$1:$I$4,MATCH($E743,'2018_commission_structure'!$A$1:$A$4,0),MATCH(S$1,'2018_commission_structure'!$A$1:$I$1,0)),0)</f>
        <v>0</v>
      </c>
      <c r="T743" s="9">
        <f t="shared" si="118"/>
        <v>67779.66</v>
      </c>
      <c r="U743" s="9">
        <f t="shared" si="120"/>
        <v>145741.66</v>
      </c>
      <c r="V743" s="9">
        <f>MIN($I743,$H743)*INDEX('Key Metrics'!$E$16:$N$19,MATCH($E743,'Key Metrics'!$E$16:$E$19,0),MATCH(V$1,'Key Metrics'!$E$16:$M$16,0))</f>
        <v>78207.3</v>
      </c>
      <c r="W743" s="9">
        <f>IF($H743&gt;I743, MIN($H743-I743, J743-I743)*INDEX('Key Metrics'!$E$16:$N$19,MATCH($E743,'Key Metrics'!$E$16:$E$19,0),MATCH(W$1,'Key Metrics'!$E$16:$M$16,0)),0)</f>
        <v>0</v>
      </c>
      <c r="X743" s="9">
        <f>IF($H743&gt;J743, MIN($H743-J743, K743-J743)*INDEX('Key Metrics'!$E$16:$N$19,MATCH($E743,'Key Metrics'!$E$16:$E$19,0),MATCH(X$1,'Key Metrics'!$E$16:$M$16,0)),0)</f>
        <v>0</v>
      </c>
      <c r="Y743" s="9">
        <f>IF($H743&gt;K743, MIN($H743-K743, L743-K743)*INDEX('Key Metrics'!$E$16:$N$19,MATCH($E743,'Key Metrics'!$E$16:$E$19,0),MATCH(Y$1,'Key Metrics'!$E$16:$M$16,0)),0)</f>
        <v>0</v>
      </c>
      <c r="Z743" s="9">
        <f>IF($H743&gt;L743,($H743-L743)*INDEX('Key Metrics'!$E$16:$N$19,MATCH($E743,'Key Metrics'!$E$16:$E$19,0),MATCH(Z$1,'Key Metrics'!$E$16:$M$16,0)),0)</f>
        <v>0</v>
      </c>
      <c r="AA743" s="9">
        <f t="shared" si="119"/>
        <v>78207.3</v>
      </c>
      <c r="AB743" s="9">
        <f t="shared" si="121"/>
        <v>78208.168969999999</v>
      </c>
    </row>
    <row r="744" spans="1:28" x14ac:dyDescent="0.55000000000000004">
      <c r="A744" t="str">
        <f t="shared" si="112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COUNTIF(deals_closed!$D$2:$D$20001,Calculations!B760)</f>
        <v>18</v>
      </c>
      <c r="H744" s="7">
        <f>SUMIF(deals_closed!$D:$D,Calculations!B760,deals_closed!$C:$C)</f>
        <v>624543</v>
      </c>
      <c r="I744" s="5">
        <f>VLOOKUP(E744,'2018_commission_structure'!$A$1:$I$4,9,FALSE)</f>
        <v>500000</v>
      </c>
      <c r="J744" s="9">
        <f t="shared" si="113"/>
        <v>625000</v>
      </c>
      <c r="K744" s="10">
        <f t="shared" si="114"/>
        <v>750000</v>
      </c>
      <c r="L744" s="9">
        <f t="shared" si="115"/>
        <v>1000000</v>
      </c>
      <c r="M744" s="8">
        <f t="shared" si="116"/>
        <v>1.2490859999999999</v>
      </c>
      <c r="N744" t="str">
        <f t="shared" si="117"/>
        <v>100-125%</v>
      </c>
      <c r="O744" s="9">
        <f>MIN($H744,$I744)*INDEX('2018_commission_structure'!$A$1:$I$4,MATCH($E744,'2018_commission_structure'!$A$1:$A$4,0),MATCH(O$1,'2018_commission_structure'!$A$1:$I$1,0))</f>
        <v>50000</v>
      </c>
      <c r="P744" s="9">
        <f>IF(H744&gt;I744, MIN(H744-I744, J744-I744)*INDEX('2018_commission_structure'!$A$1:$I$4,MATCH($E744,'2018_commission_structure'!$A$1:$A$4,0),MATCH(P$1,'2018_commission_structure'!$A$1:$I$1,0)),0)</f>
        <v>18681.45</v>
      </c>
      <c r="Q744" s="9">
        <f>IF($H744&gt;J744, MIN($H744-J744, K744-J744)*INDEX('2018_commission_structure'!$A$1:$I$4,MATCH($E744,'2018_commission_structure'!$A$1:$A$4,0),MATCH(Q$1,'2018_commission_structure'!$A$1:$I$1,0)),0)</f>
        <v>0</v>
      </c>
      <c r="R744" s="9">
        <f>IF($H744&gt;K744, MIN($H744-K744, L744-K744)*INDEX('2018_commission_structure'!$A$1:$I$4,MATCH($E744,'2018_commission_structure'!$A$1:$A$4,0),MATCH(R$1,'2018_commission_structure'!$A$1:$I$1,0)),0)</f>
        <v>0</v>
      </c>
      <c r="S744" s="9">
        <f>IF(H744&gt;L744,(H744-L744)*INDEX('2018_commission_structure'!$A$1:$I$4,MATCH($E744,'2018_commission_structure'!$A$1:$A$4,0),MATCH(S$1,'2018_commission_structure'!$A$1:$I$1,0)),0)</f>
        <v>0</v>
      </c>
      <c r="T744" s="9">
        <f t="shared" si="118"/>
        <v>68681.45</v>
      </c>
      <c r="U744" s="9">
        <f t="shared" si="120"/>
        <v>111974.45</v>
      </c>
      <c r="V744" s="9">
        <f>MIN($I744,$H744)*INDEX('Key Metrics'!$E$16:$N$19,MATCH($E744,'Key Metrics'!$E$16:$E$19,0),MATCH(V$1,'Key Metrics'!$E$16:$M$16,0))</f>
        <v>60000</v>
      </c>
      <c r="W744" s="9">
        <f>IF($H744&gt;I744, MIN($H744-I744, J744-I744)*INDEX('Key Metrics'!$E$16:$N$19,MATCH($E744,'Key Metrics'!$E$16:$E$19,0),MATCH(W$1,'Key Metrics'!$E$16:$M$16,0)),0)</f>
        <v>21172.31</v>
      </c>
      <c r="X744" s="9">
        <f>IF($H744&gt;J744, MIN($H744-J744, K744-J744)*INDEX('Key Metrics'!$E$16:$N$19,MATCH($E744,'Key Metrics'!$E$16:$E$19,0),MATCH(X$1,'Key Metrics'!$E$16:$M$16,0)),0)</f>
        <v>0</v>
      </c>
      <c r="Y744" s="9">
        <f>IF($H744&gt;K744, MIN($H744-K744, L744-K744)*INDEX('Key Metrics'!$E$16:$N$19,MATCH($E744,'Key Metrics'!$E$16:$E$19,0),MATCH(Y$1,'Key Metrics'!$E$16:$M$16,0)),0)</f>
        <v>0</v>
      </c>
      <c r="Z744" s="9">
        <f>IF($H744&gt;L744,($H744-L744)*INDEX('Key Metrics'!$E$16:$N$19,MATCH($E744,'Key Metrics'!$E$16:$E$19,0),MATCH(Z$1,'Key Metrics'!$E$16:$M$16,0)),0)</f>
        <v>0</v>
      </c>
      <c r="AA744" s="9">
        <f t="shared" si="119"/>
        <v>81172.31</v>
      </c>
      <c r="AB744" s="9">
        <f t="shared" si="121"/>
        <v>81173.559085999994</v>
      </c>
    </row>
    <row r="745" spans="1:28" x14ac:dyDescent="0.55000000000000004">
      <c r="A745" t="str">
        <f t="shared" si="112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COUNTIF(deals_closed!$D$2:$D$20001,Calculations!B365)</f>
        <v>31</v>
      </c>
      <c r="H745" s="7">
        <f>SUMIF(deals_closed!$D:$D,Calculations!B365,deals_closed!$C:$C)</f>
        <v>1128878</v>
      </c>
      <c r="I745" s="5">
        <f>VLOOKUP(E745,'2018_commission_structure'!$A$1:$I$4,9,FALSE)</f>
        <v>750000</v>
      </c>
      <c r="J745" s="9">
        <f t="shared" si="113"/>
        <v>937500</v>
      </c>
      <c r="K745" s="10">
        <f t="shared" si="114"/>
        <v>1125000</v>
      </c>
      <c r="L745" s="9">
        <f t="shared" si="115"/>
        <v>1500000</v>
      </c>
      <c r="M745" s="8">
        <f t="shared" si="116"/>
        <v>1.5051706666666667</v>
      </c>
      <c r="N745" t="str">
        <f t="shared" si="117"/>
        <v>150-200%</v>
      </c>
      <c r="O745" s="9">
        <f>MIN($H745,$I745)*INDEX('2018_commission_structure'!$A$1:$I$4,MATCH($E745,'2018_commission_structure'!$A$1:$A$4,0),MATCH(O$1,'2018_commission_structure'!$A$1:$I$1,0))</f>
        <v>112500</v>
      </c>
      <c r="P745" s="9">
        <f>IF(H745&gt;I745, MIN(H745-I745, J745-I745)*INDEX('2018_commission_structure'!$A$1:$I$4,MATCH($E745,'2018_commission_structure'!$A$1:$A$4,0),MATCH(P$1,'2018_commission_structure'!$A$1:$I$1,0)),0)</f>
        <v>35625</v>
      </c>
      <c r="Q745" s="9">
        <f>IF($H745&gt;J745, MIN($H745-J745, K745-J745)*INDEX('2018_commission_structure'!$A$1:$I$4,MATCH($E745,'2018_commission_structure'!$A$1:$A$4,0),MATCH(Q$1,'2018_commission_structure'!$A$1:$I$1,0)),0)</f>
        <v>43125</v>
      </c>
      <c r="R745" s="9">
        <f>IF($H745&gt;K745, MIN($H745-K745, L745-K745)*INDEX('2018_commission_structure'!$A$1:$I$4,MATCH($E745,'2018_commission_structure'!$A$1:$A$4,0),MATCH(R$1,'2018_commission_structure'!$A$1:$I$1,0)),0)</f>
        <v>1163.3999999999999</v>
      </c>
      <c r="S745" s="9">
        <f>IF(H745&gt;L745,(H745-L745)*INDEX('2018_commission_structure'!$A$1:$I$4,MATCH($E745,'2018_commission_structure'!$A$1:$A$4,0),MATCH(S$1,'2018_commission_structure'!$A$1:$I$1,0)),0)</f>
        <v>0</v>
      </c>
      <c r="T745" s="9">
        <f t="shared" si="118"/>
        <v>192413.4</v>
      </c>
      <c r="U745" s="9">
        <f t="shared" si="120"/>
        <v>311249.40000000002</v>
      </c>
      <c r="V745" s="9">
        <f>MIN($I745,$H745)*INDEX('Key Metrics'!$E$16:$N$19,MATCH($E745,'Key Metrics'!$E$16:$E$19,0),MATCH(V$1,'Key Metrics'!$E$16:$M$16,0))</f>
        <v>112500</v>
      </c>
      <c r="W745" s="9">
        <f>IF($H745&gt;I745, MIN($H745-I745, J745-I745)*INDEX('Key Metrics'!$E$16:$N$19,MATCH($E745,'Key Metrics'!$E$16:$E$19,0),MATCH(W$1,'Key Metrics'!$E$16:$M$16,0)),0)</f>
        <v>41250</v>
      </c>
      <c r="X745" s="9">
        <f>IF($H745&gt;J745, MIN($H745-J745, K745-J745)*INDEX('Key Metrics'!$E$16:$N$19,MATCH($E745,'Key Metrics'!$E$16:$E$19,0),MATCH(X$1,'Key Metrics'!$E$16:$M$16,0)),0)</f>
        <v>46875</v>
      </c>
      <c r="Y745" s="9">
        <f>IF($H745&gt;K745, MIN($H745-K745, L745-K745)*INDEX('Key Metrics'!$E$16:$N$19,MATCH($E745,'Key Metrics'!$E$16:$E$19,0),MATCH(Y$1,'Key Metrics'!$E$16:$M$16,0)),0)</f>
        <v>1279.74</v>
      </c>
      <c r="Z745" s="9">
        <f>IF($H745&gt;L745,($H745-L745)*INDEX('Key Metrics'!$E$16:$N$19,MATCH($E745,'Key Metrics'!$E$16:$E$19,0),MATCH(Z$1,'Key Metrics'!$E$16:$M$16,0)),0)</f>
        <v>0</v>
      </c>
      <c r="AA745" s="9">
        <f t="shared" si="119"/>
        <v>201904.74</v>
      </c>
      <c r="AB745" s="9">
        <f t="shared" si="121"/>
        <v>201906.24517066666</v>
      </c>
    </row>
    <row r="746" spans="1:28" x14ac:dyDescent="0.55000000000000004">
      <c r="A746" t="str">
        <f t="shared" si="112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COUNTIF(deals_closed!$D$2:$D$20001,Calculations!B901)</f>
        <v>18</v>
      </c>
      <c r="H746" s="7">
        <f>SUMIF(deals_closed!$D:$D,Calculations!B901,deals_closed!$C:$C)</f>
        <v>654001</v>
      </c>
      <c r="I746" s="5">
        <f>VLOOKUP(E746,'2018_commission_structure'!$A$1:$I$4,9,FALSE)</f>
        <v>600000</v>
      </c>
      <c r="J746" s="9">
        <f t="shared" si="113"/>
        <v>750000</v>
      </c>
      <c r="K746" s="10">
        <f t="shared" si="114"/>
        <v>900000</v>
      </c>
      <c r="L746" s="9">
        <f t="shared" si="115"/>
        <v>1200000</v>
      </c>
      <c r="M746" s="8">
        <f t="shared" si="116"/>
        <v>1.0900016666666668</v>
      </c>
      <c r="N746" t="str">
        <f t="shared" si="117"/>
        <v>100-125%</v>
      </c>
      <c r="O746" s="9">
        <f>MIN($H746,$I746)*INDEX('2018_commission_structure'!$A$1:$I$4,MATCH($E746,'2018_commission_structure'!$A$1:$A$4,0),MATCH(O$1,'2018_commission_structure'!$A$1:$I$1,0))</f>
        <v>78000</v>
      </c>
      <c r="P746" s="9">
        <f>IF(H746&gt;I746, MIN(H746-I746, J746-I746)*INDEX('2018_commission_structure'!$A$1:$I$4,MATCH($E746,'2018_commission_structure'!$A$1:$A$4,0),MATCH(P$1,'2018_commission_structure'!$A$1:$I$1,0)),0)</f>
        <v>9180.17</v>
      </c>
      <c r="Q746" s="9">
        <f>IF($H746&gt;J746, MIN($H746-J746, K746-J746)*INDEX('2018_commission_structure'!$A$1:$I$4,MATCH($E746,'2018_commission_structure'!$A$1:$A$4,0),MATCH(Q$1,'2018_commission_structure'!$A$1:$I$1,0)),0)</f>
        <v>0</v>
      </c>
      <c r="R746" s="9">
        <f>IF($H746&gt;K746, MIN($H746-K746, L746-K746)*INDEX('2018_commission_structure'!$A$1:$I$4,MATCH($E746,'2018_commission_structure'!$A$1:$A$4,0),MATCH(R$1,'2018_commission_structure'!$A$1:$I$1,0)),0)</f>
        <v>0</v>
      </c>
      <c r="S746" s="9">
        <f>IF(H746&gt;L746,(H746-L746)*INDEX('2018_commission_structure'!$A$1:$I$4,MATCH($E746,'2018_commission_structure'!$A$1:$A$4,0),MATCH(S$1,'2018_commission_structure'!$A$1:$I$1,0)),0)</f>
        <v>0</v>
      </c>
      <c r="T746" s="9">
        <f t="shared" si="118"/>
        <v>87180.17</v>
      </c>
      <c r="U746" s="9">
        <f t="shared" si="120"/>
        <v>158867.16999999998</v>
      </c>
      <c r="V746" s="9">
        <f>MIN($I746,$H746)*INDEX('Key Metrics'!$E$16:$N$19,MATCH($E746,'Key Metrics'!$E$16:$E$19,0),MATCH(V$1,'Key Metrics'!$E$16:$M$16,0))</f>
        <v>90000</v>
      </c>
      <c r="W746" s="9">
        <f>IF($H746&gt;I746, MIN($H746-I746, J746-I746)*INDEX('Key Metrics'!$E$16:$N$19,MATCH($E746,'Key Metrics'!$E$16:$E$19,0),MATCH(W$1,'Key Metrics'!$E$16:$M$16,0)),0)</f>
        <v>9720.18</v>
      </c>
      <c r="X746" s="9">
        <f>IF($H746&gt;J746, MIN($H746-J746, K746-J746)*INDEX('Key Metrics'!$E$16:$N$19,MATCH($E746,'Key Metrics'!$E$16:$E$19,0),MATCH(X$1,'Key Metrics'!$E$16:$M$16,0)),0)</f>
        <v>0</v>
      </c>
      <c r="Y746" s="9">
        <f>IF($H746&gt;K746, MIN($H746-K746, L746-K746)*INDEX('Key Metrics'!$E$16:$N$19,MATCH($E746,'Key Metrics'!$E$16:$E$19,0),MATCH(Y$1,'Key Metrics'!$E$16:$M$16,0)),0)</f>
        <v>0</v>
      </c>
      <c r="Z746" s="9">
        <f>IF($H746&gt;L746,($H746-L746)*INDEX('Key Metrics'!$E$16:$N$19,MATCH($E746,'Key Metrics'!$E$16:$E$19,0),MATCH(Z$1,'Key Metrics'!$E$16:$M$16,0)),0)</f>
        <v>0</v>
      </c>
      <c r="AA746" s="9">
        <f t="shared" si="119"/>
        <v>99720.18</v>
      </c>
      <c r="AB746" s="9">
        <f t="shared" si="121"/>
        <v>99721.270001666664</v>
      </c>
    </row>
    <row r="747" spans="1:28" x14ac:dyDescent="0.55000000000000004">
      <c r="A747" t="str">
        <f t="shared" si="112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COUNTIF(deals_closed!$D$2:$D$20001,Calculations!B840)</f>
        <v>21</v>
      </c>
      <c r="H747" s="7">
        <f>SUMIF(deals_closed!$D:$D,Calculations!B840,deals_closed!$C:$C)</f>
        <v>702700</v>
      </c>
      <c r="I747" s="5">
        <f>VLOOKUP(E747,'2018_commission_structure'!$A$1:$I$4,9,FALSE)</f>
        <v>750000</v>
      </c>
      <c r="J747" s="9">
        <f t="shared" si="113"/>
        <v>937500</v>
      </c>
      <c r="K747" s="10">
        <f t="shared" si="114"/>
        <v>1125000</v>
      </c>
      <c r="L747" s="9">
        <f t="shared" si="115"/>
        <v>1500000</v>
      </c>
      <c r="M747" s="8">
        <f t="shared" si="116"/>
        <v>0.93693333333333328</v>
      </c>
      <c r="N747" t="str">
        <f t="shared" si="117"/>
        <v>0-100%</v>
      </c>
      <c r="O747" s="9">
        <f>MIN($H747,$I747)*INDEX('2018_commission_structure'!$A$1:$I$4,MATCH($E747,'2018_commission_structure'!$A$1:$A$4,0),MATCH(O$1,'2018_commission_structure'!$A$1:$I$1,0))</f>
        <v>105405</v>
      </c>
      <c r="P747" s="9">
        <f>IF(H747&gt;I747, MIN(H747-I747, J747-I747)*INDEX('2018_commission_structure'!$A$1:$I$4,MATCH($E747,'2018_commission_structure'!$A$1:$A$4,0),MATCH(P$1,'2018_commission_structure'!$A$1:$I$1,0)),0)</f>
        <v>0</v>
      </c>
      <c r="Q747" s="9">
        <f>IF($H747&gt;J747, MIN($H747-J747, K747-J747)*INDEX('2018_commission_structure'!$A$1:$I$4,MATCH($E747,'2018_commission_structure'!$A$1:$A$4,0),MATCH(Q$1,'2018_commission_structure'!$A$1:$I$1,0)),0)</f>
        <v>0</v>
      </c>
      <c r="R747" s="9">
        <f>IF($H747&gt;K747, MIN($H747-K747, L747-K747)*INDEX('2018_commission_structure'!$A$1:$I$4,MATCH($E747,'2018_commission_structure'!$A$1:$A$4,0),MATCH(R$1,'2018_commission_structure'!$A$1:$I$1,0)),0)</f>
        <v>0</v>
      </c>
      <c r="S747" s="9">
        <f>IF(H747&gt;L747,(H747-L747)*INDEX('2018_commission_structure'!$A$1:$I$4,MATCH($E747,'2018_commission_structure'!$A$1:$A$4,0),MATCH(S$1,'2018_commission_structure'!$A$1:$I$1,0)),0)</f>
        <v>0</v>
      </c>
      <c r="T747" s="9">
        <f t="shared" si="118"/>
        <v>105405</v>
      </c>
      <c r="U747" s="9">
        <f t="shared" si="120"/>
        <v>189072</v>
      </c>
      <c r="V747" s="9">
        <f>MIN($I747,$H747)*INDEX('Key Metrics'!$E$16:$N$19,MATCH($E747,'Key Metrics'!$E$16:$E$19,0),MATCH(V$1,'Key Metrics'!$E$16:$M$16,0))</f>
        <v>105405</v>
      </c>
      <c r="W747" s="9">
        <f>IF($H747&gt;I747, MIN($H747-I747, J747-I747)*INDEX('Key Metrics'!$E$16:$N$19,MATCH($E747,'Key Metrics'!$E$16:$E$19,0),MATCH(W$1,'Key Metrics'!$E$16:$M$16,0)),0)</f>
        <v>0</v>
      </c>
      <c r="X747" s="9">
        <f>IF($H747&gt;J747, MIN($H747-J747, K747-J747)*INDEX('Key Metrics'!$E$16:$N$19,MATCH($E747,'Key Metrics'!$E$16:$E$19,0),MATCH(X$1,'Key Metrics'!$E$16:$M$16,0)),0)</f>
        <v>0</v>
      </c>
      <c r="Y747" s="9">
        <f>IF($H747&gt;K747, MIN($H747-K747, L747-K747)*INDEX('Key Metrics'!$E$16:$N$19,MATCH($E747,'Key Metrics'!$E$16:$E$19,0),MATCH(Y$1,'Key Metrics'!$E$16:$M$16,0)),0)</f>
        <v>0</v>
      </c>
      <c r="Z747" s="9">
        <f>IF($H747&gt;L747,($H747-L747)*INDEX('Key Metrics'!$E$16:$N$19,MATCH($E747,'Key Metrics'!$E$16:$E$19,0),MATCH(Z$1,'Key Metrics'!$E$16:$M$16,0)),0)</f>
        <v>0</v>
      </c>
      <c r="AA747" s="9">
        <f t="shared" si="119"/>
        <v>105405</v>
      </c>
      <c r="AB747" s="9">
        <f t="shared" si="121"/>
        <v>105405.93693333333</v>
      </c>
    </row>
    <row r="748" spans="1:28" x14ac:dyDescent="0.55000000000000004">
      <c r="A748" t="str">
        <f t="shared" si="112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COUNTIF(deals_closed!$D$2:$D$20001,Calculations!B298)</f>
        <v>29</v>
      </c>
      <c r="H748" s="7">
        <f>SUMIF(deals_closed!$D:$D,Calculations!B298,deals_closed!$C:$C)</f>
        <v>1194738</v>
      </c>
      <c r="I748" s="5">
        <f>VLOOKUP(E748,'2018_commission_structure'!$A$1:$I$4,9,FALSE)</f>
        <v>750000</v>
      </c>
      <c r="J748" s="9">
        <f t="shared" si="113"/>
        <v>937500</v>
      </c>
      <c r="K748" s="10">
        <f t="shared" si="114"/>
        <v>1125000</v>
      </c>
      <c r="L748" s="9">
        <f t="shared" si="115"/>
        <v>1500000</v>
      </c>
      <c r="M748" s="8">
        <f t="shared" si="116"/>
        <v>1.592984</v>
      </c>
      <c r="N748" t="str">
        <f t="shared" si="117"/>
        <v>150-200%</v>
      </c>
      <c r="O748" s="9">
        <f>MIN($H748,$I748)*INDEX('2018_commission_structure'!$A$1:$I$4,MATCH($E748,'2018_commission_structure'!$A$1:$A$4,0),MATCH(O$1,'2018_commission_structure'!$A$1:$I$1,0))</f>
        <v>112500</v>
      </c>
      <c r="P748" s="9">
        <f>IF(H748&gt;I748, MIN(H748-I748, J748-I748)*INDEX('2018_commission_structure'!$A$1:$I$4,MATCH($E748,'2018_commission_structure'!$A$1:$A$4,0),MATCH(P$1,'2018_commission_structure'!$A$1:$I$1,0)),0)</f>
        <v>35625</v>
      </c>
      <c r="Q748" s="9">
        <f>IF($H748&gt;J748, MIN($H748-J748, K748-J748)*INDEX('2018_commission_structure'!$A$1:$I$4,MATCH($E748,'2018_commission_structure'!$A$1:$A$4,0),MATCH(Q$1,'2018_commission_structure'!$A$1:$I$1,0)),0)</f>
        <v>43125</v>
      </c>
      <c r="R748" s="9">
        <f>IF($H748&gt;K748, MIN($H748-K748, L748-K748)*INDEX('2018_commission_structure'!$A$1:$I$4,MATCH($E748,'2018_commission_structure'!$A$1:$A$4,0),MATCH(R$1,'2018_commission_structure'!$A$1:$I$1,0)),0)</f>
        <v>20921.399999999998</v>
      </c>
      <c r="S748" s="9">
        <f>IF(H748&gt;L748,(H748-L748)*INDEX('2018_commission_structure'!$A$1:$I$4,MATCH($E748,'2018_commission_structure'!$A$1:$A$4,0),MATCH(S$1,'2018_commission_structure'!$A$1:$I$1,0)),0)</f>
        <v>0</v>
      </c>
      <c r="T748" s="9">
        <f t="shared" si="118"/>
        <v>212171.4</v>
      </c>
      <c r="U748" s="9">
        <f t="shared" si="120"/>
        <v>314994.40000000002</v>
      </c>
      <c r="V748" s="9">
        <f>MIN($I748,$H748)*INDEX('Key Metrics'!$E$16:$N$19,MATCH($E748,'Key Metrics'!$E$16:$E$19,0),MATCH(V$1,'Key Metrics'!$E$16:$M$16,0))</f>
        <v>112500</v>
      </c>
      <c r="W748" s="9">
        <f>IF($H748&gt;I748, MIN($H748-I748, J748-I748)*INDEX('Key Metrics'!$E$16:$N$19,MATCH($E748,'Key Metrics'!$E$16:$E$19,0),MATCH(W$1,'Key Metrics'!$E$16:$M$16,0)),0)</f>
        <v>41250</v>
      </c>
      <c r="X748" s="9">
        <f>IF($H748&gt;J748, MIN($H748-J748, K748-J748)*INDEX('Key Metrics'!$E$16:$N$19,MATCH($E748,'Key Metrics'!$E$16:$E$19,0),MATCH(X$1,'Key Metrics'!$E$16:$M$16,0)),0)</f>
        <v>46875</v>
      </c>
      <c r="Y748" s="9">
        <f>IF($H748&gt;K748, MIN($H748-K748, L748-K748)*INDEX('Key Metrics'!$E$16:$N$19,MATCH($E748,'Key Metrics'!$E$16:$E$19,0),MATCH(Y$1,'Key Metrics'!$E$16:$M$16,0)),0)</f>
        <v>23013.54</v>
      </c>
      <c r="Z748" s="9">
        <f>IF($H748&gt;L748,($H748-L748)*INDEX('Key Metrics'!$E$16:$N$19,MATCH($E748,'Key Metrics'!$E$16:$E$19,0),MATCH(Z$1,'Key Metrics'!$E$16:$M$16,0)),0)</f>
        <v>0</v>
      </c>
      <c r="AA748" s="9">
        <f t="shared" si="119"/>
        <v>223638.54</v>
      </c>
      <c r="AB748" s="9">
        <f t="shared" si="121"/>
        <v>223640.132984</v>
      </c>
    </row>
    <row r="749" spans="1:28" x14ac:dyDescent="0.55000000000000004">
      <c r="A749" t="str">
        <f t="shared" si="112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COUNTIF(deals_closed!$D$2:$D$20001,Calculations!B336)</f>
        <v>16</v>
      </c>
      <c r="H749" s="7">
        <f>SUMIF(deals_closed!$D:$D,Calculations!B336,deals_closed!$C:$C)</f>
        <v>637937</v>
      </c>
      <c r="I749" s="5">
        <f>VLOOKUP(E749,'2018_commission_structure'!$A$1:$I$4,9,FALSE)</f>
        <v>600000</v>
      </c>
      <c r="J749" s="9">
        <f t="shared" si="113"/>
        <v>750000</v>
      </c>
      <c r="K749" s="10">
        <f t="shared" si="114"/>
        <v>900000</v>
      </c>
      <c r="L749" s="9">
        <f t="shared" si="115"/>
        <v>1200000</v>
      </c>
      <c r="M749" s="8">
        <f t="shared" si="116"/>
        <v>1.0632283333333334</v>
      </c>
      <c r="N749" t="str">
        <f t="shared" si="117"/>
        <v>100-125%</v>
      </c>
      <c r="O749" s="9">
        <f>MIN($H749,$I749)*INDEX('2018_commission_structure'!$A$1:$I$4,MATCH($E749,'2018_commission_structure'!$A$1:$A$4,0),MATCH(O$1,'2018_commission_structure'!$A$1:$I$1,0))</f>
        <v>78000</v>
      </c>
      <c r="P749" s="9">
        <f>IF(H749&gt;I749, MIN(H749-I749, J749-I749)*INDEX('2018_commission_structure'!$A$1:$I$4,MATCH($E749,'2018_commission_structure'!$A$1:$A$4,0),MATCH(P$1,'2018_commission_structure'!$A$1:$I$1,0)),0)</f>
        <v>6449.2900000000009</v>
      </c>
      <c r="Q749" s="9">
        <f>IF($H749&gt;J749, MIN($H749-J749, K749-J749)*INDEX('2018_commission_structure'!$A$1:$I$4,MATCH($E749,'2018_commission_structure'!$A$1:$A$4,0),MATCH(Q$1,'2018_commission_structure'!$A$1:$I$1,0)),0)</f>
        <v>0</v>
      </c>
      <c r="R749" s="9">
        <f>IF($H749&gt;K749, MIN($H749-K749, L749-K749)*INDEX('2018_commission_structure'!$A$1:$I$4,MATCH($E749,'2018_commission_structure'!$A$1:$A$4,0),MATCH(R$1,'2018_commission_structure'!$A$1:$I$1,0)),0)</f>
        <v>0</v>
      </c>
      <c r="S749" s="9">
        <f>IF(H749&gt;L749,(H749-L749)*INDEX('2018_commission_structure'!$A$1:$I$4,MATCH($E749,'2018_commission_structure'!$A$1:$A$4,0),MATCH(S$1,'2018_commission_structure'!$A$1:$I$1,0)),0)</f>
        <v>0</v>
      </c>
      <c r="T749" s="9">
        <f t="shared" si="118"/>
        <v>84449.290000000008</v>
      </c>
      <c r="U749" s="9">
        <f t="shared" si="120"/>
        <v>137507.29</v>
      </c>
      <c r="V749" s="9">
        <f>MIN($I749,$H749)*INDEX('Key Metrics'!$E$16:$N$19,MATCH($E749,'Key Metrics'!$E$16:$E$19,0),MATCH(V$1,'Key Metrics'!$E$16:$M$16,0))</f>
        <v>90000</v>
      </c>
      <c r="W749" s="9">
        <f>IF($H749&gt;I749, MIN($H749-I749, J749-I749)*INDEX('Key Metrics'!$E$16:$N$19,MATCH($E749,'Key Metrics'!$E$16:$E$19,0),MATCH(W$1,'Key Metrics'!$E$16:$M$16,0)),0)</f>
        <v>6828.66</v>
      </c>
      <c r="X749" s="9">
        <f>IF($H749&gt;J749, MIN($H749-J749, K749-J749)*INDEX('Key Metrics'!$E$16:$N$19,MATCH($E749,'Key Metrics'!$E$16:$E$19,0),MATCH(X$1,'Key Metrics'!$E$16:$M$16,0)),0)</f>
        <v>0</v>
      </c>
      <c r="Y749" s="9">
        <f>IF($H749&gt;K749, MIN($H749-K749, L749-K749)*INDEX('Key Metrics'!$E$16:$N$19,MATCH($E749,'Key Metrics'!$E$16:$E$19,0),MATCH(Y$1,'Key Metrics'!$E$16:$M$16,0)),0)</f>
        <v>0</v>
      </c>
      <c r="Z749" s="9">
        <f>IF($H749&gt;L749,($H749-L749)*INDEX('Key Metrics'!$E$16:$N$19,MATCH($E749,'Key Metrics'!$E$16:$E$19,0),MATCH(Z$1,'Key Metrics'!$E$16:$M$16,0)),0)</f>
        <v>0</v>
      </c>
      <c r="AA749" s="9">
        <f t="shared" si="119"/>
        <v>96828.66</v>
      </c>
      <c r="AB749" s="9">
        <f t="shared" si="121"/>
        <v>96829.723228333343</v>
      </c>
    </row>
    <row r="750" spans="1:28" x14ac:dyDescent="0.55000000000000004">
      <c r="A750" t="str">
        <f t="shared" si="112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COUNTIF(deals_closed!$D$2:$D$20001,Calculations!B664)</f>
        <v>23</v>
      </c>
      <c r="H750" s="7">
        <f>SUMIF(deals_closed!$D:$D,Calculations!B664,deals_closed!$C:$C)</f>
        <v>868613</v>
      </c>
      <c r="I750" s="5">
        <f>VLOOKUP(E750,'2018_commission_structure'!$A$1:$I$4,9,FALSE)</f>
        <v>600000</v>
      </c>
      <c r="J750" s="9">
        <f t="shared" si="113"/>
        <v>750000</v>
      </c>
      <c r="K750" s="10">
        <f t="shared" si="114"/>
        <v>900000</v>
      </c>
      <c r="L750" s="9">
        <f t="shared" si="115"/>
        <v>1200000</v>
      </c>
      <c r="M750" s="8">
        <f t="shared" si="116"/>
        <v>1.4476883333333332</v>
      </c>
      <c r="N750" t="str">
        <f t="shared" si="117"/>
        <v>125-150%</v>
      </c>
      <c r="O750" s="9">
        <f>MIN($H750,$I750)*INDEX('2018_commission_structure'!$A$1:$I$4,MATCH($E750,'2018_commission_structure'!$A$1:$A$4,0),MATCH(O$1,'2018_commission_structure'!$A$1:$I$1,0))</f>
        <v>78000</v>
      </c>
      <c r="P750" s="9">
        <f>IF(H750&gt;I750, MIN(H750-I750, J750-I750)*INDEX('2018_commission_structure'!$A$1:$I$4,MATCH($E750,'2018_commission_structure'!$A$1:$A$4,0),MATCH(P$1,'2018_commission_structure'!$A$1:$I$1,0)),0)</f>
        <v>25500.000000000004</v>
      </c>
      <c r="Q750" s="9">
        <f>IF($H750&gt;J750, MIN($H750-J750, K750-J750)*INDEX('2018_commission_structure'!$A$1:$I$4,MATCH($E750,'2018_commission_structure'!$A$1:$A$4,0),MATCH(Q$1,'2018_commission_structure'!$A$1:$I$1,0)),0)</f>
        <v>24908.73</v>
      </c>
      <c r="R750" s="9">
        <f>IF($H750&gt;K750, MIN($H750-K750, L750-K750)*INDEX('2018_commission_structure'!$A$1:$I$4,MATCH($E750,'2018_commission_structure'!$A$1:$A$4,0),MATCH(R$1,'2018_commission_structure'!$A$1:$I$1,0)),0)</f>
        <v>0</v>
      </c>
      <c r="S750" s="9">
        <f>IF(H750&gt;L750,(H750-L750)*INDEX('2018_commission_structure'!$A$1:$I$4,MATCH($E750,'2018_commission_structure'!$A$1:$A$4,0),MATCH(S$1,'2018_commission_structure'!$A$1:$I$1,0)),0)</f>
        <v>0</v>
      </c>
      <c r="T750" s="9">
        <f t="shared" si="118"/>
        <v>128408.73</v>
      </c>
      <c r="U750" s="9">
        <f t="shared" si="120"/>
        <v>195398.72999999998</v>
      </c>
      <c r="V750" s="9">
        <f>MIN($I750,$H750)*INDEX('Key Metrics'!$E$16:$N$19,MATCH($E750,'Key Metrics'!$E$16:$E$19,0),MATCH(V$1,'Key Metrics'!$E$16:$M$16,0))</f>
        <v>90000</v>
      </c>
      <c r="W750" s="9">
        <f>IF($H750&gt;I750, MIN($H750-I750, J750-I750)*INDEX('Key Metrics'!$E$16:$N$19,MATCH($E750,'Key Metrics'!$E$16:$E$19,0),MATCH(W$1,'Key Metrics'!$E$16:$M$16,0)),0)</f>
        <v>27000</v>
      </c>
      <c r="X750" s="9">
        <f>IF($H750&gt;J750, MIN($H750-J750, K750-J750)*INDEX('Key Metrics'!$E$16:$N$19,MATCH($E750,'Key Metrics'!$E$16:$E$19,0),MATCH(X$1,'Key Metrics'!$E$16:$M$16,0)),0)</f>
        <v>29653.25</v>
      </c>
      <c r="Y750" s="9">
        <f>IF($H750&gt;K750, MIN($H750-K750, L750-K750)*INDEX('Key Metrics'!$E$16:$N$19,MATCH($E750,'Key Metrics'!$E$16:$E$19,0),MATCH(Y$1,'Key Metrics'!$E$16:$M$16,0)),0)</f>
        <v>0</v>
      </c>
      <c r="Z750" s="9">
        <f>IF($H750&gt;L750,($H750-L750)*INDEX('Key Metrics'!$E$16:$N$19,MATCH($E750,'Key Metrics'!$E$16:$E$19,0),MATCH(Z$1,'Key Metrics'!$E$16:$M$16,0)),0)</f>
        <v>0</v>
      </c>
      <c r="AA750" s="9">
        <f t="shared" si="119"/>
        <v>146653.25</v>
      </c>
      <c r="AB750" s="9">
        <f t="shared" si="121"/>
        <v>146654.69768833334</v>
      </c>
    </row>
    <row r="751" spans="1:28" x14ac:dyDescent="0.55000000000000004">
      <c r="A751" t="str">
        <f t="shared" si="112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COUNTIF(deals_closed!$D$2:$D$20001,Calculations!B117)</f>
        <v>24</v>
      </c>
      <c r="H751" s="7">
        <f>SUMIF(deals_closed!$D:$D,Calculations!B117,deals_closed!$C:$C)</f>
        <v>850684</v>
      </c>
      <c r="I751" s="5">
        <f>VLOOKUP(E751,'2018_commission_structure'!$A$1:$I$4,9,FALSE)</f>
        <v>750000</v>
      </c>
      <c r="J751" s="9">
        <f t="shared" si="113"/>
        <v>937500</v>
      </c>
      <c r="K751" s="10">
        <f t="shared" si="114"/>
        <v>1125000</v>
      </c>
      <c r="L751" s="9">
        <f t="shared" si="115"/>
        <v>1500000</v>
      </c>
      <c r="M751" s="8">
        <f t="shared" si="116"/>
        <v>1.1342453333333333</v>
      </c>
      <c r="N751" t="str">
        <f t="shared" si="117"/>
        <v>100-125%</v>
      </c>
      <c r="O751" s="9">
        <f>MIN($H751,$I751)*INDEX('2018_commission_structure'!$A$1:$I$4,MATCH($E751,'2018_commission_structure'!$A$1:$A$4,0),MATCH(O$1,'2018_commission_structure'!$A$1:$I$1,0))</f>
        <v>112500</v>
      </c>
      <c r="P751" s="9">
        <f>IF(H751&gt;I751, MIN(H751-I751, J751-I751)*INDEX('2018_commission_structure'!$A$1:$I$4,MATCH($E751,'2018_commission_structure'!$A$1:$A$4,0),MATCH(P$1,'2018_commission_structure'!$A$1:$I$1,0)),0)</f>
        <v>19129.96</v>
      </c>
      <c r="Q751" s="9">
        <f>IF($H751&gt;J751, MIN($H751-J751, K751-J751)*INDEX('2018_commission_structure'!$A$1:$I$4,MATCH($E751,'2018_commission_structure'!$A$1:$A$4,0),MATCH(Q$1,'2018_commission_structure'!$A$1:$I$1,0)),0)</f>
        <v>0</v>
      </c>
      <c r="R751" s="9">
        <f>IF($H751&gt;K751, MIN($H751-K751, L751-K751)*INDEX('2018_commission_structure'!$A$1:$I$4,MATCH($E751,'2018_commission_structure'!$A$1:$A$4,0),MATCH(R$1,'2018_commission_structure'!$A$1:$I$1,0)),0)</f>
        <v>0</v>
      </c>
      <c r="S751" s="9">
        <f>IF(H751&gt;L751,(H751-L751)*INDEX('2018_commission_structure'!$A$1:$I$4,MATCH($E751,'2018_commission_structure'!$A$1:$A$4,0),MATCH(S$1,'2018_commission_structure'!$A$1:$I$1,0)),0)</f>
        <v>0</v>
      </c>
      <c r="T751" s="9">
        <f t="shared" si="118"/>
        <v>131629.96</v>
      </c>
      <c r="U751" s="9">
        <f t="shared" si="120"/>
        <v>241407.96</v>
      </c>
      <c r="V751" s="9">
        <f>MIN($I751,$H751)*INDEX('Key Metrics'!$E$16:$N$19,MATCH($E751,'Key Metrics'!$E$16:$E$19,0),MATCH(V$1,'Key Metrics'!$E$16:$M$16,0))</f>
        <v>112500</v>
      </c>
      <c r="W751" s="9">
        <f>IF($H751&gt;I751, MIN($H751-I751, J751-I751)*INDEX('Key Metrics'!$E$16:$N$19,MATCH($E751,'Key Metrics'!$E$16:$E$19,0),MATCH(W$1,'Key Metrics'!$E$16:$M$16,0)),0)</f>
        <v>22150.48</v>
      </c>
      <c r="X751" s="9">
        <f>IF($H751&gt;J751, MIN($H751-J751, K751-J751)*INDEX('Key Metrics'!$E$16:$N$19,MATCH($E751,'Key Metrics'!$E$16:$E$19,0),MATCH(X$1,'Key Metrics'!$E$16:$M$16,0)),0)</f>
        <v>0</v>
      </c>
      <c r="Y751" s="9">
        <f>IF($H751&gt;K751, MIN($H751-K751, L751-K751)*INDEX('Key Metrics'!$E$16:$N$19,MATCH($E751,'Key Metrics'!$E$16:$E$19,0),MATCH(Y$1,'Key Metrics'!$E$16:$M$16,0)),0)</f>
        <v>0</v>
      </c>
      <c r="Z751" s="9">
        <f>IF($H751&gt;L751,($H751-L751)*INDEX('Key Metrics'!$E$16:$N$19,MATCH($E751,'Key Metrics'!$E$16:$E$19,0),MATCH(Z$1,'Key Metrics'!$E$16:$M$16,0)),0)</f>
        <v>0</v>
      </c>
      <c r="AA751" s="9">
        <f t="shared" si="119"/>
        <v>134650.48000000001</v>
      </c>
      <c r="AB751" s="9">
        <f t="shared" si="121"/>
        <v>134651.61424533333</v>
      </c>
    </row>
    <row r="752" spans="1:28" x14ac:dyDescent="0.55000000000000004">
      <c r="A752" t="str">
        <f t="shared" si="112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COUNTIF(deals_closed!$D$2:$D$20001,Calculations!B195)</f>
        <v>25</v>
      </c>
      <c r="H752" s="7">
        <f>SUMIF(deals_closed!$D:$D,Calculations!B195,deals_closed!$C:$C)</f>
        <v>921203</v>
      </c>
      <c r="I752" s="5">
        <f>VLOOKUP(E752,'2018_commission_structure'!$A$1:$I$4,9,FALSE)</f>
        <v>750000</v>
      </c>
      <c r="J752" s="9">
        <f t="shared" si="113"/>
        <v>937500</v>
      </c>
      <c r="K752" s="10">
        <f t="shared" si="114"/>
        <v>1125000</v>
      </c>
      <c r="L752" s="9">
        <f t="shared" si="115"/>
        <v>1500000</v>
      </c>
      <c r="M752" s="8">
        <f t="shared" si="116"/>
        <v>1.2282706666666667</v>
      </c>
      <c r="N752" t="str">
        <f t="shared" si="117"/>
        <v>100-125%</v>
      </c>
      <c r="O752" s="9">
        <f>MIN($H752,$I752)*INDEX('2018_commission_structure'!$A$1:$I$4,MATCH($E752,'2018_commission_structure'!$A$1:$A$4,0),MATCH(O$1,'2018_commission_structure'!$A$1:$I$1,0))</f>
        <v>112500</v>
      </c>
      <c r="P752" s="9">
        <f>IF(H752&gt;I752, MIN(H752-I752, J752-I752)*INDEX('2018_commission_structure'!$A$1:$I$4,MATCH($E752,'2018_commission_structure'!$A$1:$A$4,0),MATCH(P$1,'2018_commission_structure'!$A$1:$I$1,0)),0)</f>
        <v>32528.57</v>
      </c>
      <c r="Q752" s="9">
        <f>IF($H752&gt;J752, MIN($H752-J752, K752-J752)*INDEX('2018_commission_structure'!$A$1:$I$4,MATCH($E752,'2018_commission_structure'!$A$1:$A$4,0),MATCH(Q$1,'2018_commission_structure'!$A$1:$I$1,0)),0)</f>
        <v>0</v>
      </c>
      <c r="R752" s="9">
        <f>IF($H752&gt;K752, MIN($H752-K752, L752-K752)*INDEX('2018_commission_structure'!$A$1:$I$4,MATCH($E752,'2018_commission_structure'!$A$1:$A$4,0),MATCH(R$1,'2018_commission_structure'!$A$1:$I$1,0)),0)</f>
        <v>0</v>
      </c>
      <c r="S752" s="9">
        <f>IF(H752&gt;L752,(H752-L752)*INDEX('2018_commission_structure'!$A$1:$I$4,MATCH($E752,'2018_commission_structure'!$A$1:$A$4,0),MATCH(S$1,'2018_commission_structure'!$A$1:$I$1,0)),0)</f>
        <v>0</v>
      </c>
      <c r="T752" s="9">
        <f t="shared" si="118"/>
        <v>145028.57</v>
      </c>
      <c r="U752" s="9">
        <f t="shared" si="120"/>
        <v>225071.57</v>
      </c>
      <c r="V752" s="9">
        <f>MIN($I752,$H752)*INDEX('Key Metrics'!$E$16:$N$19,MATCH($E752,'Key Metrics'!$E$16:$E$19,0),MATCH(V$1,'Key Metrics'!$E$16:$M$16,0))</f>
        <v>112500</v>
      </c>
      <c r="W752" s="9">
        <f>IF($H752&gt;I752, MIN($H752-I752, J752-I752)*INDEX('Key Metrics'!$E$16:$N$19,MATCH($E752,'Key Metrics'!$E$16:$E$19,0),MATCH(W$1,'Key Metrics'!$E$16:$M$16,0)),0)</f>
        <v>37664.660000000003</v>
      </c>
      <c r="X752" s="9">
        <f>IF($H752&gt;J752, MIN($H752-J752, K752-J752)*INDEX('Key Metrics'!$E$16:$N$19,MATCH($E752,'Key Metrics'!$E$16:$E$19,0),MATCH(X$1,'Key Metrics'!$E$16:$M$16,0)),0)</f>
        <v>0</v>
      </c>
      <c r="Y752" s="9">
        <f>IF($H752&gt;K752, MIN($H752-K752, L752-K752)*INDEX('Key Metrics'!$E$16:$N$19,MATCH($E752,'Key Metrics'!$E$16:$E$19,0),MATCH(Y$1,'Key Metrics'!$E$16:$M$16,0)),0)</f>
        <v>0</v>
      </c>
      <c r="Z752" s="9">
        <f>IF($H752&gt;L752,($H752-L752)*INDEX('Key Metrics'!$E$16:$N$19,MATCH($E752,'Key Metrics'!$E$16:$E$19,0),MATCH(Z$1,'Key Metrics'!$E$16:$M$16,0)),0)</f>
        <v>0</v>
      </c>
      <c r="AA752" s="9">
        <f t="shared" si="119"/>
        <v>150164.66</v>
      </c>
      <c r="AB752" s="9">
        <f t="shared" si="121"/>
        <v>150165.88827066668</v>
      </c>
    </row>
    <row r="753" spans="1:28" x14ac:dyDescent="0.55000000000000004">
      <c r="A753" t="str">
        <f t="shared" si="112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COUNTIF(deals_closed!$D$2:$D$20001,Calculations!B828)</f>
        <v>19</v>
      </c>
      <c r="H753" s="7">
        <f>SUMIF(deals_closed!$D:$D,Calculations!B828,deals_closed!$C:$C)</f>
        <v>718836</v>
      </c>
      <c r="I753" s="5">
        <f>VLOOKUP(E753,'2018_commission_structure'!$A$1:$I$4,9,FALSE)</f>
        <v>600000</v>
      </c>
      <c r="J753" s="9">
        <f t="shared" si="113"/>
        <v>750000</v>
      </c>
      <c r="K753" s="10">
        <f t="shared" si="114"/>
        <v>900000</v>
      </c>
      <c r="L753" s="9">
        <f t="shared" si="115"/>
        <v>1200000</v>
      </c>
      <c r="M753" s="8">
        <f t="shared" si="116"/>
        <v>1.1980599999999999</v>
      </c>
      <c r="N753" t="str">
        <f t="shared" si="117"/>
        <v>100-125%</v>
      </c>
      <c r="O753" s="9">
        <f>MIN($H753,$I753)*INDEX('2018_commission_structure'!$A$1:$I$4,MATCH($E753,'2018_commission_structure'!$A$1:$A$4,0),MATCH(O$1,'2018_commission_structure'!$A$1:$I$1,0))</f>
        <v>78000</v>
      </c>
      <c r="P753" s="9">
        <f>IF(H753&gt;I753, MIN(H753-I753, J753-I753)*INDEX('2018_commission_structure'!$A$1:$I$4,MATCH($E753,'2018_commission_structure'!$A$1:$A$4,0),MATCH(P$1,'2018_commission_structure'!$A$1:$I$1,0)),0)</f>
        <v>20202.120000000003</v>
      </c>
      <c r="Q753" s="9">
        <f>IF($H753&gt;J753, MIN($H753-J753, K753-J753)*INDEX('2018_commission_structure'!$A$1:$I$4,MATCH($E753,'2018_commission_structure'!$A$1:$A$4,0),MATCH(Q$1,'2018_commission_structure'!$A$1:$I$1,0)),0)</f>
        <v>0</v>
      </c>
      <c r="R753" s="9">
        <f>IF($H753&gt;K753, MIN($H753-K753, L753-K753)*INDEX('2018_commission_structure'!$A$1:$I$4,MATCH($E753,'2018_commission_structure'!$A$1:$A$4,0),MATCH(R$1,'2018_commission_structure'!$A$1:$I$1,0)),0)</f>
        <v>0</v>
      </c>
      <c r="S753" s="9">
        <f>IF(H753&gt;L753,(H753-L753)*INDEX('2018_commission_structure'!$A$1:$I$4,MATCH($E753,'2018_commission_structure'!$A$1:$A$4,0),MATCH(S$1,'2018_commission_structure'!$A$1:$I$1,0)),0)</f>
        <v>0</v>
      </c>
      <c r="T753" s="9">
        <f t="shared" si="118"/>
        <v>98202.12</v>
      </c>
      <c r="U753" s="9">
        <f t="shared" si="120"/>
        <v>156434.12</v>
      </c>
      <c r="V753" s="9">
        <f>MIN($I753,$H753)*INDEX('Key Metrics'!$E$16:$N$19,MATCH($E753,'Key Metrics'!$E$16:$E$19,0),MATCH(V$1,'Key Metrics'!$E$16:$M$16,0))</f>
        <v>90000</v>
      </c>
      <c r="W753" s="9">
        <f>IF($H753&gt;I753, MIN($H753-I753, J753-I753)*INDEX('Key Metrics'!$E$16:$N$19,MATCH($E753,'Key Metrics'!$E$16:$E$19,0),MATCH(W$1,'Key Metrics'!$E$16:$M$16,0)),0)</f>
        <v>21390.48</v>
      </c>
      <c r="X753" s="9">
        <f>IF($H753&gt;J753, MIN($H753-J753, K753-J753)*INDEX('Key Metrics'!$E$16:$N$19,MATCH($E753,'Key Metrics'!$E$16:$E$19,0),MATCH(X$1,'Key Metrics'!$E$16:$M$16,0)),0)</f>
        <v>0</v>
      </c>
      <c r="Y753" s="9">
        <f>IF($H753&gt;K753, MIN($H753-K753, L753-K753)*INDEX('Key Metrics'!$E$16:$N$19,MATCH($E753,'Key Metrics'!$E$16:$E$19,0),MATCH(Y$1,'Key Metrics'!$E$16:$M$16,0)),0)</f>
        <v>0</v>
      </c>
      <c r="Z753" s="9">
        <f>IF($H753&gt;L753,($H753-L753)*INDEX('Key Metrics'!$E$16:$N$19,MATCH($E753,'Key Metrics'!$E$16:$E$19,0),MATCH(Z$1,'Key Metrics'!$E$16:$M$16,0)),0)</f>
        <v>0</v>
      </c>
      <c r="AA753" s="9">
        <f t="shared" si="119"/>
        <v>111390.48</v>
      </c>
      <c r="AB753" s="9">
        <f t="shared" si="121"/>
        <v>111391.67805999999</v>
      </c>
    </row>
    <row r="754" spans="1:28" x14ac:dyDescent="0.55000000000000004">
      <c r="A754" t="str">
        <f t="shared" si="112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COUNTIF(deals_closed!$D$2:$D$20001,Calculations!B375)</f>
        <v>23</v>
      </c>
      <c r="H754" s="7">
        <f>SUMIF(deals_closed!$D:$D,Calculations!B375,deals_closed!$C:$C)</f>
        <v>893432</v>
      </c>
      <c r="I754" s="5">
        <f>VLOOKUP(E754,'2018_commission_structure'!$A$1:$I$4,9,FALSE)</f>
        <v>750000</v>
      </c>
      <c r="J754" s="9">
        <f t="shared" si="113"/>
        <v>937500</v>
      </c>
      <c r="K754" s="10">
        <f t="shared" si="114"/>
        <v>1125000</v>
      </c>
      <c r="L754" s="9">
        <f t="shared" si="115"/>
        <v>1500000</v>
      </c>
      <c r="M754" s="8">
        <f t="shared" si="116"/>
        <v>1.1912426666666667</v>
      </c>
      <c r="N754" t="str">
        <f t="shared" si="117"/>
        <v>100-125%</v>
      </c>
      <c r="O754" s="9">
        <f>MIN($H754,$I754)*INDEX('2018_commission_structure'!$A$1:$I$4,MATCH($E754,'2018_commission_structure'!$A$1:$A$4,0),MATCH(O$1,'2018_commission_structure'!$A$1:$I$1,0))</f>
        <v>112500</v>
      </c>
      <c r="P754" s="9">
        <f>IF(H754&gt;I754, MIN(H754-I754, J754-I754)*INDEX('2018_commission_structure'!$A$1:$I$4,MATCH($E754,'2018_commission_structure'!$A$1:$A$4,0),MATCH(P$1,'2018_commission_structure'!$A$1:$I$1,0)),0)</f>
        <v>27252.080000000002</v>
      </c>
      <c r="Q754" s="9">
        <f>IF($H754&gt;J754, MIN($H754-J754, K754-J754)*INDEX('2018_commission_structure'!$A$1:$I$4,MATCH($E754,'2018_commission_structure'!$A$1:$A$4,0),MATCH(Q$1,'2018_commission_structure'!$A$1:$I$1,0)),0)</f>
        <v>0</v>
      </c>
      <c r="R754" s="9">
        <f>IF($H754&gt;K754, MIN($H754-K754, L754-K754)*INDEX('2018_commission_structure'!$A$1:$I$4,MATCH($E754,'2018_commission_structure'!$A$1:$A$4,0),MATCH(R$1,'2018_commission_structure'!$A$1:$I$1,0)),0)</f>
        <v>0</v>
      </c>
      <c r="S754" s="9">
        <f>IF(H754&gt;L754,(H754-L754)*INDEX('2018_commission_structure'!$A$1:$I$4,MATCH($E754,'2018_commission_structure'!$A$1:$A$4,0),MATCH(S$1,'2018_commission_structure'!$A$1:$I$1,0)),0)</f>
        <v>0</v>
      </c>
      <c r="T754" s="9">
        <f t="shared" si="118"/>
        <v>139752.08000000002</v>
      </c>
      <c r="U754" s="9">
        <f t="shared" si="120"/>
        <v>260116.08000000002</v>
      </c>
      <c r="V754" s="9">
        <f>MIN($I754,$H754)*INDEX('Key Metrics'!$E$16:$N$19,MATCH($E754,'Key Metrics'!$E$16:$E$19,0),MATCH(V$1,'Key Metrics'!$E$16:$M$16,0))</f>
        <v>112500</v>
      </c>
      <c r="W754" s="9">
        <f>IF($H754&gt;I754, MIN($H754-I754, J754-I754)*INDEX('Key Metrics'!$E$16:$N$19,MATCH($E754,'Key Metrics'!$E$16:$E$19,0),MATCH(W$1,'Key Metrics'!$E$16:$M$16,0)),0)</f>
        <v>31555.040000000001</v>
      </c>
      <c r="X754" s="9">
        <f>IF($H754&gt;J754, MIN($H754-J754, K754-J754)*INDEX('Key Metrics'!$E$16:$N$19,MATCH($E754,'Key Metrics'!$E$16:$E$19,0),MATCH(X$1,'Key Metrics'!$E$16:$M$16,0)),0)</f>
        <v>0</v>
      </c>
      <c r="Y754" s="9">
        <f>IF($H754&gt;K754, MIN($H754-K754, L754-K754)*INDEX('Key Metrics'!$E$16:$N$19,MATCH($E754,'Key Metrics'!$E$16:$E$19,0),MATCH(Y$1,'Key Metrics'!$E$16:$M$16,0)),0)</f>
        <v>0</v>
      </c>
      <c r="Z754" s="9">
        <f>IF($H754&gt;L754,($H754-L754)*INDEX('Key Metrics'!$E$16:$N$19,MATCH($E754,'Key Metrics'!$E$16:$E$19,0),MATCH(Z$1,'Key Metrics'!$E$16:$M$16,0)),0)</f>
        <v>0</v>
      </c>
      <c r="AA754" s="9">
        <f t="shared" si="119"/>
        <v>144055.04000000001</v>
      </c>
      <c r="AB754" s="9">
        <f t="shared" si="121"/>
        <v>144056.23124266666</v>
      </c>
    </row>
    <row r="755" spans="1:28" x14ac:dyDescent="0.55000000000000004">
      <c r="A755" t="str">
        <f t="shared" si="112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COUNTIF(deals_closed!$D$2:$D$20001,Calculations!B721)</f>
        <v>21</v>
      </c>
      <c r="H755" s="7">
        <f>SUMIF(deals_closed!$D:$D,Calculations!B721,deals_closed!$C:$C)</f>
        <v>785622</v>
      </c>
      <c r="I755" s="5">
        <f>VLOOKUP(E755,'2018_commission_structure'!$A$1:$I$4,9,FALSE)</f>
        <v>750000</v>
      </c>
      <c r="J755" s="9">
        <f t="shared" si="113"/>
        <v>937500</v>
      </c>
      <c r="K755" s="10">
        <f t="shared" si="114"/>
        <v>1125000</v>
      </c>
      <c r="L755" s="9">
        <f t="shared" si="115"/>
        <v>1500000</v>
      </c>
      <c r="M755" s="8">
        <f t="shared" si="116"/>
        <v>1.047496</v>
      </c>
      <c r="N755" t="str">
        <f t="shared" si="117"/>
        <v>100-125%</v>
      </c>
      <c r="O755" s="9">
        <f>MIN($H755,$I755)*INDEX('2018_commission_structure'!$A$1:$I$4,MATCH($E755,'2018_commission_structure'!$A$1:$A$4,0),MATCH(O$1,'2018_commission_structure'!$A$1:$I$1,0))</f>
        <v>112500</v>
      </c>
      <c r="P755" s="9">
        <f>IF(H755&gt;I755, MIN(H755-I755, J755-I755)*INDEX('2018_commission_structure'!$A$1:$I$4,MATCH($E755,'2018_commission_structure'!$A$1:$A$4,0),MATCH(P$1,'2018_commission_structure'!$A$1:$I$1,0)),0)</f>
        <v>6768.18</v>
      </c>
      <c r="Q755" s="9">
        <f>IF($H755&gt;J755, MIN($H755-J755, K755-J755)*INDEX('2018_commission_structure'!$A$1:$I$4,MATCH($E755,'2018_commission_structure'!$A$1:$A$4,0),MATCH(Q$1,'2018_commission_structure'!$A$1:$I$1,0)),0)</f>
        <v>0</v>
      </c>
      <c r="R755" s="9">
        <f>IF($H755&gt;K755, MIN($H755-K755, L755-K755)*INDEX('2018_commission_structure'!$A$1:$I$4,MATCH($E755,'2018_commission_structure'!$A$1:$A$4,0),MATCH(R$1,'2018_commission_structure'!$A$1:$I$1,0)),0)</f>
        <v>0</v>
      </c>
      <c r="S755" s="9">
        <f>IF(H755&gt;L755,(H755-L755)*INDEX('2018_commission_structure'!$A$1:$I$4,MATCH($E755,'2018_commission_structure'!$A$1:$A$4,0),MATCH(S$1,'2018_commission_structure'!$A$1:$I$1,0)),0)</f>
        <v>0</v>
      </c>
      <c r="T755" s="9">
        <f t="shared" si="118"/>
        <v>119268.18</v>
      </c>
      <c r="U755" s="9">
        <f t="shared" si="120"/>
        <v>220386.18</v>
      </c>
      <c r="V755" s="9">
        <f>MIN($I755,$H755)*INDEX('Key Metrics'!$E$16:$N$19,MATCH($E755,'Key Metrics'!$E$16:$E$19,0),MATCH(V$1,'Key Metrics'!$E$16:$M$16,0))</f>
        <v>112500</v>
      </c>
      <c r="W755" s="9">
        <f>IF($H755&gt;I755, MIN($H755-I755, J755-I755)*INDEX('Key Metrics'!$E$16:$N$19,MATCH($E755,'Key Metrics'!$E$16:$E$19,0),MATCH(W$1,'Key Metrics'!$E$16:$M$16,0)),0)</f>
        <v>7836.84</v>
      </c>
      <c r="X755" s="9">
        <f>IF($H755&gt;J755, MIN($H755-J755, K755-J755)*INDEX('Key Metrics'!$E$16:$N$19,MATCH($E755,'Key Metrics'!$E$16:$E$19,0),MATCH(X$1,'Key Metrics'!$E$16:$M$16,0)),0)</f>
        <v>0</v>
      </c>
      <c r="Y755" s="9">
        <f>IF($H755&gt;K755, MIN($H755-K755, L755-K755)*INDEX('Key Metrics'!$E$16:$N$19,MATCH($E755,'Key Metrics'!$E$16:$E$19,0),MATCH(Y$1,'Key Metrics'!$E$16:$M$16,0)),0)</f>
        <v>0</v>
      </c>
      <c r="Z755" s="9">
        <f>IF($H755&gt;L755,($H755-L755)*INDEX('Key Metrics'!$E$16:$N$19,MATCH($E755,'Key Metrics'!$E$16:$E$19,0),MATCH(Z$1,'Key Metrics'!$E$16:$M$16,0)),0)</f>
        <v>0</v>
      </c>
      <c r="AA755" s="9">
        <f t="shared" si="119"/>
        <v>120336.84</v>
      </c>
      <c r="AB755" s="9">
        <f t="shared" si="121"/>
        <v>120337.887496</v>
      </c>
    </row>
    <row r="756" spans="1:28" x14ac:dyDescent="0.55000000000000004">
      <c r="A756" t="str">
        <f t="shared" si="112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COUNTIF(deals_closed!$D$2:$D$20001,Calculations!B290)</f>
        <v>24</v>
      </c>
      <c r="H756" s="7">
        <f>SUMIF(deals_closed!$D:$D,Calculations!B290,deals_closed!$C:$C)</f>
        <v>818193</v>
      </c>
      <c r="I756" s="5">
        <f>VLOOKUP(E756,'2018_commission_structure'!$A$1:$I$4,9,FALSE)</f>
        <v>600000</v>
      </c>
      <c r="J756" s="9">
        <f t="shared" si="113"/>
        <v>750000</v>
      </c>
      <c r="K756" s="10">
        <f t="shared" si="114"/>
        <v>900000</v>
      </c>
      <c r="L756" s="9">
        <f t="shared" si="115"/>
        <v>1200000</v>
      </c>
      <c r="M756" s="8">
        <f t="shared" si="116"/>
        <v>1.3636550000000001</v>
      </c>
      <c r="N756" t="str">
        <f t="shared" si="117"/>
        <v>125-150%</v>
      </c>
      <c r="O756" s="9">
        <f>MIN($H756,$I756)*INDEX('2018_commission_structure'!$A$1:$I$4,MATCH($E756,'2018_commission_structure'!$A$1:$A$4,0),MATCH(O$1,'2018_commission_structure'!$A$1:$I$1,0))</f>
        <v>78000</v>
      </c>
      <c r="P756" s="9">
        <f>IF(H756&gt;I756, MIN(H756-I756, J756-I756)*INDEX('2018_commission_structure'!$A$1:$I$4,MATCH($E756,'2018_commission_structure'!$A$1:$A$4,0),MATCH(P$1,'2018_commission_structure'!$A$1:$I$1,0)),0)</f>
        <v>25500.000000000004</v>
      </c>
      <c r="Q756" s="9">
        <f>IF($H756&gt;J756, MIN($H756-J756, K756-J756)*INDEX('2018_commission_structure'!$A$1:$I$4,MATCH($E756,'2018_commission_structure'!$A$1:$A$4,0),MATCH(Q$1,'2018_commission_structure'!$A$1:$I$1,0)),0)</f>
        <v>14320.529999999999</v>
      </c>
      <c r="R756" s="9">
        <f>IF($H756&gt;K756, MIN($H756-K756, L756-K756)*INDEX('2018_commission_structure'!$A$1:$I$4,MATCH($E756,'2018_commission_structure'!$A$1:$A$4,0),MATCH(R$1,'2018_commission_structure'!$A$1:$I$1,0)),0)</f>
        <v>0</v>
      </c>
      <c r="S756" s="9">
        <f>IF(H756&gt;L756,(H756-L756)*INDEX('2018_commission_structure'!$A$1:$I$4,MATCH($E756,'2018_commission_structure'!$A$1:$A$4,0),MATCH(S$1,'2018_commission_structure'!$A$1:$I$1,0)),0)</f>
        <v>0</v>
      </c>
      <c r="T756" s="9">
        <f t="shared" si="118"/>
        <v>117820.53</v>
      </c>
      <c r="U756" s="9">
        <f t="shared" si="120"/>
        <v>194253.53</v>
      </c>
      <c r="V756" s="9">
        <f>MIN($I756,$H756)*INDEX('Key Metrics'!$E$16:$N$19,MATCH($E756,'Key Metrics'!$E$16:$E$19,0),MATCH(V$1,'Key Metrics'!$E$16:$M$16,0))</f>
        <v>90000</v>
      </c>
      <c r="W756" s="9">
        <f>IF($H756&gt;I756, MIN($H756-I756, J756-I756)*INDEX('Key Metrics'!$E$16:$N$19,MATCH($E756,'Key Metrics'!$E$16:$E$19,0),MATCH(W$1,'Key Metrics'!$E$16:$M$16,0)),0)</f>
        <v>27000</v>
      </c>
      <c r="X756" s="9">
        <f>IF($H756&gt;J756, MIN($H756-J756, K756-J756)*INDEX('Key Metrics'!$E$16:$N$19,MATCH($E756,'Key Metrics'!$E$16:$E$19,0),MATCH(X$1,'Key Metrics'!$E$16:$M$16,0)),0)</f>
        <v>17048.25</v>
      </c>
      <c r="Y756" s="9">
        <f>IF($H756&gt;K756, MIN($H756-K756, L756-K756)*INDEX('Key Metrics'!$E$16:$N$19,MATCH($E756,'Key Metrics'!$E$16:$E$19,0),MATCH(Y$1,'Key Metrics'!$E$16:$M$16,0)),0)</f>
        <v>0</v>
      </c>
      <c r="Z756" s="9">
        <f>IF($H756&gt;L756,($H756-L756)*INDEX('Key Metrics'!$E$16:$N$19,MATCH($E756,'Key Metrics'!$E$16:$E$19,0),MATCH(Z$1,'Key Metrics'!$E$16:$M$16,0)),0)</f>
        <v>0</v>
      </c>
      <c r="AA756" s="9">
        <f t="shared" si="119"/>
        <v>134048.25</v>
      </c>
      <c r="AB756" s="9">
        <f t="shared" si="121"/>
        <v>134049.61365499999</v>
      </c>
    </row>
    <row r="757" spans="1:28" x14ac:dyDescent="0.55000000000000004">
      <c r="A757" t="str">
        <f t="shared" si="112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COUNTIF(deals_closed!$D$2:$D$20001,Calculations!B434)</f>
        <v>25</v>
      </c>
      <c r="H757" s="7">
        <f>SUMIF(deals_closed!$D:$D,Calculations!B434,deals_closed!$C:$C)</f>
        <v>890240</v>
      </c>
      <c r="I757" s="5">
        <f>VLOOKUP(E757,'2018_commission_structure'!$A$1:$I$4,9,FALSE)</f>
        <v>500000</v>
      </c>
      <c r="J757" s="9">
        <f t="shared" si="113"/>
        <v>625000</v>
      </c>
      <c r="K757" s="10">
        <f t="shared" si="114"/>
        <v>750000</v>
      </c>
      <c r="L757" s="9">
        <f t="shared" si="115"/>
        <v>1000000</v>
      </c>
      <c r="M757" s="8">
        <f t="shared" si="116"/>
        <v>1.7804800000000001</v>
      </c>
      <c r="N757" t="str">
        <f t="shared" si="117"/>
        <v>150-200%</v>
      </c>
      <c r="O757" s="9">
        <f>MIN($H757,$I757)*INDEX('2018_commission_structure'!$A$1:$I$4,MATCH($E757,'2018_commission_structure'!$A$1:$A$4,0),MATCH(O$1,'2018_commission_structure'!$A$1:$I$1,0))</f>
        <v>50000</v>
      </c>
      <c r="P757" s="9">
        <f>IF(H757&gt;I757, MIN(H757-I757, J757-I757)*INDEX('2018_commission_structure'!$A$1:$I$4,MATCH($E757,'2018_commission_structure'!$A$1:$A$4,0),MATCH(P$1,'2018_commission_structure'!$A$1:$I$1,0)),0)</f>
        <v>18750</v>
      </c>
      <c r="Q757" s="9">
        <f>IF($H757&gt;J757, MIN($H757-J757, K757-J757)*INDEX('2018_commission_structure'!$A$1:$I$4,MATCH($E757,'2018_commission_structure'!$A$1:$A$4,0),MATCH(Q$1,'2018_commission_structure'!$A$1:$I$1,0)),0)</f>
        <v>22500</v>
      </c>
      <c r="R757" s="9">
        <f>IF($H757&gt;K757, MIN($H757-K757, L757-K757)*INDEX('2018_commission_structure'!$A$1:$I$4,MATCH($E757,'2018_commission_structure'!$A$1:$A$4,0),MATCH(R$1,'2018_commission_structure'!$A$1:$I$1,0)),0)</f>
        <v>30852.799999999999</v>
      </c>
      <c r="S757" s="9">
        <f>IF(H757&gt;L757,(H757-L757)*INDEX('2018_commission_structure'!$A$1:$I$4,MATCH($E757,'2018_commission_structure'!$A$1:$A$4,0),MATCH(S$1,'2018_commission_structure'!$A$1:$I$1,0)),0)</f>
        <v>0</v>
      </c>
      <c r="T757" s="9">
        <f t="shared" si="118"/>
        <v>122102.8</v>
      </c>
      <c r="U757" s="9">
        <f t="shared" si="120"/>
        <v>157608.79999999999</v>
      </c>
      <c r="V757" s="9">
        <f>MIN($I757,$H757)*INDEX('Key Metrics'!$E$16:$N$19,MATCH($E757,'Key Metrics'!$E$16:$E$19,0),MATCH(V$1,'Key Metrics'!$E$16:$M$16,0))</f>
        <v>60000</v>
      </c>
      <c r="W757" s="9">
        <f>IF($H757&gt;I757, MIN($H757-I757, J757-I757)*INDEX('Key Metrics'!$E$16:$N$19,MATCH($E757,'Key Metrics'!$E$16:$E$19,0),MATCH(W$1,'Key Metrics'!$E$16:$M$16,0)),0)</f>
        <v>21250</v>
      </c>
      <c r="X757" s="9">
        <f>IF($H757&gt;J757, MIN($H757-J757, K757-J757)*INDEX('Key Metrics'!$E$16:$N$19,MATCH($E757,'Key Metrics'!$E$16:$E$19,0),MATCH(X$1,'Key Metrics'!$E$16:$M$16,0)),0)</f>
        <v>25000</v>
      </c>
      <c r="Y757" s="9">
        <f>IF($H757&gt;K757, MIN($H757-K757, L757-K757)*INDEX('Key Metrics'!$E$16:$N$19,MATCH($E757,'Key Metrics'!$E$16:$E$19,0),MATCH(Y$1,'Key Metrics'!$E$16:$M$16,0)),0)</f>
        <v>30852.799999999999</v>
      </c>
      <c r="Z757" s="9">
        <f>IF($H757&gt;L757,($H757-L757)*INDEX('Key Metrics'!$E$16:$N$19,MATCH($E757,'Key Metrics'!$E$16:$E$19,0),MATCH(Z$1,'Key Metrics'!$E$16:$M$16,0)),0)</f>
        <v>0</v>
      </c>
      <c r="AA757" s="9">
        <f t="shared" si="119"/>
        <v>137102.79999999999</v>
      </c>
      <c r="AB757" s="9">
        <f t="shared" si="121"/>
        <v>137104.58047999998</v>
      </c>
    </row>
    <row r="758" spans="1:28" x14ac:dyDescent="0.55000000000000004">
      <c r="A758" t="str">
        <f t="shared" si="112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COUNTIF(deals_closed!$D$2:$D$20001,Calculations!B74)</f>
        <v>23</v>
      </c>
      <c r="H758" s="7">
        <f>SUMIF(deals_closed!$D:$D,Calculations!B74,deals_closed!$C:$C)</f>
        <v>818109</v>
      </c>
      <c r="I758" s="5">
        <f>VLOOKUP(E758,'2018_commission_structure'!$A$1:$I$4,9,FALSE)</f>
        <v>500000</v>
      </c>
      <c r="J758" s="9">
        <f t="shared" si="113"/>
        <v>625000</v>
      </c>
      <c r="K758" s="10">
        <f t="shared" si="114"/>
        <v>750000</v>
      </c>
      <c r="L758" s="9">
        <f t="shared" si="115"/>
        <v>1000000</v>
      </c>
      <c r="M758" s="8">
        <f t="shared" si="116"/>
        <v>1.636218</v>
      </c>
      <c r="N758" t="str">
        <f t="shared" si="117"/>
        <v>150-200%</v>
      </c>
      <c r="O758" s="9">
        <f>MIN($H758,$I758)*INDEX('2018_commission_structure'!$A$1:$I$4,MATCH($E758,'2018_commission_structure'!$A$1:$A$4,0),MATCH(O$1,'2018_commission_structure'!$A$1:$I$1,0))</f>
        <v>50000</v>
      </c>
      <c r="P758" s="9">
        <f>IF(H758&gt;I758, MIN(H758-I758, J758-I758)*INDEX('2018_commission_structure'!$A$1:$I$4,MATCH($E758,'2018_commission_structure'!$A$1:$A$4,0),MATCH(P$1,'2018_commission_structure'!$A$1:$I$1,0)),0)</f>
        <v>18750</v>
      </c>
      <c r="Q758" s="9">
        <f>IF($H758&gt;J758, MIN($H758-J758, K758-J758)*INDEX('2018_commission_structure'!$A$1:$I$4,MATCH($E758,'2018_commission_structure'!$A$1:$A$4,0),MATCH(Q$1,'2018_commission_structure'!$A$1:$I$1,0)),0)</f>
        <v>22500</v>
      </c>
      <c r="R758" s="9">
        <f>IF($H758&gt;K758, MIN($H758-K758, L758-K758)*INDEX('2018_commission_structure'!$A$1:$I$4,MATCH($E758,'2018_commission_structure'!$A$1:$A$4,0),MATCH(R$1,'2018_commission_structure'!$A$1:$I$1,0)),0)</f>
        <v>14983.98</v>
      </c>
      <c r="S758" s="9">
        <f>IF(H758&gt;L758,(H758-L758)*INDEX('2018_commission_structure'!$A$1:$I$4,MATCH($E758,'2018_commission_structure'!$A$1:$A$4,0),MATCH(S$1,'2018_commission_structure'!$A$1:$I$1,0)),0)</f>
        <v>0</v>
      </c>
      <c r="T758" s="9">
        <f t="shared" si="118"/>
        <v>106233.98</v>
      </c>
      <c r="U758" s="9">
        <f t="shared" si="120"/>
        <v>146609.97999999998</v>
      </c>
      <c r="V758" s="9">
        <f>MIN($I758,$H758)*INDEX('Key Metrics'!$E$16:$N$19,MATCH($E758,'Key Metrics'!$E$16:$E$19,0),MATCH(V$1,'Key Metrics'!$E$16:$M$16,0))</f>
        <v>60000</v>
      </c>
      <c r="W758" s="9">
        <f>IF($H758&gt;I758, MIN($H758-I758, J758-I758)*INDEX('Key Metrics'!$E$16:$N$19,MATCH($E758,'Key Metrics'!$E$16:$E$19,0),MATCH(W$1,'Key Metrics'!$E$16:$M$16,0)),0)</f>
        <v>21250</v>
      </c>
      <c r="X758" s="9">
        <f>IF($H758&gt;J758, MIN($H758-J758, K758-J758)*INDEX('Key Metrics'!$E$16:$N$19,MATCH($E758,'Key Metrics'!$E$16:$E$19,0),MATCH(X$1,'Key Metrics'!$E$16:$M$16,0)),0)</f>
        <v>25000</v>
      </c>
      <c r="Y758" s="9">
        <f>IF($H758&gt;K758, MIN($H758-K758, L758-K758)*INDEX('Key Metrics'!$E$16:$N$19,MATCH($E758,'Key Metrics'!$E$16:$E$19,0),MATCH(Y$1,'Key Metrics'!$E$16:$M$16,0)),0)</f>
        <v>14983.98</v>
      </c>
      <c r="Z758" s="9">
        <f>IF($H758&gt;L758,($H758-L758)*INDEX('Key Metrics'!$E$16:$N$19,MATCH($E758,'Key Metrics'!$E$16:$E$19,0),MATCH(Z$1,'Key Metrics'!$E$16:$M$16,0)),0)</f>
        <v>0</v>
      </c>
      <c r="AA758" s="9">
        <f t="shared" si="119"/>
        <v>121233.98</v>
      </c>
      <c r="AB758" s="9">
        <f t="shared" si="121"/>
        <v>121235.616218</v>
      </c>
    </row>
    <row r="759" spans="1:28" x14ac:dyDescent="0.55000000000000004">
      <c r="A759" t="str">
        <f t="shared" si="112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COUNTIF(deals_closed!$D$2:$D$20001,Calculations!B773)</f>
        <v>20</v>
      </c>
      <c r="H759" s="7">
        <f>SUMIF(deals_closed!$D:$D,Calculations!B773,deals_closed!$C:$C)</f>
        <v>716416</v>
      </c>
      <c r="I759" s="5">
        <f>VLOOKUP(E759,'2018_commission_structure'!$A$1:$I$4,9,FALSE)</f>
        <v>750000</v>
      </c>
      <c r="J759" s="9">
        <f t="shared" si="113"/>
        <v>937500</v>
      </c>
      <c r="K759" s="10">
        <f t="shared" si="114"/>
        <v>1125000</v>
      </c>
      <c r="L759" s="9">
        <f t="shared" si="115"/>
        <v>1500000</v>
      </c>
      <c r="M759" s="8">
        <f t="shared" si="116"/>
        <v>0.95522133333333337</v>
      </c>
      <c r="N759" t="str">
        <f t="shared" si="117"/>
        <v>0-100%</v>
      </c>
      <c r="O759" s="9">
        <f>MIN($H759,$I759)*INDEX('2018_commission_structure'!$A$1:$I$4,MATCH($E759,'2018_commission_structure'!$A$1:$A$4,0),MATCH(O$1,'2018_commission_structure'!$A$1:$I$1,0))</f>
        <v>107462.39999999999</v>
      </c>
      <c r="P759" s="9">
        <f>IF(H759&gt;I759, MIN(H759-I759, J759-I759)*INDEX('2018_commission_structure'!$A$1:$I$4,MATCH($E759,'2018_commission_structure'!$A$1:$A$4,0),MATCH(P$1,'2018_commission_structure'!$A$1:$I$1,0)),0)</f>
        <v>0</v>
      </c>
      <c r="Q759" s="9">
        <f>IF($H759&gt;J759, MIN($H759-J759, K759-J759)*INDEX('2018_commission_structure'!$A$1:$I$4,MATCH($E759,'2018_commission_structure'!$A$1:$A$4,0),MATCH(Q$1,'2018_commission_structure'!$A$1:$I$1,0)),0)</f>
        <v>0</v>
      </c>
      <c r="R759" s="9">
        <f>IF($H759&gt;K759, MIN($H759-K759, L759-K759)*INDEX('2018_commission_structure'!$A$1:$I$4,MATCH($E759,'2018_commission_structure'!$A$1:$A$4,0),MATCH(R$1,'2018_commission_structure'!$A$1:$I$1,0)),0)</f>
        <v>0</v>
      </c>
      <c r="S759" s="9">
        <f>IF(H759&gt;L759,(H759-L759)*INDEX('2018_commission_structure'!$A$1:$I$4,MATCH($E759,'2018_commission_structure'!$A$1:$A$4,0),MATCH(S$1,'2018_commission_structure'!$A$1:$I$1,0)),0)</f>
        <v>0</v>
      </c>
      <c r="T759" s="9">
        <f t="shared" si="118"/>
        <v>107462.39999999999</v>
      </c>
      <c r="U759" s="9">
        <f t="shared" si="120"/>
        <v>198459.4</v>
      </c>
      <c r="V759" s="9">
        <f>MIN($I759,$H759)*INDEX('Key Metrics'!$E$16:$N$19,MATCH($E759,'Key Metrics'!$E$16:$E$19,0),MATCH(V$1,'Key Metrics'!$E$16:$M$16,0))</f>
        <v>107462.39999999999</v>
      </c>
      <c r="W759" s="9">
        <f>IF($H759&gt;I759, MIN($H759-I759, J759-I759)*INDEX('Key Metrics'!$E$16:$N$19,MATCH($E759,'Key Metrics'!$E$16:$E$19,0),MATCH(W$1,'Key Metrics'!$E$16:$M$16,0)),0)</f>
        <v>0</v>
      </c>
      <c r="X759" s="9">
        <f>IF($H759&gt;J759, MIN($H759-J759, K759-J759)*INDEX('Key Metrics'!$E$16:$N$19,MATCH($E759,'Key Metrics'!$E$16:$E$19,0),MATCH(X$1,'Key Metrics'!$E$16:$M$16,0)),0)</f>
        <v>0</v>
      </c>
      <c r="Y759" s="9">
        <f>IF($H759&gt;K759, MIN($H759-K759, L759-K759)*INDEX('Key Metrics'!$E$16:$N$19,MATCH($E759,'Key Metrics'!$E$16:$E$19,0),MATCH(Y$1,'Key Metrics'!$E$16:$M$16,0)),0)</f>
        <v>0</v>
      </c>
      <c r="Z759" s="9">
        <f>IF($H759&gt;L759,($H759-L759)*INDEX('Key Metrics'!$E$16:$N$19,MATCH($E759,'Key Metrics'!$E$16:$E$19,0),MATCH(Z$1,'Key Metrics'!$E$16:$M$16,0)),0)</f>
        <v>0</v>
      </c>
      <c r="AA759" s="9">
        <f t="shared" si="119"/>
        <v>107462.39999999999</v>
      </c>
      <c r="AB759" s="9">
        <f t="shared" si="121"/>
        <v>107463.35522133333</v>
      </c>
    </row>
    <row r="760" spans="1:28" x14ac:dyDescent="0.55000000000000004">
      <c r="A760" t="str">
        <f t="shared" si="112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COUNTIF(deals_closed!$D$2:$D$20001,Calculations!B33)</f>
        <v>23</v>
      </c>
      <c r="H760" s="7">
        <f>SUMIF(deals_closed!$D:$D,Calculations!B33,deals_closed!$C:$C)</f>
        <v>771161</v>
      </c>
      <c r="I760" s="5">
        <f>VLOOKUP(E760,'2018_commission_structure'!$A$1:$I$4,9,FALSE)</f>
        <v>600000</v>
      </c>
      <c r="J760" s="9">
        <f t="shared" si="113"/>
        <v>750000</v>
      </c>
      <c r="K760" s="10">
        <f t="shared" si="114"/>
        <v>900000</v>
      </c>
      <c r="L760" s="9">
        <f t="shared" si="115"/>
        <v>1200000</v>
      </c>
      <c r="M760" s="8">
        <f t="shared" si="116"/>
        <v>1.2852683333333332</v>
      </c>
      <c r="N760" t="str">
        <f t="shared" si="117"/>
        <v>125-150%</v>
      </c>
      <c r="O760" s="9">
        <f>MIN($H760,$I760)*INDEX('2018_commission_structure'!$A$1:$I$4,MATCH($E760,'2018_commission_structure'!$A$1:$A$4,0),MATCH(O$1,'2018_commission_structure'!$A$1:$I$1,0))</f>
        <v>78000</v>
      </c>
      <c r="P760" s="9">
        <f>IF(H760&gt;I760, MIN(H760-I760, J760-I760)*INDEX('2018_commission_structure'!$A$1:$I$4,MATCH($E760,'2018_commission_structure'!$A$1:$A$4,0),MATCH(P$1,'2018_commission_structure'!$A$1:$I$1,0)),0)</f>
        <v>25500.000000000004</v>
      </c>
      <c r="Q760" s="9">
        <f>IF($H760&gt;J760, MIN($H760-J760, K760-J760)*INDEX('2018_commission_structure'!$A$1:$I$4,MATCH($E760,'2018_commission_structure'!$A$1:$A$4,0),MATCH(Q$1,'2018_commission_structure'!$A$1:$I$1,0)),0)</f>
        <v>4443.8099999999995</v>
      </c>
      <c r="R760" s="9">
        <f>IF($H760&gt;K760, MIN($H760-K760, L760-K760)*INDEX('2018_commission_structure'!$A$1:$I$4,MATCH($E760,'2018_commission_structure'!$A$1:$A$4,0),MATCH(R$1,'2018_commission_structure'!$A$1:$I$1,0)),0)</f>
        <v>0</v>
      </c>
      <c r="S760" s="9">
        <f>IF(H760&gt;L760,(H760-L760)*INDEX('2018_commission_structure'!$A$1:$I$4,MATCH($E760,'2018_commission_structure'!$A$1:$A$4,0),MATCH(S$1,'2018_commission_structure'!$A$1:$I$1,0)),0)</f>
        <v>0</v>
      </c>
      <c r="T760" s="9">
        <f t="shared" si="118"/>
        <v>107943.81</v>
      </c>
      <c r="U760" s="9">
        <f t="shared" si="120"/>
        <v>177653.81</v>
      </c>
      <c r="V760" s="9">
        <f>MIN($I760,$H760)*INDEX('Key Metrics'!$E$16:$N$19,MATCH($E760,'Key Metrics'!$E$16:$E$19,0),MATCH(V$1,'Key Metrics'!$E$16:$M$16,0))</f>
        <v>90000</v>
      </c>
      <c r="W760" s="9">
        <f>IF($H760&gt;I760, MIN($H760-I760, J760-I760)*INDEX('Key Metrics'!$E$16:$N$19,MATCH($E760,'Key Metrics'!$E$16:$E$19,0),MATCH(W$1,'Key Metrics'!$E$16:$M$16,0)),0)</f>
        <v>27000</v>
      </c>
      <c r="X760" s="9">
        <f>IF($H760&gt;J760, MIN($H760-J760, K760-J760)*INDEX('Key Metrics'!$E$16:$N$19,MATCH($E760,'Key Metrics'!$E$16:$E$19,0),MATCH(X$1,'Key Metrics'!$E$16:$M$16,0)),0)</f>
        <v>5290.25</v>
      </c>
      <c r="Y760" s="9">
        <f>IF($H760&gt;K760, MIN($H760-K760, L760-K760)*INDEX('Key Metrics'!$E$16:$N$19,MATCH($E760,'Key Metrics'!$E$16:$E$19,0),MATCH(Y$1,'Key Metrics'!$E$16:$M$16,0)),0)</f>
        <v>0</v>
      </c>
      <c r="Z760" s="9">
        <f>IF($H760&gt;L760,($H760-L760)*INDEX('Key Metrics'!$E$16:$N$19,MATCH($E760,'Key Metrics'!$E$16:$E$19,0),MATCH(Z$1,'Key Metrics'!$E$16:$M$16,0)),0)</f>
        <v>0</v>
      </c>
      <c r="AA760" s="9">
        <f t="shared" si="119"/>
        <v>122290.25</v>
      </c>
      <c r="AB760" s="9">
        <f t="shared" si="121"/>
        <v>122291.53526833333</v>
      </c>
    </row>
    <row r="761" spans="1:28" x14ac:dyDescent="0.55000000000000004">
      <c r="A761" t="str">
        <f t="shared" si="112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COUNTIF(deals_closed!$D$2:$D$20001,Calculations!B593)</f>
        <v>20</v>
      </c>
      <c r="H761" s="7">
        <f>SUMIF(deals_closed!$D:$D,Calculations!B593,deals_closed!$C:$C)</f>
        <v>808753</v>
      </c>
      <c r="I761" s="5">
        <f>VLOOKUP(E761,'2018_commission_structure'!$A$1:$I$4,9,FALSE)</f>
        <v>750000</v>
      </c>
      <c r="J761" s="9">
        <f t="shared" si="113"/>
        <v>937500</v>
      </c>
      <c r="K761" s="10">
        <f t="shared" si="114"/>
        <v>1125000</v>
      </c>
      <c r="L761" s="9">
        <f t="shared" si="115"/>
        <v>1500000</v>
      </c>
      <c r="M761" s="8">
        <f t="shared" si="116"/>
        <v>1.0783373333333333</v>
      </c>
      <c r="N761" t="str">
        <f t="shared" si="117"/>
        <v>100-125%</v>
      </c>
      <c r="O761" s="9">
        <f>MIN($H761,$I761)*INDEX('2018_commission_structure'!$A$1:$I$4,MATCH($E761,'2018_commission_structure'!$A$1:$A$4,0),MATCH(O$1,'2018_commission_structure'!$A$1:$I$1,0))</f>
        <v>112500</v>
      </c>
      <c r="P761" s="9">
        <f>IF(H761&gt;I761, MIN(H761-I761, J761-I761)*INDEX('2018_commission_structure'!$A$1:$I$4,MATCH($E761,'2018_commission_structure'!$A$1:$A$4,0),MATCH(P$1,'2018_commission_structure'!$A$1:$I$1,0)),0)</f>
        <v>11163.07</v>
      </c>
      <c r="Q761" s="9">
        <f>IF($H761&gt;J761, MIN($H761-J761, K761-J761)*INDEX('2018_commission_structure'!$A$1:$I$4,MATCH($E761,'2018_commission_structure'!$A$1:$A$4,0),MATCH(Q$1,'2018_commission_structure'!$A$1:$I$1,0)),0)</f>
        <v>0</v>
      </c>
      <c r="R761" s="9">
        <f>IF($H761&gt;K761, MIN($H761-K761, L761-K761)*INDEX('2018_commission_structure'!$A$1:$I$4,MATCH($E761,'2018_commission_structure'!$A$1:$A$4,0),MATCH(R$1,'2018_commission_structure'!$A$1:$I$1,0)),0)</f>
        <v>0</v>
      </c>
      <c r="S761" s="9">
        <f>IF(H761&gt;L761,(H761-L761)*INDEX('2018_commission_structure'!$A$1:$I$4,MATCH($E761,'2018_commission_structure'!$A$1:$A$4,0),MATCH(S$1,'2018_commission_structure'!$A$1:$I$1,0)),0)</f>
        <v>0</v>
      </c>
      <c r="T761" s="9">
        <f t="shared" si="118"/>
        <v>123663.07</v>
      </c>
      <c r="U761" s="9">
        <f t="shared" si="120"/>
        <v>242109.07</v>
      </c>
      <c r="V761" s="9">
        <f>MIN($I761,$H761)*INDEX('Key Metrics'!$E$16:$N$19,MATCH($E761,'Key Metrics'!$E$16:$E$19,0),MATCH(V$1,'Key Metrics'!$E$16:$M$16,0))</f>
        <v>112500</v>
      </c>
      <c r="W761" s="9">
        <f>IF($H761&gt;I761, MIN($H761-I761, J761-I761)*INDEX('Key Metrics'!$E$16:$N$19,MATCH($E761,'Key Metrics'!$E$16:$E$19,0),MATCH(W$1,'Key Metrics'!$E$16:$M$16,0)),0)</f>
        <v>12925.66</v>
      </c>
      <c r="X761" s="9">
        <f>IF($H761&gt;J761, MIN($H761-J761, K761-J761)*INDEX('Key Metrics'!$E$16:$N$19,MATCH($E761,'Key Metrics'!$E$16:$E$19,0),MATCH(X$1,'Key Metrics'!$E$16:$M$16,0)),0)</f>
        <v>0</v>
      </c>
      <c r="Y761" s="9">
        <f>IF($H761&gt;K761, MIN($H761-K761, L761-K761)*INDEX('Key Metrics'!$E$16:$N$19,MATCH($E761,'Key Metrics'!$E$16:$E$19,0),MATCH(Y$1,'Key Metrics'!$E$16:$M$16,0)),0)</f>
        <v>0</v>
      </c>
      <c r="Z761" s="9">
        <f>IF($H761&gt;L761,($H761-L761)*INDEX('Key Metrics'!$E$16:$N$19,MATCH($E761,'Key Metrics'!$E$16:$E$19,0),MATCH(Z$1,'Key Metrics'!$E$16:$M$16,0)),0)</f>
        <v>0</v>
      </c>
      <c r="AA761" s="9">
        <f t="shared" si="119"/>
        <v>125425.66</v>
      </c>
      <c r="AB761" s="9">
        <f t="shared" si="121"/>
        <v>125426.73833733334</v>
      </c>
    </row>
    <row r="762" spans="1:28" x14ac:dyDescent="0.55000000000000004">
      <c r="A762" t="str">
        <f t="shared" si="112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COUNTIF(deals_closed!$D$2:$D$20001,Calculations!B106)</f>
        <v>16</v>
      </c>
      <c r="H762" s="7">
        <f>SUMIF(deals_closed!$D:$D,Calculations!B106,deals_closed!$C:$C)</f>
        <v>634351</v>
      </c>
      <c r="I762" s="5">
        <f>VLOOKUP(E762,'2018_commission_structure'!$A$1:$I$4,9,FALSE)</f>
        <v>750000</v>
      </c>
      <c r="J762" s="9">
        <f t="shared" si="113"/>
        <v>937500</v>
      </c>
      <c r="K762" s="10">
        <f t="shared" si="114"/>
        <v>1125000</v>
      </c>
      <c r="L762" s="9">
        <f t="shared" si="115"/>
        <v>1500000</v>
      </c>
      <c r="M762" s="8">
        <f t="shared" si="116"/>
        <v>0.84580133333333329</v>
      </c>
      <c r="N762" t="str">
        <f t="shared" si="117"/>
        <v>0-100%</v>
      </c>
      <c r="O762" s="9">
        <f>MIN($H762,$I762)*INDEX('2018_commission_structure'!$A$1:$I$4,MATCH($E762,'2018_commission_structure'!$A$1:$A$4,0),MATCH(O$1,'2018_commission_structure'!$A$1:$I$1,0))</f>
        <v>95152.65</v>
      </c>
      <c r="P762" s="9">
        <f>IF(H762&gt;I762, MIN(H762-I762, J762-I762)*INDEX('2018_commission_structure'!$A$1:$I$4,MATCH($E762,'2018_commission_structure'!$A$1:$A$4,0),MATCH(P$1,'2018_commission_structure'!$A$1:$I$1,0)),0)</f>
        <v>0</v>
      </c>
      <c r="Q762" s="9">
        <f>IF($H762&gt;J762, MIN($H762-J762, K762-J762)*INDEX('2018_commission_structure'!$A$1:$I$4,MATCH($E762,'2018_commission_structure'!$A$1:$A$4,0),MATCH(Q$1,'2018_commission_structure'!$A$1:$I$1,0)),0)</f>
        <v>0</v>
      </c>
      <c r="R762" s="9">
        <f>IF($H762&gt;K762, MIN($H762-K762, L762-K762)*INDEX('2018_commission_structure'!$A$1:$I$4,MATCH($E762,'2018_commission_structure'!$A$1:$A$4,0),MATCH(R$1,'2018_commission_structure'!$A$1:$I$1,0)),0)</f>
        <v>0</v>
      </c>
      <c r="S762" s="9">
        <f>IF(H762&gt;L762,(H762-L762)*INDEX('2018_commission_structure'!$A$1:$I$4,MATCH($E762,'2018_commission_structure'!$A$1:$A$4,0),MATCH(S$1,'2018_commission_structure'!$A$1:$I$1,0)),0)</f>
        <v>0</v>
      </c>
      <c r="T762" s="9">
        <f t="shared" si="118"/>
        <v>95152.65</v>
      </c>
      <c r="U762" s="9">
        <f t="shared" si="120"/>
        <v>209663.65</v>
      </c>
      <c r="V762" s="9">
        <f>MIN($I762,$H762)*INDEX('Key Metrics'!$E$16:$N$19,MATCH($E762,'Key Metrics'!$E$16:$E$19,0),MATCH(V$1,'Key Metrics'!$E$16:$M$16,0))</f>
        <v>95152.65</v>
      </c>
      <c r="W762" s="9">
        <f>IF($H762&gt;I762, MIN($H762-I762, J762-I762)*INDEX('Key Metrics'!$E$16:$N$19,MATCH($E762,'Key Metrics'!$E$16:$E$19,0),MATCH(W$1,'Key Metrics'!$E$16:$M$16,0)),0)</f>
        <v>0</v>
      </c>
      <c r="X762" s="9">
        <f>IF($H762&gt;J762, MIN($H762-J762, K762-J762)*INDEX('Key Metrics'!$E$16:$N$19,MATCH($E762,'Key Metrics'!$E$16:$E$19,0),MATCH(X$1,'Key Metrics'!$E$16:$M$16,0)),0)</f>
        <v>0</v>
      </c>
      <c r="Y762" s="9">
        <f>IF($H762&gt;K762, MIN($H762-K762, L762-K762)*INDEX('Key Metrics'!$E$16:$N$19,MATCH($E762,'Key Metrics'!$E$16:$E$19,0),MATCH(Y$1,'Key Metrics'!$E$16:$M$16,0)),0)</f>
        <v>0</v>
      </c>
      <c r="Z762" s="9">
        <f>IF($H762&gt;L762,($H762-L762)*INDEX('Key Metrics'!$E$16:$N$19,MATCH($E762,'Key Metrics'!$E$16:$E$19,0),MATCH(Z$1,'Key Metrics'!$E$16:$M$16,0)),0)</f>
        <v>0</v>
      </c>
      <c r="AA762" s="9">
        <f t="shared" si="119"/>
        <v>95152.65</v>
      </c>
      <c r="AB762" s="9">
        <f t="shared" si="121"/>
        <v>95153.495801333323</v>
      </c>
    </row>
    <row r="763" spans="1:28" x14ac:dyDescent="0.55000000000000004">
      <c r="A763" t="str">
        <f t="shared" si="112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COUNTIF(deals_closed!$D$2:$D$20001,Calculations!B100)</f>
        <v>17</v>
      </c>
      <c r="H763" s="7">
        <f>SUMIF(deals_closed!$D:$D,Calculations!B100,deals_closed!$C:$C)</f>
        <v>629139</v>
      </c>
      <c r="I763" s="5">
        <f>VLOOKUP(E763,'2018_commission_structure'!$A$1:$I$4,9,FALSE)</f>
        <v>750000</v>
      </c>
      <c r="J763" s="9">
        <f t="shared" si="113"/>
        <v>937500</v>
      </c>
      <c r="K763" s="10">
        <f t="shared" si="114"/>
        <v>1125000</v>
      </c>
      <c r="L763" s="9">
        <f t="shared" si="115"/>
        <v>1500000</v>
      </c>
      <c r="M763" s="8">
        <f t="shared" si="116"/>
        <v>0.83885200000000004</v>
      </c>
      <c r="N763" t="str">
        <f t="shared" si="117"/>
        <v>0-100%</v>
      </c>
      <c r="O763" s="9">
        <f>MIN($H763,$I763)*INDEX('2018_commission_structure'!$A$1:$I$4,MATCH($E763,'2018_commission_structure'!$A$1:$A$4,0),MATCH(O$1,'2018_commission_structure'!$A$1:$I$1,0))</f>
        <v>94370.849999999991</v>
      </c>
      <c r="P763" s="9">
        <f>IF(H763&gt;I763, MIN(H763-I763, J763-I763)*INDEX('2018_commission_structure'!$A$1:$I$4,MATCH($E763,'2018_commission_structure'!$A$1:$A$4,0),MATCH(P$1,'2018_commission_structure'!$A$1:$I$1,0)),0)</f>
        <v>0</v>
      </c>
      <c r="Q763" s="9">
        <f>IF($H763&gt;J763, MIN($H763-J763, K763-J763)*INDEX('2018_commission_structure'!$A$1:$I$4,MATCH($E763,'2018_commission_structure'!$A$1:$A$4,0),MATCH(Q$1,'2018_commission_structure'!$A$1:$I$1,0)),0)</f>
        <v>0</v>
      </c>
      <c r="R763" s="9">
        <f>IF($H763&gt;K763, MIN($H763-K763, L763-K763)*INDEX('2018_commission_structure'!$A$1:$I$4,MATCH($E763,'2018_commission_structure'!$A$1:$A$4,0),MATCH(R$1,'2018_commission_structure'!$A$1:$I$1,0)),0)</f>
        <v>0</v>
      </c>
      <c r="S763" s="9">
        <f>IF(H763&gt;L763,(H763-L763)*INDEX('2018_commission_structure'!$A$1:$I$4,MATCH($E763,'2018_commission_structure'!$A$1:$A$4,0),MATCH(S$1,'2018_commission_structure'!$A$1:$I$1,0)),0)</f>
        <v>0</v>
      </c>
      <c r="T763" s="9">
        <f t="shared" si="118"/>
        <v>94370.849999999991</v>
      </c>
      <c r="U763" s="9">
        <f t="shared" si="120"/>
        <v>191964.84999999998</v>
      </c>
      <c r="V763" s="9">
        <f>MIN($I763,$H763)*INDEX('Key Metrics'!$E$16:$N$19,MATCH($E763,'Key Metrics'!$E$16:$E$19,0),MATCH(V$1,'Key Metrics'!$E$16:$M$16,0))</f>
        <v>94370.849999999991</v>
      </c>
      <c r="W763" s="9">
        <f>IF($H763&gt;I763, MIN($H763-I763, J763-I763)*INDEX('Key Metrics'!$E$16:$N$19,MATCH($E763,'Key Metrics'!$E$16:$E$19,0),MATCH(W$1,'Key Metrics'!$E$16:$M$16,0)),0)</f>
        <v>0</v>
      </c>
      <c r="X763" s="9">
        <f>IF($H763&gt;J763, MIN($H763-J763, K763-J763)*INDEX('Key Metrics'!$E$16:$N$19,MATCH($E763,'Key Metrics'!$E$16:$E$19,0),MATCH(X$1,'Key Metrics'!$E$16:$M$16,0)),0)</f>
        <v>0</v>
      </c>
      <c r="Y763" s="9">
        <f>IF($H763&gt;K763, MIN($H763-K763, L763-K763)*INDEX('Key Metrics'!$E$16:$N$19,MATCH($E763,'Key Metrics'!$E$16:$E$19,0),MATCH(Y$1,'Key Metrics'!$E$16:$M$16,0)),0)</f>
        <v>0</v>
      </c>
      <c r="Z763" s="9">
        <f>IF($H763&gt;L763,($H763-L763)*INDEX('Key Metrics'!$E$16:$N$19,MATCH($E763,'Key Metrics'!$E$16:$E$19,0),MATCH(Z$1,'Key Metrics'!$E$16:$M$16,0)),0)</f>
        <v>0</v>
      </c>
      <c r="AA763" s="9">
        <f t="shared" si="119"/>
        <v>94370.849999999991</v>
      </c>
      <c r="AB763" s="9">
        <f t="shared" si="121"/>
        <v>94371.688851999992</v>
      </c>
    </row>
    <row r="764" spans="1:28" x14ac:dyDescent="0.55000000000000004">
      <c r="A764" t="str">
        <f t="shared" si="112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COUNTIF(deals_closed!$D$2:$D$20001,Calculations!B493)</f>
        <v>22</v>
      </c>
      <c r="H764" s="7">
        <f>SUMIF(deals_closed!$D:$D,Calculations!B493,deals_closed!$C:$C)</f>
        <v>817155</v>
      </c>
      <c r="I764" s="5">
        <f>VLOOKUP(E764,'2018_commission_structure'!$A$1:$I$4,9,FALSE)</f>
        <v>500000</v>
      </c>
      <c r="J764" s="9">
        <f t="shared" si="113"/>
        <v>625000</v>
      </c>
      <c r="K764" s="10">
        <f t="shared" si="114"/>
        <v>750000</v>
      </c>
      <c r="L764" s="9">
        <f t="shared" si="115"/>
        <v>1000000</v>
      </c>
      <c r="M764" s="8">
        <f t="shared" si="116"/>
        <v>1.6343099999999999</v>
      </c>
      <c r="N764" t="str">
        <f t="shared" si="117"/>
        <v>150-200%</v>
      </c>
      <c r="O764" s="9">
        <f>MIN($H764,$I764)*INDEX('2018_commission_structure'!$A$1:$I$4,MATCH($E764,'2018_commission_structure'!$A$1:$A$4,0),MATCH(O$1,'2018_commission_structure'!$A$1:$I$1,0))</f>
        <v>50000</v>
      </c>
      <c r="P764" s="9">
        <f>IF(H764&gt;I764, MIN(H764-I764, J764-I764)*INDEX('2018_commission_structure'!$A$1:$I$4,MATCH($E764,'2018_commission_structure'!$A$1:$A$4,0),MATCH(P$1,'2018_commission_structure'!$A$1:$I$1,0)),0)</f>
        <v>18750</v>
      </c>
      <c r="Q764" s="9">
        <f>IF($H764&gt;J764, MIN($H764-J764, K764-J764)*INDEX('2018_commission_structure'!$A$1:$I$4,MATCH($E764,'2018_commission_structure'!$A$1:$A$4,0),MATCH(Q$1,'2018_commission_structure'!$A$1:$I$1,0)),0)</f>
        <v>22500</v>
      </c>
      <c r="R764" s="9">
        <f>IF($H764&gt;K764, MIN($H764-K764, L764-K764)*INDEX('2018_commission_structure'!$A$1:$I$4,MATCH($E764,'2018_commission_structure'!$A$1:$A$4,0),MATCH(R$1,'2018_commission_structure'!$A$1:$I$1,0)),0)</f>
        <v>14774.1</v>
      </c>
      <c r="S764" s="9">
        <f>IF(H764&gt;L764,(H764-L764)*INDEX('2018_commission_structure'!$A$1:$I$4,MATCH($E764,'2018_commission_structure'!$A$1:$A$4,0),MATCH(S$1,'2018_commission_structure'!$A$1:$I$1,0)),0)</f>
        <v>0</v>
      </c>
      <c r="T764" s="9">
        <f t="shared" si="118"/>
        <v>106024.1</v>
      </c>
      <c r="U764" s="9">
        <f t="shared" si="120"/>
        <v>137331.1</v>
      </c>
      <c r="V764" s="9">
        <f>MIN($I764,$H764)*INDEX('Key Metrics'!$E$16:$N$19,MATCH($E764,'Key Metrics'!$E$16:$E$19,0),MATCH(V$1,'Key Metrics'!$E$16:$M$16,0))</f>
        <v>60000</v>
      </c>
      <c r="W764" s="9">
        <f>IF($H764&gt;I764, MIN($H764-I764, J764-I764)*INDEX('Key Metrics'!$E$16:$N$19,MATCH($E764,'Key Metrics'!$E$16:$E$19,0),MATCH(W$1,'Key Metrics'!$E$16:$M$16,0)),0)</f>
        <v>21250</v>
      </c>
      <c r="X764" s="9">
        <f>IF($H764&gt;J764, MIN($H764-J764, K764-J764)*INDEX('Key Metrics'!$E$16:$N$19,MATCH($E764,'Key Metrics'!$E$16:$E$19,0),MATCH(X$1,'Key Metrics'!$E$16:$M$16,0)),0)</f>
        <v>25000</v>
      </c>
      <c r="Y764" s="9">
        <f>IF($H764&gt;K764, MIN($H764-K764, L764-K764)*INDEX('Key Metrics'!$E$16:$N$19,MATCH($E764,'Key Metrics'!$E$16:$E$19,0),MATCH(Y$1,'Key Metrics'!$E$16:$M$16,0)),0)</f>
        <v>14774.1</v>
      </c>
      <c r="Z764" s="9">
        <f>IF($H764&gt;L764,($H764-L764)*INDEX('Key Metrics'!$E$16:$N$19,MATCH($E764,'Key Metrics'!$E$16:$E$19,0),MATCH(Z$1,'Key Metrics'!$E$16:$M$16,0)),0)</f>
        <v>0</v>
      </c>
      <c r="AA764" s="9">
        <f t="shared" si="119"/>
        <v>121024.1</v>
      </c>
      <c r="AB764" s="9">
        <f t="shared" si="121"/>
        <v>121025.73431</v>
      </c>
    </row>
    <row r="765" spans="1:28" x14ac:dyDescent="0.55000000000000004">
      <c r="A765" t="str">
        <f t="shared" si="112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COUNTIF(deals_closed!$D$2:$D$20001,Calculations!B720)</f>
        <v>27</v>
      </c>
      <c r="H765" s="7">
        <f>SUMIF(deals_closed!$D:$D,Calculations!B720,deals_closed!$C:$C)</f>
        <v>952586</v>
      </c>
      <c r="I765" s="5">
        <f>VLOOKUP(E765,'2018_commission_structure'!$A$1:$I$4,9,FALSE)</f>
        <v>750000</v>
      </c>
      <c r="J765" s="9">
        <f t="shared" si="113"/>
        <v>937500</v>
      </c>
      <c r="K765" s="10">
        <f t="shared" si="114"/>
        <v>1125000</v>
      </c>
      <c r="L765" s="9">
        <f t="shared" si="115"/>
        <v>1500000</v>
      </c>
      <c r="M765" s="8">
        <f t="shared" si="116"/>
        <v>1.2701146666666667</v>
      </c>
      <c r="N765" t="str">
        <f t="shared" si="117"/>
        <v>125-150%</v>
      </c>
      <c r="O765" s="9">
        <f>MIN($H765,$I765)*INDEX('2018_commission_structure'!$A$1:$I$4,MATCH($E765,'2018_commission_structure'!$A$1:$A$4,0),MATCH(O$1,'2018_commission_structure'!$A$1:$I$1,0))</f>
        <v>112500</v>
      </c>
      <c r="P765" s="9">
        <f>IF(H765&gt;I765, MIN(H765-I765, J765-I765)*INDEX('2018_commission_structure'!$A$1:$I$4,MATCH($E765,'2018_commission_structure'!$A$1:$A$4,0),MATCH(P$1,'2018_commission_structure'!$A$1:$I$1,0)),0)</f>
        <v>35625</v>
      </c>
      <c r="Q765" s="9">
        <f>IF($H765&gt;J765, MIN($H765-J765, K765-J765)*INDEX('2018_commission_structure'!$A$1:$I$4,MATCH($E765,'2018_commission_structure'!$A$1:$A$4,0),MATCH(Q$1,'2018_commission_structure'!$A$1:$I$1,0)),0)</f>
        <v>3469.78</v>
      </c>
      <c r="R765" s="9">
        <f>IF($H765&gt;K765, MIN($H765-K765, L765-K765)*INDEX('2018_commission_structure'!$A$1:$I$4,MATCH($E765,'2018_commission_structure'!$A$1:$A$4,0),MATCH(R$1,'2018_commission_structure'!$A$1:$I$1,0)),0)</f>
        <v>0</v>
      </c>
      <c r="S765" s="9">
        <f>IF(H765&gt;L765,(H765-L765)*INDEX('2018_commission_structure'!$A$1:$I$4,MATCH($E765,'2018_commission_structure'!$A$1:$A$4,0),MATCH(S$1,'2018_commission_structure'!$A$1:$I$1,0)),0)</f>
        <v>0</v>
      </c>
      <c r="T765" s="9">
        <f t="shared" si="118"/>
        <v>151594.78</v>
      </c>
      <c r="U765" s="9">
        <f t="shared" si="120"/>
        <v>266439.78000000003</v>
      </c>
      <c r="V765" s="9">
        <f>MIN($I765,$H765)*INDEX('Key Metrics'!$E$16:$N$19,MATCH($E765,'Key Metrics'!$E$16:$E$19,0),MATCH(V$1,'Key Metrics'!$E$16:$M$16,0))</f>
        <v>112500</v>
      </c>
      <c r="W765" s="9">
        <f>IF($H765&gt;I765, MIN($H765-I765, J765-I765)*INDEX('Key Metrics'!$E$16:$N$19,MATCH($E765,'Key Metrics'!$E$16:$E$19,0),MATCH(W$1,'Key Metrics'!$E$16:$M$16,0)),0)</f>
        <v>41250</v>
      </c>
      <c r="X765" s="9">
        <f>IF($H765&gt;J765, MIN($H765-J765, K765-J765)*INDEX('Key Metrics'!$E$16:$N$19,MATCH($E765,'Key Metrics'!$E$16:$E$19,0),MATCH(X$1,'Key Metrics'!$E$16:$M$16,0)),0)</f>
        <v>3771.5</v>
      </c>
      <c r="Y765" s="9">
        <f>IF($H765&gt;K765, MIN($H765-K765, L765-K765)*INDEX('Key Metrics'!$E$16:$N$19,MATCH($E765,'Key Metrics'!$E$16:$E$19,0),MATCH(Y$1,'Key Metrics'!$E$16:$M$16,0)),0)</f>
        <v>0</v>
      </c>
      <c r="Z765" s="9">
        <f>IF($H765&gt;L765,($H765-L765)*INDEX('Key Metrics'!$E$16:$N$19,MATCH($E765,'Key Metrics'!$E$16:$E$19,0),MATCH(Z$1,'Key Metrics'!$E$16:$M$16,0)),0)</f>
        <v>0</v>
      </c>
      <c r="AA765" s="9">
        <f t="shared" si="119"/>
        <v>157521.5</v>
      </c>
      <c r="AB765" s="9">
        <f t="shared" si="121"/>
        <v>157522.77011466667</v>
      </c>
    </row>
    <row r="766" spans="1:28" x14ac:dyDescent="0.55000000000000004">
      <c r="A766" t="str">
        <f t="shared" si="112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COUNTIF(deals_closed!$D$2:$D$20001,Calculations!B710)</f>
        <v>22</v>
      </c>
      <c r="H766" s="7">
        <f>SUMIF(deals_closed!$D:$D,Calculations!B710,deals_closed!$C:$C)</f>
        <v>732905</v>
      </c>
      <c r="I766" s="5">
        <f>VLOOKUP(E766,'2018_commission_structure'!$A$1:$I$4,9,FALSE)</f>
        <v>750000</v>
      </c>
      <c r="J766" s="9">
        <f t="shared" si="113"/>
        <v>937500</v>
      </c>
      <c r="K766" s="10">
        <f t="shared" si="114"/>
        <v>1125000</v>
      </c>
      <c r="L766" s="9">
        <f t="shared" si="115"/>
        <v>1500000</v>
      </c>
      <c r="M766" s="8">
        <f t="shared" si="116"/>
        <v>0.97720666666666667</v>
      </c>
      <c r="N766" t="str">
        <f t="shared" si="117"/>
        <v>0-100%</v>
      </c>
      <c r="O766" s="9">
        <f>MIN($H766,$I766)*INDEX('2018_commission_structure'!$A$1:$I$4,MATCH($E766,'2018_commission_structure'!$A$1:$A$4,0),MATCH(O$1,'2018_commission_structure'!$A$1:$I$1,0))</f>
        <v>109935.75</v>
      </c>
      <c r="P766" s="9">
        <f>IF(H766&gt;I766, MIN(H766-I766, J766-I766)*INDEX('2018_commission_structure'!$A$1:$I$4,MATCH($E766,'2018_commission_structure'!$A$1:$A$4,0),MATCH(P$1,'2018_commission_structure'!$A$1:$I$1,0)),0)</f>
        <v>0</v>
      </c>
      <c r="Q766" s="9">
        <f>IF($H766&gt;J766, MIN($H766-J766, K766-J766)*INDEX('2018_commission_structure'!$A$1:$I$4,MATCH($E766,'2018_commission_structure'!$A$1:$A$4,0),MATCH(Q$1,'2018_commission_structure'!$A$1:$I$1,0)),0)</f>
        <v>0</v>
      </c>
      <c r="R766" s="9">
        <f>IF($H766&gt;K766, MIN($H766-K766, L766-K766)*INDEX('2018_commission_structure'!$A$1:$I$4,MATCH($E766,'2018_commission_structure'!$A$1:$A$4,0),MATCH(R$1,'2018_commission_structure'!$A$1:$I$1,0)),0)</f>
        <v>0</v>
      </c>
      <c r="S766" s="9">
        <f>IF(H766&gt;L766,(H766-L766)*INDEX('2018_commission_structure'!$A$1:$I$4,MATCH($E766,'2018_commission_structure'!$A$1:$A$4,0),MATCH(S$1,'2018_commission_structure'!$A$1:$I$1,0)),0)</f>
        <v>0</v>
      </c>
      <c r="T766" s="9">
        <f t="shared" si="118"/>
        <v>109935.75</v>
      </c>
      <c r="U766" s="9">
        <f t="shared" si="120"/>
        <v>230357.75</v>
      </c>
      <c r="V766" s="9">
        <f>MIN($I766,$H766)*INDEX('Key Metrics'!$E$16:$N$19,MATCH($E766,'Key Metrics'!$E$16:$E$19,0),MATCH(V$1,'Key Metrics'!$E$16:$M$16,0))</f>
        <v>109935.75</v>
      </c>
      <c r="W766" s="9">
        <f>IF($H766&gt;I766, MIN($H766-I766, J766-I766)*INDEX('Key Metrics'!$E$16:$N$19,MATCH($E766,'Key Metrics'!$E$16:$E$19,0),MATCH(W$1,'Key Metrics'!$E$16:$M$16,0)),0)</f>
        <v>0</v>
      </c>
      <c r="X766" s="9">
        <f>IF($H766&gt;J766, MIN($H766-J766, K766-J766)*INDEX('Key Metrics'!$E$16:$N$19,MATCH($E766,'Key Metrics'!$E$16:$E$19,0),MATCH(X$1,'Key Metrics'!$E$16:$M$16,0)),0)</f>
        <v>0</v>
      </c>
      <c r="Y766" s="9">
        <f>IF($H766&gt;K766, MIN($H766-K766, L766-K766)*INDEX('Key Metrics'!$E$16:$N$19,MATCH($E766,'Key Metrics'!$E$16:$E$19,0),MATCH(Y$1,'Key Metrics'!$E$16:$M$16,0)),0)</f>
        <v>0</v>
      </c>
      <c r="Z766" s="9">
        <f>IF($H766&gt;L766,($H766-L766)*INDEX('Key Metrics'!$E$16:$N$19,MATCH($E766,'Key Metrics'!$E$16:$E$19,0),MATCH(Z$1,'Key Metrics'!$E$16:$M$16,0)),0)</f>
        <v>0</v>
      </c>
      <c r="AA766" s="9">
        <f t="shared" si="119"/>
        <v>109935.75</v>
      </c>
      <c r="AB766" s="9">
        <f t="shared" si="121"/>
        <v>109936.72720666666</v>
      </c>
    </row>
    <row r="767" spans="1:28" x14ac:dyDescent="0.55000000000000004">
      <c r="A767" t="str">
        <f t="shared" si="112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COUNTIF(deals_closed!$D$2:$D$20001,Calculations!B689)</f>
        <v>25</v>
      </c>
      <c r="H767" s="7">
        <f>SUMIF(deals_closed!$D:$D,Calculations!B689,deals_closed!$C:$C)</f>
        <v>778272</v>
      </c>
      <c r="I767" s="5">
        <f>VLOOKUP(E767,'2018_commission_structure'!$A$1:$I$4,9,FALSE)</f>
        <v>500000</v>
      </c>
      <c r="J767" s="9">
        <f t="shared" si="113"/>
        <v>625000</v>
      </c>
      <c r="K767" s="10">
        <f t="shared" si="114"/>
        <v>750000</v>
      </c>
      <c r="L767" s="9">
        <f t="shared" si="115"/>
        <v>1000000</v>
      </c>
      <c r="M767" s="8">
        <f t="shared" si="116"/>
        <v>1.5565439999999999</v>
      </c>
      <c r="N767" t="str">
        <f t="shared" si="117"/>
        <v>150-200%</v>
      </c>
      <c r="O767" s="9">
        <f>MIN($H767,$I767)*INDEX('2018_commission_structure'!$A$1:$I$4,MATCH($E767,'2018_commission_structure'!$A$1:$A$4,0),MATCH(O$1,'2018_commission_structure'!$A$1:$I$1,0))</f>
        <v>50000</v>
      </c>
      <c r="P767" s="9">
        <f>IF(H767&gt;I767, MIN(H767-I767, J767-I767)*INDEX('2018_commission_structure'!$A$1:$I$4,MATCH($E767,'2018_commission_structure'!$A$1:$A$4,0),MATCH(P$1,'2018_commission_structure'!$A$1:$I$1,0)),0)</f>
        <v>18750</v>
      </c>
      <c r="Q767" s="9">
        <f>IF($H767&gt;J767, MIN($H767-J767, K767-J767)*INDEX('2018_commission_structure'!$A$1:$I$4,MATCH($E767,'2018_commission_structure'!$A$1:$A$4,0),MATCH(Q$1,'2018_commission_structure'!$A$1:$I$1,0)),0)</f>
        <v>22500</v>
      </c>
      <c r="R767" s="9">
        <f>IF($H767&gt;K767, MIN($H767-K767, L767-K767)*INDEX('2018_commission_structure'!$A$1:$I$4,MATCH($E767,'2018_commission_structure'!$A$1:$A$4,0),MATCH(R$1,'2018_commission_structure'!$A$1:$I$1,0)),0)</f>
        <v>6219.84</v>
      </c>
      <c r="S767" s="9">
        <f>IF(H767&gt;L767,(H767-L767)*INDEX('2018_commission_structure'!$A$1:$I$4,MATCH($E767,'2018_commission_structure'!$A$1:$A$4,0),MATCH(S$1,'2018_commission_structure'!$A$1:$I$1,0)),0)</f>
        <v>0</v>
      </c>
      <c r="T767" s="9">
        <f t="shared" si="118"/>
        <v>97469.84</v>
      </c>
      <c r="U767" s="9">
        <f t="shared" si="120"/>
        <v>134087.84</v>
      </c>
      <c r="V767" s="9">
        <f>MIN($I767,$H767)*INDEX('Key Metrics'!$E$16:$N$19,MATCH($E767,'Key Metrics'!$E$16:$E$19,0),MATCH(V$1,'Key Metrics'!$E$16:$M$16,0))</f>
        <v>60000</v>
      </c>
      <c r="W767" s="9">
        <f>IF($H767&gt;I767, MIN($H767-I767, J767-I767)*INDEX('Key Metrics'!$E$16:$N$19,MATCH($E767,'Key Metrics'!$E$16:$E$19,0),MATCH(W$1,'Key Metrics'!$E$16:$M$16,0)),0)</f>
        <v>21250</v>
      </c>
      <c r="X767" s="9">
        <f>IF($H767&gt;J767, MIN($H767-J767, K767-J767)*INDEX('Key Metrics'!$E$16:$N$19,MATCH($E767,'Key Metrics'!$E$16:$E$19,0),MATCH(X$1,'Key Metrics'!$E$16:$M$16,0)),0)</f>
        <v>25000</v>
      </c>
      <c r="Y767" s="9">
        <f>IF($H767&gt;K767, MIN($H767-K767, L767-K767)*INDEX('Key Metrics'!$E$16:$N$19,MATCH($E767,'Key Metrics'!$E$16:$E$19,0),MATCH(Y$1,'Key Metrics'!$E$16:$M$16,0)),0)</f>
        <v>6219.84</v>
      </c>
      <c r="Z767" s="9">
        <f>IF($H767&gt;L767,($H767-L767)*INDEX('Key Metrics'!$E$16:$N$19,MATCH($E767,'Key Metrics'!$E$16:$E$19,0),MATCH(Z$1,'Key Metrics'!$E$16:$M$16,0)),0)</f>
        <v>0</v>
      </c>
      <c r="AA767" s="9">
        <f t="shared" si="119"/>
        <v>112469.84</v>
      </c>
      <c r="AB767" s="9">
        <f t="shared" si="121"/>
        <v>112471.396544</v>
      </c>
    </row>
    <row r="768" spans="1:28" x14ac:dyDescent="0.55000000000000004">
      <c r="A768" t="str">
        <f t="shared" si="112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COUNTIF(deals_closed!$D$2:$D$20001,Calculations!B950)</f>
        <v>22</v>
      </c>
      <c r="H768" s="7">
        <f>SUMIF(deals_closed!$D:$D,Calculations!B950,deals_closed!$C:$C)</f>
        <v>895634</v>
      </c>
      <c r="I768" s="5">
        <f>VLOOKUP(E768,'2018_commission_structure'!$A$1:$I$4,9,FALSE)</f>
        <v>600000</v>
      </c>
      <c r="J768" s="9">
        <f t="shared" si="113"/>
        <v>750000</v>
      </c>
      <c r="K768" s="10">
        <f t="shared" si="114"/>
        <v>900000</v>
      </c>
      <c r="L768" s="9">
        <f t="shared" si="115"/>
        <v>1200000</v>
      </c>
      <c r="M768" s="8">
        <f t="shared" si="116"/>
        <v>1.4927233333333334</v>
      </c>
      <c r="N768" t="str">
        <f t="shared" si="117"/>
        <v>125-150%</v>
      </c>
      <c r="O768" s="9">
        <f>MIN($H768,$I768)*INDEX('2018_commission_structure'!$A$1:$I$4,MATCH($E768,'2018_commission_structure'!$A$1:$A$4,0),MATCH(O$1,'2018_commission_structure'!$A$1:$I$1,0))</f>
        <v>78000</v>
      </c>
      <c r="P768" s="9">
        <f>IF(H768&gt;I768, MIN(H768-I768, J768-I768)*INDEX('2018_commission_structure'!$A$1:$I$4,MATCH($E768,'2018_commission_structure'!$A$1:$A$4,0),MATCH(P$1,'2018_commission_structure'!$A$1:$I$1,0)),0)</f>
        <v>25500.000000000004</v>
      </c>
      <c r="Q768" s="9">
        <f>IF($H768&gt;J768, MIN($H768-J768, K768-J768)*INDEX('2018_commission_structure'!$A$1:$I$4,MATCH($E768,'2018_commission_structure'!$A$1:$A$4,0),MATCH(Q$1,'2018_commission_structure'!$A$1:$I$1,0)),0)</f>
        <v>30583.14</v>
      </c>
      <c r="R768" s="9">
        <f>IF($H768&gt;K768, MIN($H768-K768, L768-K768)*INDEX('2018_commission_structure'!$A$1:$I$4,MATCH($E768,'2018_commission_structure'!$A$1:$A$4,0),MATCH(R$1,'2018_commission_structure'!$A$1:$I$1,0)),0)</f>
        <v>0</v>
      </c>
      <c r="S768" s="9">
        <f>IF(H768&gt;L768,(H768-L768)*INDEX('2018_commission_structure'!$A$1:$I$4,MATCH($E768,'2018_commission_structure'!$A$1:$A$4,0),MATCH(S$1,'2018_commission_structure'!$A$1:$I$1,0)),0)</f>
        <v>0</v>
      </c>
      <c r="T768" s="9">
        <f t="shared" si="118"/>
        <v>134083.14000000001</v>
      </c>
      <c r="U768" s="9">
        <f t="shared" si="120"/>
        <v>207045.14</v>
      </c>
      <c r="V768" s="9">
        <f>MIN($I768,$H768)*INDEX('Key Metrics'!$E$16:$N$19,MATCH($E768,'Key Metrics'!$E$16:$E$19,0),MATCH(V$1,'Key Metrics'!$E$16:$M$16,0))</f>
        <v>90000</v>
      </c>
      <c r="W768" s="9">
        <f>IF($H768&gt;I768, MIN($H768-I768, J768-I768)*INDEX('Key Metrics'!$E$16:$N$19,MATCH($E768,'Key Metrics'!$E$16:$E$19,0),MATCH(W$1,'Key Metrics'!$E$16:$M$16,0)),0)</f>
        <v>27000</v>
      </c>
      <c r="X768" s="9">
        <f>IF($H768&gt;J768, MIN($H768-J768, K768-J768)*INDEX('Key Metrics'!$E$16:$N$19,MATCH($E768,'Key Metrics'!$E$16:$E$19,0),MATCH(X$1,'Key Metrics'!$E$16:$M$16,0)),0)</f>
        <v>36408.5</v>
      </c>
      <c r="Y768" s="9">
        <f>IF($H768&gt;K768, MIN($H768-K768, L768-K768)*INDEX('Key Metrics'!$E$16:$N$19,MATCH($E768,'Key Metrics'!$E$16:$E$19,0),MATCH(Y$1,'Key Metrics'!$E$16:$M$16,0)),0)</f>
        <v>0</v>
      </c>
      <c r="Z768" s="9">
        <f>IF($H768&gt;L768,($H768-L768)*INDEX('Key Metrics'!$E$16:$N$19,MATCH($E768,'Key Metrics'!$E$16:$E$19,0),MATCH(Z$1,'Key Metrics'!$E$16:$M$16,0)),0)</f>
        <v>0</v>
      </c>
      <c r="AA768" s="9">
        <f t="shared" si="119"/>
        <v>153408.5</v>
      </c>
      <c r="AB768" s="9">
        <f t="shared" si="121"/>
        <v>153409.99272333333</v>
      </c>
    </row>
    <row r="769" spans="1:28" x14ac:dyDescent="0.55000000000000004">
      <c r="A769" t="str">
        <f t="shared" si="112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COUNTIF(deals_closed!$D$2:$D$20001,Calculations!B971)</f>
        <v>16</v>
      </c>
      <c r="H769" s="7">
        <f>SUMIF(deals_closed!$D:$D,Calculations!B971,deals_closed!$C:$C)</f>
        <v>542971</v>
      </c>
      <c r="I769" s="5">
        <f>VLOOKUP(E769,'2018_commission_structure'!$A$1:$I$4,9,FALSE)</f>
        <v>500000</v>
      </c>
      <c r="J769" s="9">
        <f t="shared" si="113"/>
        <v>625000</v>
      </c>
      <c r="K769" s="10">
        <f t="shared" si="114"/>
        <v>750000</v>
      </c>
      <c r="L769" s="9">
        <f t="shared" si="115"/>
        <v>1000000</v>
      </c>
      <c r="M769" s="8">
        <f t="shared" si="116"/>
        <v>1.085942</v>
      </c>
      <c r="N769" t="str">
        <f t="shared" si="117"/>
        <v>100-125%</v>
      </c>
      <c r="O769" s="9">
        <f>MIN($H769,$I769)*INDEX('2018_commission_structure'!$A$1:$I$4,MATCH($E769,'2018_commission_structure'!$A$1:$A$4,0),MATCH(O$1,'2018_commission_structure'!$A$1:$I$1,0))</f>
        <v>50000</v>
      </c>
      <c r="P769" s="9">
        <f>IF(H769&gt;I769, MIN(H769-I769, J769-I769)*INDEX('2018_commission_structure'!$A$1:$I$4,MATCH($E769,'2018_commission_structure'!$A$1:$A$4,0),MATCH(P$1,'2018_commission_structure'!$A$1:$I$1,0)),0)</f>
        <v>6445.65</v>
      </c>
      <c r="Q769" s="9">
        <f>IF($H769&gt;J769, MIN($H769-J769, K769-J769)*INDEX('2018_commission_structure'!$A$1:$I$4,MATCH($E769,'2018_commission_structure'!$A$1:$A$4,0),MATCH(Q$1,'2018_commission_structure'!$A$1:$I$1,0)),0)</f>
        <v>0</v>
      </c>
      <c r="R769" s="9">
        <f>IF($H769&gt;K769, MIN($H769-K769, L769-K769)*INDEX('2018_commission_structure'!$A$1:$I$4,MATCH($E769,'2018_commission_structure'!$A$1:$A$4,0),MATCH(R$1,'2018_commission_structure'!$A$1:$I$1,0)),0)</f>
        <v>0</v>
      </c>
      <c r="S769" s="9">
        <f>IF(H769&gt;L769,(H769-L769)*INDEX('2018_commission_structure'!$A$1:$I$4,MATCH($E769,'2018_commission_structure'!$A$1:$A$4,0),MATCH(S$1,'2018_commission_structure'!$A$1:$I$1,0)),0)</f>
        <v>0</v>
      </c>
      <c r="T769" s="9">
        <f t="shared" si="118"/>
        <v>56445.65</v>
      </c>
      <c r="U769" s="9">
        <f t="shared" si="120"/>
        <v>114096.65</v>
      </c>
      <c r="V769" s="9">
        <f>MIN($I769,$H769)*INDEX('Key Metrics'!$E$16:$N$19,MATCH($E769,'Key Metrics'!$E$16:$E$19,0),MATCH(V$1,'Key Metrics'!$E$16:$M$16,0))</f>
        <v>60000</v>
      </c>
      <c r="W769" s="9">
        <f>IF($H769&gt;I769, MIN($H769-I769, J769-I769)*INDEX('Key Metrics'!$E$16:$N$19,MATCH($E769,'Key Metrics'!$E$16:$E$19,0),MATCH(W$1,'Key Metrics'!$E$16:$M$16,0)),0)</f>
        <v>7305.0700000000006</v>
      </c>
      <c r="X769" s="9">
        <f>IF($H769&gt;J769, MIN($H769-J769, K769-J769)*INDEX('Key Metrics'!$E$16:$N$19,MATCH($E769,'Key Metrics'!$E$16:$E$19,0),MATCH(X$1,'Key Metrics'!$E$16:$M$16,0)),0)</f>
        <v>0</v>
      </c>
      <c r="Y769" s="9">
        <f>IF($H769&gt;K769, MIN($H769-K769, L769-K769)*INDEX('Key Metrics'!$E$16:$N$19,MATCH($E769,'Key Metrics'!$E$16:$E$19,0),MATCH(Y$1,'Key Metrics'!$E$16:$M$16,0)),0)</f>
        <v>0</v>
      </c>
      <c r="Z769" s="9">
        <f>IF($H769&gt;L769,($H769-L769)*INDEX('Key Metrics'!$E$16:$N$19,MATCH($E769,'Key Metrics'!$E$16:$E$19,0),MATCH(Z$1,'Key Metrics'!$E$16:$M$16,0)),0)</f>
        <v>0</v>
      </c>
      <c r="AA769" s="9">
        <f t="shared" si="119"/>
        <v>67305.070000000007</v>
      </c>
      <c r="AB769" s="9">
        <f t="shared" si="121"/>
        <v>67306.155942000012</v>
      </c>
    </row>
    <row r="770" spans="1:28" x14ac:dyDescent="0.55000000000000004">
      <c r="A770" t="str">
        <f t="shared" ref="A770:A833" si="122">CONCATENATE(C770," ",D770)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COUNTIF(deals_closed!$D$2:$D$20001,Calculations!B788)</f>
        <v>20</v>
      </c>
      <c r="H770" s="7">
        <f>SUMIF(deals_closed!$D:$D,Calculations!B788,deals_closed!$C:$C)</f>
        <v>691612</v>
      </c>
      <c r="I770" s="5">
        <f>VLOOKUP(E770,'2018_commission_structure'!$A$1:$I$4,9,FALSE)</f>
        <v>750000</v>
      </c>
      <c r="J770" s="9">
        <f t="shared" ref="J770:J833" si="123">I770*1.25</f>
        <v>937500</v>
      </c>
      <c r="K770" s="10">
        <f t="shared" ref="K770:K833" si="124">I770*1.5</f>
        <v>1125000</v>
      </c>
      <c r="L770" s="9">
        <f t="shared" ref="L770:L833" si="125">I770*2</f>
        <v>1500000</v>
      </c>
      <c r="M770" s="8">
        <f t="shared" ref="M770:M833" si="126">H770/I770</f>
        <v>0.92214933333333338</v>
      </c>
      <c r="N770" t="str">
        <f t="shared" ref="N770:N833" si="127">IF(M770&lt;=100%,"0-100%",IF(M770&lt;=125%,"100-125%",IF(M770&lt;=150%,"125-150%",IF(M770&lt;=200%,"150-200%","&gt;200%"))))</f>
        <v>0-100%</v>
      </c>
      <c r="O770" s="9">
        <f>MIN($H770,$I770)*INDEX('2018_commission_structure'!$A$1:$I$4,MATCH($E770,'2018_commission_structure'!$A$1:$A$4,0),MATCH(O$1,'2018_commission_structure'!$A$1:$I$1,0))</f>
        <v>103741.8</v>
      </c>
      <c r="P770" s="9">
        <f>IF(H770&gt;I770, MIN(H770-I770, J770-I770)*INDEX('2018_commission_structure'!$A$1:$I$4,MATCH($E770,'2018_commission_structure'!$A$1:$A$4,0),MATCH(P$1,'2018_commission_structure'!$A$1:$I$1,0)),0)</f>
        <v>0</v>
      </c>
      <c r="Q770" s="9">
        <f>IF($H770&gt;J770, MIN($H770-J770, K770-J770)*INDEX('2018_commission_structure'!$A$1:$I$4,MATCH($E770,'2018_commission_structure'!$A$1:$A$4,0),MATCH(Q$1,'2018_commission_structure'!$A$1:$I$1,0)),0)</f>
        <v>0</v>
      </c>
      <c r="R770" s="9">
        <f>IF($H770&gt;K770, MIN($H770-K770, L770-K770)*INDEX('2018_commission_structure'!$A$1:$I$4,MATCH($E770,'2018_commission_structure'!$A$1:$A$4,0),MATCH(R$1,'2018_commission_structure'!$A$1:$I$1,0)),0)</f>
        <v>0</v>
      </c>
      <c r="S770" s="9">
        <f>IF(H770&gt;L770,(H770-L770)*INDEX('2018_commission_structure'!$A$1:$I$4,MATCH($E770,'2018_commission_structure'!$A$1:$A$4,0),MATCH(S$1,'2018_commission_structure'!$A$1:$I$1,0)),0)</f>
        <v>0</v>
      </c>
      <c r="T770" s="9">
        <f t="shared" ref="T770:T833" si="128">SUM(O770:S770)</f>
        <v>103741.8</v>
      </c>
      <c r="U770" s="9">
        <f t="shared" si="120"/>
        <v>199114.8</v>
      </c>
      <c r="V770" s="9">
        <f>MIN($I770,$H770)*INDEX('Key Metrics'!$E$16:$N$19,MATCH($E770,'Key Metrics'!$E$16:$E$19,0),MATCH(V$1,'Key Metrics'!$E$16:$M$16,0))</f>
        <v>103741.8</v>
      </c>
      <c r="W770" s="9">
        <f>IF($H770&gt;I770, MIN($H770-I770, J770-I770)*INDEX('Key Metrics'!$E$16:$N$19,MATCH($E770,'Key Metrics'!$E$16:$E$19,0),MATCH(W$1,'Key Metrics'!$E$16:$M$16,0)),0)</f>
        <v>0</v>
      </c>
      <c r="X770" s="9">
        <f>IF($H770&gt;J770, MIN($H770-J770, K770-J770)*INDEX('Key Metrics'!$E$16:$N$19,MATCH($E770,'Key Metrics'!$E$16:$E$19,0),MATCH(X$1,'Key Metrics'!$E$16:$M$16,0)),0)</f>
        <v>0</v>
      </c>
      <c r="Y770" s="9">
        <f>IF($H770&gt;K770, MIN($H770-K770, L770-K770)*INDEX('Key Metrics'!$E$16:$N$19,MATCH($E770,'Key Metrics'!$E$16:$E$19,0),MATCH(Y$1,'Key Metrics'!$E$16:$M$16,0)),0)</f>
        <v>0</v>
      </c>
      <c r="Z770" s="9">
        <f>IF($H770&gt;L770,($H770-L770)*INDEX('Key Metrics'!$E$16:$N$19,MATCH($E770,'Key Metrics'!$E$16:$E$19,0),MATCH(Z$1,'Key Metrics'!$E$16:$M$16,0)),0)</f>
        <v>0</v>
      </c>
      <c r="AA770" s="9">
        <f t="shared" ref="AA770:AA833" si="129">SUM(V770:Z770)</f>
        <v>103741.8</v>
      </c>
      <c r="AB770" s="9">
        <f t="shared" si="121"/>
        <v>103742.72214933333</v>
      </c>
    </row>
    <row r="771" spans="1:28" x14ac:dyDescent="0.55000000000000004">
      <c r="A771" t="str">
        <f t="shared" si="122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COUNTIF(deals_closed!$D$2:$D$20001,Calculations!B183)</f>
        <v>16</v>
      </c>
      <c r="H771" s="7">
        <f>SUMIF(deals_closed!$D:$D,Calculations!B183,deals_closed!$C:$C)</f>
        <v>526014</v>
      </c>
      <c r="I771" s="5">
        <f>VLOOKUP(E771,'2018_commission_structure'!$A$1:$I$4,9,FALSE)</f>
        <v>600000</v>
      </c>
      <c r="J771" s="9">
        <f t="shared" si="123"/>
        <v>750000</v>
      </c>
      <c r="K771" s="10">
        <f t="shared" si="124"/>
        <v>900000</v>
      </c>
      <c r="L771" s="9">
        <f t="shared" si="125"/>
        <v>1200000</v>
      </c>
      <c r="M771" s="8">
        <f t="shared" si="126"/>
        <v>0.87668999999999997</v>
      </c>
      <c r="N771" t="str">
        <f t="shared" si="127"/>
        <v>0-100%</v>
      </c>
      <c r="O771" s="9">
        <f>MIN($H771,$I771)*INDEX('2018_commission_structure'!$A$1:$I$4,MATCH($E771,'2018_commission_structure'!$A$1:$A$4,0),MATCH(O$1,'2018_commission_structure'!$A$1:$I$1,0))</f>
        <v>68381.820000000007</v>
      </c>
      <c r="P771" s="9">
        <f>IF(H771&gt;I771, MIN(H771-I771, J771-I771)*INDEX('2018_commission_structure'!$A$1:$I$4,MATCH($E771,'2018_commission_structure'!$A$1:$A$4,0),MATCH(P$1,'2018_commission_structure'!$A$1:$I$1,0)),0)</f>
        <v>0</v>
      </c>
      <c r="Q771" s="9">
        <f>IF($H771&gt;J771, MIN($H771-J771, K771-J771)*INDEX('2018_commission_structure'!$A$1:$I$4,MATCH($E771,'2018_commission_structure'!$A$1:$A$4,0),MATCH(Q$1,'2018_commission_structure'!$A$1:$I$1,0)),0)</f>
        <v>0</v>
      </c>
      <c r="R771" s="9">
        <f>IF($H771&gt;K771, MIN($H771-K771, L771-K771)*INDEX('2018_commission_structure'!$A$1:$I$4,MATCH($E771,'2018_commission_structure'!$A$1:$A$4,0),MATCH(R$1,'2018_commission_structure'!$A$1:$I$1,0)),0)</f>
        <v>0</v>
      </c>
      <c r="S771" s="9">
        <f>IF(H771&gt;L771,(H771-L771)*INDEX('2018_commission_structure'!$A$1:$I$4,MATCH($E771,'2018_commission_structure'!$A$1:$A$4,0),MATCH(S$1,'2018_commission_structure'!$A$1:$I$1,0)),0)</f>
        <v>0</v>
      </c>
      <c r="T771" s="9">
        <f t="shared" si="128"/>
        <v>68381.820000000007</v>
      </c>
      <c r="U771" s="9">
        <f t="shared" si="120"/>
        <v>119080.82</v>
      </c>
      <c r="V771" s="9">
        <f>MIN($I771,$H771)*INDEX('Key Metrics'!$E$16:$N$19,MATCH($E771,'Key Metrics'!$E$16:$E$19,0),MATCH(V$1,'Key Metrics'!$E$16:$M$16,0))</f>
        <v>78902.099999999991</v>
      </c>
      <c r="W771" s="9">
        <f>IF($H771&gt;I771, MIN($H771-I771, J771-I771)*INDEX('Key Metrics'!$E$16:$N$19,MATCH($E771,'Key Metrics'!$E$16:$E$19,0),MATCH(W$1,'Key Metrics'!$E$16:$M$16,0)),0)</f>
        <v>0</v>
      </c>
      <c r="X771" s="9">
        <f>IF($H771&gt;J771, MIN($H771-J771, K771-J771)*INDEX('Key Metrics'!$E$16:$N$19,MATCH($E771,'Key Metrics'!$E$16:$E$19,0),MATCH(X$1,'Key Metrics'!$E$16:$M$16,0)),0)</f>
        <v>0</v>
      </c>
      <c r="Y771" s="9">
        <f>IF($H771&gt;K771, MIN($H771-K771, L771-K771)*INDEX('Key Metrics'!$E$16:$N$19,MATCH($E771,'Key Metrics'!$E$16:$E$19,0),MATCH(Y$1,'Key Metrics'!$E$16:$M$16,0)),0)</f>
        <v>0</v>
      </c>
      <c r="Z771" s="9">
        <f>IF($H771&gt;L771,($H771-L771)*INDEX('Key Metrics'!$E$16:$N$19,MATCH($E771,'Key Metrics'!$E$16:$E$19,0),MATCH(Z$1,'Key Metrics'!$E$16:$M$16,0)),0)</f>
        <v>0</v>
      </c>
      <c r="AA771" s="9">
        <f t="shared" si="129"/>
        <v>78902.099999999991</v>
      </c>
      <c r="AB771" s="9">
        <f t="shared" si="121"/>
        <v>78902.976689999996</v>
      </c>
    </row>
    <row r="772" spans="1:28" x14ac:dyDescent="0.55000000000000004">
      <c r="A772" t="str">
        <f t="shared" si="122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COUNTIF(deals_closed!$D$2:$D$20001,Calculations!B853)</f>
        <v>16</v>
      </c>
      <c r="H772" s="7">
        <f>SUMIF(deals_closed!$D:$D,Calculations!B853,deals_closed!$C:$C)</f>
        <v>550598</v>
      </c>
      <c r="I772" s="5">
        <f>VLOOKUP(E772,'2018_commission_structure'!$A$1:$I$4,9,FALSE)</f>
        <v>500000</v>
      </c>
      <c r="J772" s="9">
        <f t="shared" si="123"/>
        <v>625000</v>
      </c>
      <c r="K772" s="10">
        <f t="shared" si="124"/>
        <v>750000</v>
      </c>
      <c r="L772" s="9">
        <f t="shared" si="125"/>
        <v>1000000</v>
      </c>
      <c r="M772" s="8">
        <f t="shared" si="126"/>
        <v>1.1011960000000001</v>
      </c>
      <c r="N772" t="str">
        <f t="shared" si="127"/>
        <v>100-125%</v>
      </c>
      <c r="O772" s="9">
        <f>MIN($H772,$I772)*INDEX('2018_commission_structure'!$A$1:$I$4,MATCH($E772,'2018_commission_structure'!$A$1:$A$4,0),MATCH(O$1,'2018_commission_structure'!$A$1:$I$1,0))</f>
        <v>50000</v>
      </c>
      <c r="P772" s="9">
        <f>IF(H772&gt;I772, MIN(H772-I772, J772-I772)*INDEX('2018_commission_structure'!$A$1:$I$4,MATCH($E772,'2018_commission_structure'!$A$1:$A$4,0),MATCH(P$1,'2018_commission_structure'!$A$1:$I$1,0)),0)</f>
        <v>7589.7</v>
      </c>
      <c r="Q772" s="9">
        <f>IF($H772&gt;J772, MIN($H772-J772, K772-J772)*INDEX('2018_commission_structure'!$A$1:$I$4,MATCH($E772,'2018_commission_structure'!$A$1:$A$4,0),MATCH(Q$1,'2018_commission_structure'!$A$1:$I$1,0)),0)</f>
        <v>0</v>
      </c>
      <c r="R772" s="9">
        <f>IF($H772&gt;K772, MIN($H772-K772, L772-K772)*INDEX('2018_commission_structure'!$A$1:$I$4,MATCH($E772,'2018_commission_structure'!$A$1:$A$4,0),MATCH(R$1,'2018_commission_structure'!$A$1:$I$1,0)),0)</f>
        <v>0</v>
      </c>
      <c r="S772" s="9">
        <f>IF(H772&gt;L772,(H772-L772)*INDEX('2018_commission_structure'!$A$1:$I$4,MATCH($E772,'2018_commission_structure'!$A$1:$A$4,0),MATCH(S$1,'2018_commission_structure'!$A$1:$I$1,0)),0)</f>
        <v>0</v>
      </c>
      <c r="T772" s="9">
        <f t="shared" si="128"/>
        <v>57589.7</v>
      </c>
      <c r="U772" s="9">
        <f t="shared" si="120"/>
        <v>94813.7</v>
      </c>
      <c r="V772" s="9">
        <f>MIN($I772,$H772)*INDEX('Key Metrics'!$E$16:$N$19,MATCH($E772,'Key Metrics'!$E$16:$E$19,0),MATCH(V$1,'Key Metrics'!$E$16:$M$16,0))</f>
        <v>60000</v>
      </c>
      <c r="W772" s="9">
        <f>IF($H772&gt;I772, MIN($H772-I772, J772-I772)*INDEX('Key Metrics'!$E$16:$N$19,MATCH($E772,'Key Metrics'!$E$16:$E$19,0),MATCH(W$1,'Key Metrics'!$E$16:$M$16,0)),0)</f>
        <v>8601.66</v>
      </c>
      <c r="X772" s="9">
        <f>IF($H772&gt;J772, MIN($H772-J772, K772-J772)*INDEX('Key Metrics'!$E$16:$N$19,MATCH($E772,'Key Metrics'!$E$16:$E$19,0),MATCH(X$1,'Key Metrics'!$E$16:$M$16,0)),0)</f>
        <v>0</v>
      </c>
      <c r="Y772" s="9">
        <f>IF($H772&gt;K772, MIN($H772-K772, L772-K772)*INDEX('Key Metrics'!$E$16:$N$19,MATCH($E772,'Key Metrics'!$E$16:$E$19,0),MATCH(Y$1,'Key Metrics'!$E$16:$M$16,0)),0)</f>
        <v>0</v>
      </c>
      <c r="Z772" s="9">
        <f>IF($H772&gt;L772,($H772-L772)*INDEX('Key Metrics'!$E$16:$N$19,MATCH($E772,'Key Metrics'!$E$16:$E$19,0),MATCH(Z$1,'Key Metrics'!$E$16:$M$16,0)),0)</f>
        <v>0</v>
      </c>
      <c r="AA772" s="9">
        <f t="shared" si="129"/>
        <v>68601.66</v>
      </c>
      <c r="AB772" s="9">
        <f t="shared" si="121"/>
        <v>68602.761196000007</v>
      </c>
    </row>
    <row r="773" spans="1:28" x14ac:dyDescent="0.55000000000000004">
      <c r="A773" t="str">
        <f t="shared" si="122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COUNTIF(deals_closed!$D$2:$D$20001,Calculations!B685)</f>
        <v>22</v>
      </c>
      <c r="H773" s="7">
        <f>SUMIF(deals_closed!$D:$D,Calculations!B685,deals_closed!$C:$C)</f>
        <v>860163</v>
      </c>
      <c r="I773" s="5">
        <f>VLOOKUP(E773,'2018_commission_structure'!$A$1:$I$4,9,FALSE)</f>
        <v>500000</v>
      </c>
      <c r="J773" s="9">
        <f t="shared" si="123"/>
        <v>625000</v>
      </c>
      <c r="K773" s="10">
        <f t="shared" si="124"/>
        <v>750000</v>
      </c>
      <c r="L773" s="9">
        <f t="shared" si="125"/>
        <v>1000000</v>
      </c>
      <c r="M773" s="8">
        <f t="shared" si="126"/>
        <v>1.720326</v>
      </c>
      <c r="N773" t="str">
        <f t="shared" si="127"/>
        <v>150-200%</v>
      </c>
      <c r="O773" s="9">
        <f>MIN($H773,$I773)*INDEX('2018_commission_structure'!$A$1:$I$4,MATCH($E773,'2018_commission_structure'!$A$1:$A$4,0),MATCH(O$1,'2018_commission_structure'!$A$1:$I$1,0))</f>
        <v>50000</v>
      </c>
      <c r="P773" s="9">
        <f>IF(H773&gt;I773, MIN(H773-I773, J773-I773)*INDEX('2018_commission_structure'!$A$1:$I$4,MATCH($E773,'2018_commission_structure'!$A$1:$A$4,0),MATCH(P$1,'2018_commission_structure'!$A$1:$I$1,0)),0)</f>
        <v>18750</v>
      </c>
      <c r="Q773" s="9">
        <f>IF($H773&gt;J773, MIN($H773-J773, K773-J773)*INDEX('2018_commission_structure'!$A$1:$I$4,MATCH($E773,'2018_commission_structure'!$A$1:$A$4,0),MATCH(Q$1,'2018_commission_structure'!$A$1:$I$1,0)),0)</f>
        <v>22500</v>
      </c>
      <c r="R773" s="9">
        <f>IF($H773&gt;K773, MIN($H773-K773, L773-K773)*INDEX('2018_commission_structure'!$A$1:$I$4,MATCH($E773,'2018_commission_structure'!$A$1:$A$4,0),MATCH(R$1,'2018_commission_structure'!$A$1:$I$1,0)),0)</f>
        <v>24235.86</v>
      </c>
      <c r="S773" s="9">
        <f>IF(H773&gt;L773,(H773-L773)*INDEX('2018_commission_structure'!$A$1:$I$4,MATCH($E773,'2018_commission_structure'!$A$1:$A$4,0),MATCH(S$1,'2018_commission_structure'!$A$1:$I$1,0)),0)</f>
        <v>0</v>
      </c>
      <c r="T773" s="9">
        <f t="shared" si="128"/>
        <v>115485.86</v>
      </c>
      <c r="U773" s="9">
        <f t="shared" si="120"/>
        <v>168365.86</v>
      </c>
      <c r="V773" s="9">
        <f>MIN($I773,$H773)*INDEX('Key Metrics'!$E$16:$N$19,MATCH($E773,'Key Metrics'!$E$16:$E$19,0),MATCH(V$1,'Key Metrics'!$E$16:$M$16,0))</f>
        <v>60000</v>
      </c>
      <c r="W773" s="9">
        <f>IF($H773&gt;I773, MIN($H773-I773, J773-I773)*INDEX('Key Metrics'!$E$16:$N$19,MATCH($E773,'Key Metrics'!$E$16:$E$19,0),MATCH(W$1,'Key Metrics'!$E$16:$M$16,0)),0)</f>
        <v>21250</v>
      </c>
      <c r="X773" s="9">
        <f>IF($H773&gt;J773, MIN($H773-J773, K773-J773)*INDEX('Key Metrics'!$E$16:$N$19,MATCH($E773,'Key Metrics'!$E$16:$E$19,0),MATCH(X$1,'Key Metrics'!$E$16:$M$16,0)),0)</f>
        <v>25000</v>
      </c>
      <c r="Y773" s="9">
        <f>IF($H773&gt;K773, MIN($H773-K773, L773-K773)*INDEX('Key Metrics'!$E$16:$N$19,MATCH($E773,'Key Metrics'!$E$16:$E$19,0),MATCH(Y$1,'Key Metrics'!$E$16:$M$16,0)),0)</f>
        <v>24235.86</v>
      </c>
      <c r="Z773" s="9">
        <f>IF($H773&gt;L773,($H773-L773)*INDEX('Key Metrics'!$E$16:$N$19,MATCH($E773,'Key Metrics'!$E$16:$E$19,0),MATCH(Z$1,'Key Metrics'!$E$16:$M$16,0)),0)</f>
        <v>0</v>
      </c>
      <c r="AA773" s="9">
        <f t="shared" si="129"/>
        <v>130485.86</v>
      </c>
      <c r="AB773" s="9">
        <f t="shared" si="121"/>
        <v>130487.580326</v>
      </c>
    </row>
    <row r="774" spans="1:28" x14ac:dyDescent="0.55000000000000004">
      <c r="A774" t="str">
        <f t="shared" si="122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COUNTIF(deals_closed!$D$2:$D$20001,Calculations!B467)</f>
        <v>9</v>
      </c>
      <c r="H774" s="7">
        <f>SUMIF(deals_closed!$D:$D,Calculations!B467,deals_closed!$C:$C)</f>
        <v>229221</v>
      </c>
      <c r="I774" s="5">
        <f>VLOOKUP(E774,'2018_commission_structure'!$A$1:$I$4,9,FALSE)</f>
        <v>500000</v>
      </c>
      <c r="J774" s="9">
        <f t="shared" si="123"/>
        <v>625000</v>
      </c>
      <c r="K774" s="10">
        <f t="shared" si="124"/>
        <v>750000</v>
      </c>
      <c r="L774" s="9">
        <f t="shared" si="125"/>
        <v>1000000</v>
      </c>
      <c r="M774" s="8">
        <f t="shared" si="126"/>
        <v>0.45844200000000002</v>
      </c>
      <c r="N774" t="str">
        <f t="shared" si="127"/>
        <v>0-100%</v>
      </c>
      <c r="O774" s="9">
        <f>MIN($H774,$I774)*INDEX('2018_commission_structure'!$A$1:$I$4,MATCH($E774,'2018_commission_structure'!$A$1:$A$4,0),MATCH(O$1,'2018_commission_structure'!$A$1:$I$1,0))</f>
        <v>22922.100000000002</v>
      </c>
      <c r="P774" s="9">
        <f>IF(H774&gt;I774, MIN(H774-I774, J774-I774)*INDEX('2018_commission_structure'!$A$1:$I$4,MATCH($E774,'2018_commission_structure'!$A$1:$A$4,0),MATCH(P$1,'2018_commission_structure'!$A$1:$I$1,0)),0)</f>
        <v>0</v>
      </c>
      <c r="Q774" s="9">
        <f>IF($H774&gt;J774, MIN($H774-J774, K774-J774)*INDEX('2018_commission_structure'!$A$1:$I$4,MATCH($E774,'2018_commission_structure'!$A$1:$A$4,0),MATCH(Q$1,'2018_commission_structure'!$A$1:$I$1,0)),0)</f>
        <v>0</v>
      </c>
      <c r="R774" s="9">
        <f>IF($H774&gt;K774, MIN($H774-K774, L774-K774)*INDEX('2018_commission_structure'!$A$1:$I$4,MATCH($E774,'2018_commission_structure'!$A$1:$A$4,0),MATCH(R$1,'2018_commission_structure'!$A$1:$I$1,0)),0)</f>
        <v>0</v>
      </c>
      <c r="S774" s="9">
        <f>IF(H774&gt;L774,(H774-L774)*INDEX('2018_commission_structure'!$A$1:$I$4,MATCH($E774,'2018_commission_structure'!$A$1:$A$4,0),MATCH(S$1,'2018_commission_structure'!$A$1:$I$1,0)),0)</f>
        <v>0</v>
      </c>
      <c r="T774" s="9">
        <f t="shared" si="128"/>
        <v>22922.100000000002</v>
      </c>
      <c r="U774" s="9">
        <f t="shared" si="120"/>
        <v>80588.100000000006</v>
      </c>
      <c r="V774" s="9">
        <f>MIN($I774,$H774)*INDEX('Key Metrics'!$E$16:$N$19,MATCH($E774,'Key Metrics'!$E$16:$E$19,0),MATCH(V$1,'Key Metrics'!$E$16:$M$16,0))</f>
        <v>27506.52</v>
      </c>
      <c r="W774" s="9">
        <f>IF($H774&gt;I774, MIN($H774-I774, J774-I774)*INDEX('Key Metrics'!$E$16:$N$19,MATCH($E774,'Key Metrics'!$E$16:$E$19,0),MATCH(W$1,'Key Metrics'!$E$16:$M$16,0)),0)</f>
        <v>0</v>
      </c>
      <c r="X774" s="9">
        <f>IF($H774&gt;J774, MIN($H774-J774, K774-J774)*INDEX('Key Metrics'!$E$16:$N$19,MATCH($E774,'Key Metrics'!$E$16:$E$19,0),MATCH(X$1,'Key Metrics'!$E$16:$M$16,0)),0)</f>
        <v>0</v>
      </c>
      <c r="Y774" s="9">
        <f>IF($H774&gt;K774, MIN($H774-K774, L774-K774)*INDEX('Key Metrics'!$E$16:$N$19,MATCH($E774,'Key Metrics'!$E$16:$E$19,0),MATCH(Y$1,'Key Metrics'!$E$16:$M$16,0)),0)</f>
        <v>0</v>
      </c>
      <c r="Z774" s="9">
        <f>IF($H774&gt;L774,($H774-L774)*INDEX('Key Metrics'!$E$16:$N$19,MATCH($E774,'Key Metrics'!$E$16:$E$19,0),MATCH(Z$1,'Key Metrics'!$E$16:$M$16,0)),0)</f>
        <v>0</v>
      </c>
      <c r="AA774" s="9">
        <f t="shared" si="129"/>
        <v>27506.52</v>
      </c>
      <c r="AB774" s="9">
        <f t="shared" si="121"/>
        <v>27506.978442</v>
      </c>
    </row>
    <row r="775" spans="1:28" x14ac:dyDescent="0.55000000000000004">
      <c r="A775" t="str">
        <f t="shared" si="122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COUNTIF(deals_closed!$D$2:$D$20001,Calculations!B835)</f>
        <v>28</v>
      </c>
      <c r="H775" s="7">
        <f>SUMIF(deals_closed!$D:$D,Calculations!B835,deals_closed!$C:$C)</f>
        <v>907833</v>
      </c>
      <c r="I775" s="5">
        <f>VLOOKUP(E775,'2018_commission_structure'!$A$1:$I$4,9,FALSE)</f>
        <v>750000</v>
      </c>
      <c r="J775" s="9">
        <f t="shared" si="123"/>
        <v>937500</v>
      </c>
      <c r="K775" s="10">
        <f t="shared" si="124"/>
        <v>1125000</v>
      </c>
      <c r="L775" s="9">
        <f t="shared" si="125"/>
        <v>1500000</v>
      </c>
      <c r="M775" s="8">
        <f t="shared" si="126"/>
        <v>1.2104440000000001</v>
      </c>
      <c r="N775" t="str">
        <f t="shared" si="127"/>
        <v>100-125%</v>
      </c>
      <c r="O775" s="9">
        <f>MIN($H775,$I775)*INDEX('2018_commission_structure'!$A$1:$I$4,MATCH($E775,'2018_commission_structure'!$A$1:$A$4,0),MATCH(O$1,'2018_commission_structure'!$A$1:$I$1,0))</f>
        <v>112500</v>
      </c>
      <c r="P775" s="9">
        <f>IF(H775&gt;I775, MIN(H775-I775, J775-I775)*INDEX('2018_commission_structure'!$A$1:$I$4,MATCH($E775,'2018_commission_structure'!$A$1:$A$4,0),MATCH(P$1,'2018_commission_structure'!$A$1:$I$1,0)),0)</f>
        <v>29988.27</v>
      </c>
      <c r="Q775" s="9">
        <f>IF($H775&gt;J775, MIN($H775-J775, K775-J775)*INDEX('2018_commission_structure'!$A$1:$I$4,MATCH($E775,'2018_commission_structure'!$A$1:$A$4,0),MATCH(Q$1,'2018_commission_structure'!$A$1:$I$1,0)),0)</f>
        <v>0</v>
      </c>
      <c r="R775" s="9">
        <f>IF($H775&gt;K775, MIN($H775-K775, L775-K775)*INDEX('2018_commission_structure'!$A$1:$I$4,MATCH($E775,'2018_commission_structure'!$A$1:$A$4,0),MATCH(R$1,'2018_commission_structure'!$A$1:$I$1,0)),0)</f>
        <v>0</v>
      </c>
      <c r="S775" s="9">
        <f>IF(H775&gt;L775,(H775-L775)*INDEX('2018_commission_structure'!$A$1:$I$4,MATCH($E775,'2018_commission_structure'!$A$1:$A$4,0),MATCH(S$1,'2018_commission_structure'!$A$1:$I$1,0)),0)</f>
        <v>0</v>
      </c>
      <c r="T775" s="9">
        <f t="shared" si="128"/>
        <v>142488.26999999999</v>
      </c>
      <c r="U775" s="9">
        <f t="shared" si="120"/>
        <v>235079.27</v>
      </c>
      <c r="V775" s="9">
        <f>MIN($I775,$H775)*INDEX('Key Metrics'!$E$16:$N$19,MATCH($E775,'Key Metrics'!$E$16:$E$19,0),MATCH(V$1,'Key Metrics'!$E$16:$M$16,0))</f>
        <v>112500</v>
      </c>
      <c r="W775" s="9">
        <f>IF($H775&gt;I775, MIN($H775-I775, J775-I775)*INDEX('Key Metrics'!$E$16:$N$19,MATCH($E775,'Key Metrics'!$E$16:$E$19,0),MATCH(W$1,'Key Metrics'!$E$16:$M$16,0)),0)</f>
        <v>34723.26</v>
      </c>
      <c r="X775" s="9">
        <f>IF($H775&gt;J775, MIN($H775-J775, K775-J775)*INDEX('Key Metrics'!$E$16:$N$19,MATCH($E775,'Key Metrics'!$E$16:$E$19,0),MATCH(X$1,'Key Metrics'!$E$16:$M$16,0)),0)</f>
        <v>0</v>
      </c>
      <c r="Y775" s="9">
        <f>IF($H775&gt;K775, MIN($H775-K775, L775-K775)*INDEX('Key Metrics'!$E$16:$N$19,MATCH($E775,'Key Metrics'!$E$16:$E$19,0),MATCH(Y$1,'Key Metrics'!$E$16:$M$16,0)),0)</f>
        <v>0</v>
      </c>
      <c r="Z775" s="9">
        <f>IF($H775&gt;L775,($H775-L775)*INDEX('Key Metrics'!$E$16:$N$19,MATCH($E775,'Key Metrics'!$E$16:$E$19,0),MATCH(Z$1,'Key Metrics'!$E$16:$M$16,0)),0)</f>
        <v>0</v>
      </c>
      <c r="AA775" s="9">
        <f t="shared" si="129"/>
        <v>147223.26</v>
      </c>
      <c r="AB775" s="9">
        <f t="shared" si="121"/>
        <v>147224.47044400001</v>
      </c>
    </row>
    <row r="776" spans="1:28" x14ac:dyDescent="0.55000000000000004">
      <c r="A776" t="str">
        <f t="shared" si="122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COUNTIF(deals_closed!$D$2:$D$20001,Calculations!B307)</f>
        <v>22</v>
      </c>
      <c r="H776" s="7">
        <f>SUMIF(deals_closed!$D:$D,Calculations!B307,deals_closed!$C:$C)</f>
        <v>716671</v>
      </c>
      <c r="I776" s="5">
        <f>VLOOKUP(E776,'2018_commission_structure'!$A$1:$I$4,9,FALSE)</f>
        <v>750000</v>
      </c>
      <c r="J776" s="9">
        <f t="shared" si="123"/>
        <v>937500</v>
      </c>
      <c r="K776" s="10">
        <f t="shared" si="124"/>
        <v>1125000</v>
      </c>
      <c r="L776" s="9">
        <f t="shared" si="125"/>
        <v>1500000</v>
      </c>
      <c r="M776" s="8">
        <f t="shared" si="126"/>
        <v>0.95556133333333337</v>
      </c>
      <c r="N776" t="str">
        <f t="shared" si="127"/>
        <v>0-100%</v>
      </c>
      <c r="O776" s="9">
        <f>MIN($H776,$I776)*INDEX('2018_commission_structure'!$A$1:$I$4,MATCH($E776,'2018_commission_structure'!$A$1:$A$4,0),MATCH(O$1,'2018_commission_structure'!$A$1:$I$1,0))</f>
        <v>107500.65</v>
      </c>
      <c r="P776" s="9">
        <f>IF(H776&gt;I776, MIN(H776-I776, J776-I776)*INDEX('2018_commission_structure'!$A$1:$I$4,MATCH($E776,'2018_commission_structure'!$A$1:$A$4,0),MATCH(P$1,'2018_commission_structure'!$A$1:$I$1,0)),0)</f>
        <v>0</v>
      </c>
      <c r="Q776" s="9">
        <f>IF($H776&gt;J776, MIN($H776-J776, K776-J776)*INDEX('2018_commission_structure'!$A$1:$I$4,MATCH($E776,'2018_commission_structure'!$A$1:$A$4,0),MATCH(Q$1,'2018_commission_structure'!$A$1:$I$1,0)),0)</f>
        <v>0</v>
      </c>
      <c r="R776" s="9">
        <f>IF($H776&gt;K776, MIN($H776-K776, L776-K776)*INDEX('2018_commission_structure'!$A$1:$I$4,MATCH($E776,'2018_commission_structure'!$A$1:$A$4,0),MATCH(R$1,'2018_commission_structure'!$A$1:$I$1,0)),0)</f>
        <v>0</v>
      </c>
      <c r="S776" s="9">
        <f>IF(H776&gt;L776,(H776-L776)*INDEX('2018_commission_structure'!$A$1:$I$4,MATCH($E776,'2018_commission_structure'!$A$1:$A$4,0),MATCH(S$1,'2018_commission_structure'!$A$1:$I$1,0)),0)</f>
        <v>0</v>
      </c>
      <c r="T776" s="9">
        <f t="shared" si="128"/>
        <v>107500.65</v>
      </c>
      <c r="U776" s="9">
        <f t="shared" si="120"/>
        <v>228808.65</v>
      </c>
      <c r="V776" s="9">
        <f>MIN($I776,$H776)*INDEX('Key Metrics'!$E$16:$N$19,MATCH($E776,'Key Metrics'!$E$16:$E$19,0),MATCH(V$1,'Key Metrics'!$E$16:$M$16,0))</f>
        <v>107500.65</v>
      </c>
      <c r="W776" s="9">
        <f>IF($H776&gt;I776, MIN($H776-I776, J776-I776)*INDEX('Key Metrics'!$E$16:$N$19,MATCH($E776,'Key Metrics'!$E$16:$E$19,0),MATCH(W$1,'Key Metrics'!$E$16:$M$16,0)),0)</f>
        <v>0</v>
      </c>
      <c r="X776" s="9">
        <f>IF($H776&gt;J776, MIN($H776-J776, K776-J776)*INDEX('Key Metrics'!$E$16:$N$19,MATCH($E776,'Key Metrics'!$E$16:$E$19,0),MATCH(X$1,'Key Metrics'!$E$16:$M$16,0)),0)</f>
        <v>0</v>
      </c>
      <c r="Y776" s="9">
        <f>IF($H776&gt;K776, MIN($H776-K776, L776-K776)*INDEX('Key Metrics'!$E$16:$N$19,MATCH($E776,'Key Metrics'!$E$16:$E$19,0),MATCH(Y$1,'Key Metrics'!$E$16:$M$16,0)),0)</f>
        <v>0</v>
      </c>
      <c r="Z776" s="9">
        <f>IF($H776&gt;L776,($H776-L776)*INDEX('Key Metrics'!$E$16:$N$19,MATCH($E776,'Key Metrics'!$E$16:$E$19,0),MATCH(Z$1,'Key Metrics'!$E$16:$M$16,0)),0)</f>
        <v>0</v>
      </c>
      <c r="AA776" s="9">
        <f t="shared" si="129"/>
        <v>107500.65</v>
      </c>
      <c r="AB776" s="9">
        <f t="shared" si="121"/>
        <v>107501.60556133333</v>
      </c>
    </row>
    <row r="777" spans="1:28" x14ac:dyDescent="0.55000000000000004">
      <c r="A777" t="str">
        <f t="shared" si="122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COUNTIF(deals_closed!$D$2:$D$20001,Calculations!B716)</f>
        <v>13</v>
      </c>
      <c r="H777" s="7">
        <f>SUMIF(deals_closed!$D:$D,Calculations!B716,deals_closed!$C:$C)</f>
        <v>543827</v>
      </c>
      <c r="I777" s="5">
        <f>VLOOKUP(E777,'2018_commission_structure'!$A$1:$I$4,9,FALSE)</f>
        <v>500000</v>
      </c>
      <c r="J777" s="9">
        <f t="shared" si="123"/>
        <v>625000</v>
      </c>
      <c r="K777" s="10">
        <f t="shared" si="124"/>
        <v>750000</v>
      </c>
      <c r="L777" s="9">
        <f t="shared" si="125"/>
        <v>1000000</v>
      </c>
      <c r="M777" s="8">
        <f t="shared" si="126"/>
        <v>1.0876539999999999</v>
      </c>
      <c r="N777" t="str">
        <f t="shared" si="127"/>
        <v>100-125%</v>
      </c>
      <c r="O777" s="9">
        <f>MIN($H777,$I777)*INDEX('2018_commission_structure'!$A$1:$I$4,MATCH($E777,'2018_commission_structure'!$A$1:$A$4,0),MATCH(O$1,'2018_commission_structure'!$A$1:$I$1,0))</f>
        <v>50000</v>
      </c>
      <c r="P777" s="9">
        <f>IF(H777&gt;I777, MIN(H777-I777, J777-I777)*INDEX('2018_commission_structure'!$A$1:$I$4,MATCH($E777,'2018_commission_structure'!$A$1:$A$4,0),MATCH(P$1,'2018_commission_structure'!$A$1:$I$1,0)),0)</f>
        <v>6574.05</v>
      </c>
      <c r="Q777" s="9">
        <f>IF($H777&gt;J777, MIN($H777-J777, K777-J777)*INDEX('2018_commission_structure'!$A$1:$I$4,MATCH($E777,'2018_commission_structure'!$A$1:$A$4,0),MATCH(Q$1,'2018_commission_structure'!$A$1:$I$1,0)),0)</f>
        <v>0</v>
      </c>
      <c r="R777" s="9">
        <f>IF($H777&gt;K777, MIN($H777-K777, L777-K777)*INDEX('2018_commission_structure'!$A$1:$I$4,MATCH($E777,'2018_commission_structure'!$A$1:$A$4,0),MATCH(R$1,'2018_commission_structure'!$A$1:$I$1,0)),0)</f>
        <v>0</v>
      </c>
      <c r="S777" s="9">
        <f>IF(H777&gt;L777,(H777-L777)*INDEX('2018_commission_structure'!$A$1:$I$4,MATCH($E777,'2018_commission_structure'!$A$1:$A$4,0),MATCH(S$1,'2018_commission_structure'!$A$1:$I$1,0)),0)</f>
        <v>0</v>
      </c>
      <c r="T777" s="9">
        <f t="shared" si="128"/>
        <v>56574.05</v>
      </c>
      <c r="U777" s="9">
        <f t="shared" si="120"/>
        <v>115657.05</v>
      </c>
      <c r="V777" s="9">
        <f>MIN($I777,$H777)*INDEX('Key Metrics'!$E$16:$N$19,MATCH($E777,'Key Metrics'!$E$16:$E$19,0),MATCH(V$1,'Key Metrics'!$E$16:$M$16,0))</f>
        <v>60000</v>
      </c>
      <c r="W777" s="9">
        <f>IF($H777&gt;I777, MIN($H777-I777, J777-I777)*INDEX('Key Metrics'!$E$16:$N$19,MATCH($E777,'Key Metrics'!$E$16:$E$19,0),MATCH(W$1,'Key Metrics'!$E$16:$M$16,0)),0)</f>
        <v>7450.59</v>
      </c>
      <c r="X777" s="9">
        <f>IF($H777&gt;J777, MIN($H777-J777, K777-J777)*INDEX('Key Metrics'!$E$16:$N$19,MATCH($E777,'Key Metrics'!$E$16:$E$19,0),MATCH(X$1,'Key Metrics'!$E$16:$M$16,0)),0)</f>
        <v>0</v>
      </c>
      <c r="Y777" s="9">
        <f>IF($H777&gt;K777, MIN($H777-K777, L777-K777)*INDEX('Key Metrics'!$E$16:$N$19,MATCH($E777,'Key Metrics'!$E$16:$E$19,0),MATCH(Y$1,'Key Metrics'!$E$16:$M$16,0)),0)</f>
        <v>0</v>
      </c>
      <c r="Z777" s="9">
        <f>IF($H777&gt;L777,($H777-L777)*INDEX('Key Metrics'!$E$16:$N$19,MATCH($E777,'Key Metrics'!$E$16:$E$19,0),MATCH(Z$1,'Key Metrics'!$E$16:$M$16,0)),0)</f>
        <v>0</v>
      </c>
      <c r="AA777" s="9">
        <f t="shared" si="129"/>
        <v>67450.59</v>
      </c>
      <c r="AB777" s="9">
        <f t="shared" si="121"/>
        <v>67451.677653999999</v>
      </c>
    </row>
    <row r="778" spans="1:28" x14ac:dyDescent="0.55000000000000004">
      <c r="A778" t="str">
        <f t="shared" si="122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COUNTIF(deals_closed!$D$2:$D$20001,Calculations!B397)</f>
        <v>23</v>
      </c>
      <c r="H778" s="7">
        <f>SUMIF(deals_closed!$D:$D,Calculations!B397,deals_closed!$C:$C)</f>
        <v>662269</v>
      </c>
      <c r="I778" s="5">
        <f>VLOOKUP(E778,'2018_commission_structure'!$A$1:$I$4,9,FALSE)</f>
        <v>500000</v>
      </c>
      <c r="J778" s="9">
        <f t="shared" si="123"/>
        <v>625000</v>
      </c>
      <c r="K778" s="10">
        <f t="shared" si="124"/>
        <v>750000</v>
      </c>
      <c r="L778" s="9">
        <f t="shared" si="125"/>
        <v>1000000</v>
      </c>
      <c r="M778" s="8">
        <f t="shared" si="126"/>
        <v>1.324538</v>
      </c>
      <c r="N778" t="str">
        <f t="shared" si="127"/>
        <v>125-150%</v>
      </c>
      <c r="O778" s="9">
        <f>MIN($H778,$I778)*INDEX('2018_commission_structure'!$A$1:$I$4,MATCH($E778,'2018_commission_structure'!$A$1:$A$4,0),MATCH(O$1,'2018_commission_structure'!$A$1:$I$1,0))</f>
        <v>50000</v>
      </c>
      <c r="P778" s="9">
        <f>IF(H778&gt;I778, MIN(H778-I778, J778-I778)*INDEX('2018_commission_structure'!$A$1:$I$4,MATCH($E778,'2018_commission_structure'!$A$1:$A$4,0),MATCH(P$1,'2018_commission_structure'!$A$1:$I$1,0)),0)</f>
        <v>18750</v>
      </c>
      <c r="Q778" s="9">
        <f>IF($H778&gt;J778, MIN($H778-J778, K778-J778)*INDEX('2018_commission_structure'!$A$1:$I$4,MATCH($E778,'2018_commission_structure'!$A$1:$A$4,0),MATCH(Q$1,'2018_commission_structure'!$A$1:$I$1,0)),0)</f>
        <v>6708.42</v>
      </c>
      <c r="R778" s="9">
        <f>IF($H778&gt;K778, MIN($H778-K778, L778-K778)*INDEX('2018_commission_structure'!$A$1:$I$4,MATCH($E778,'2018_commission_structure'!$A$1:$A$4,0),MATCH(R$1,'2018_commission_structure'!$A$1:$I$1,0)),0)</f>
        <v>0</v>
      </c>
      <c r="S778" s="9">
        <f>IF(H778&gt;L778,(H778-L778)*INDEX('2018_commission_structure'!$A$1:$I$4,MATCH($E778,'2018_commission_structure'!$A$1:$A$4,0),MATCH(S$1,'2018_commission_structure'!$A$1:$I$1,0)),0)</f>
        <v>0</v>
      </c>
      <c r="T778" s="9">
        <f t="shared" si="128"/>
        <v>75458.42</v>
      </c>
      <c r="U778" s="9">
        <f t="shared" si="120"/>
        <v>124963.42</v>
      </c>
      <c r="V778" s="9">
        <f>MIN($I778,$H778)*INDEX('Key Metrics'!$E$16:$N$19,MATCH($E778,'Key Metrics'!$E$16:$E$19,0),MATCH(V$1,'Key Metrics'!$E$16:$M$16,0))</f>
        <v>60000</v>
      </c>
      <c r="W778" s="9">
        <f>IF($H778&gt;I778, MIN($H778-I778, J778-I778)*INDEX('Key Metrics'!$E$16:$N$19,MATCH($E778,'Key Metrics'!$E$16:$E$19,0),MATCH(W$1,'Key Metrics'!$E$16:$M$16,0)),0)</f>
        <v>21250</v>
      </c>
      <c r="X778" s="9">
        <f>IF($H778&gt;J778, MIN($H778-J778, K778-J778)*INDEX('Key Metrics'!$E$16:$N$19,MATCH($E778,'Key Metrics'!$E$16:$E$19,0),MATCH(X$1,'Key Metrics'!$E$16:$M$16,0)),0)</f>
        <v>7453.8</v>
      </c>
      <c r="Y778" s="9">
        <f>IF($H778&gt;K778, MIN($H778-K778, L778-K778)*INDEX('Key Metrics'!$E$16:$N$19,MATCH($E778,'Key Metrics'!$E$16:$E$19,0),MATCH(Y$1,'Key Metrics'!$E$16:$M$16,0)),0)</f>
        <v>0</v>
      </c>
      <c r="Z778" s="9">
        <f>IF($H778&gt;L778,($H778-L778)*INDEX('Key Metrics'!$E$16:$N$19,MATCH($E778,'Key Metrics'!$E$16:$E$19,0),MATCH(Z$1,'Key Metrics'!$E$16:$M$16,0)),0)</f>
        <v>0</v>
      </c>
      <c r="AA778" s="9">
        <f t="shared" si="129"/>
        <v>88703.8</v>
      </c>
      <c r="AB778" s="9">
        <f t="shared" si="121"/>
        <v>88705.124538000004</v>
      </c>
    </row>
    <row r="779" spans="1:28" x14ac:dyDescent="0.55000000000000004">
      <c r="A779" t="str">
        <f t="shared" si="122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COUNTIF(deals_closed!$D$2:$D$20001,Calculations!B83)</f>
        <v>15</v>
      </c>
      <c r="H779" s="7">
        <f>SUMIF(deals_closed!$D:$D,Calculations!B83,deals_closed!$C:$C)</f>
        <v>534301</v>
      </c>
      <c r="I779" s="5">
        <f>VLOOKUP(E779,'2018_commission_structure'!$A$1:$I$4,9,FALSE)</f>
        <v>750000</v>
      </c>
      <c r="J779" s="9">
        <f t="shared" si="123"/>
        <v>937500</v>
      </c>
      <c r="K779" s="10">
        <f t="shared" si="124"/>
        <v>1125000</v>
      </c>
      <c r="L779" s="9">
        <f t="shared" si="125"/>
        <v>1500000</v>
      </c>
      <c r="M779" s="8">
        <f t="shared" si="126"/>
        <v>0.71240133333333333</v>
      </c>
      <c r="N779" t="str">
        <f t="shared" si="127"/>
        <v>0-100%</v>
      </c>
      <c r="O779" s="9">
        <f>MIN($H779,$I779)*INDEX('2018_commission_structure'!$A$1:$I$4,MATCH($E779,'2018_commission_structure'!$A$1:$A$4,0),MATCH(O$1,'2018_commission_structure'!$A$1:$I$1,0))</f>
        <v>80145.149999999994</v>
      </c>
      <c r="P779" s="9">
        <f>IF(H779&gt;I779, MIN(H779-I779, J779-I779)*INDEX('2018_commission_structure'!$A$1:$I$4,MATCH($E779,'2018_commission_structure'!$A$1:$A$4,0),MATCH(P$1,'2018_commission_structure'!$A$1:$I$1,0)),0)</f>
        <v>0</v>
      </c>
      <c r="Q779" s="9">
        <f>IF($H779&gt;J779, MIN($H779-J779, K779-J779)*INDEX('2018_commission_structure'!$A$1:$I$4,MATCH($E779,'2018_commission_structure'!$A$1:$A$4,0),MATCH(Q$1,'2018_commission_structure'!$A$1:$I$1,0)),0)</f>
        <v>0</v>
      </c>
      <c r="R779" s="9">
        <f>IF($H779&gt;K779, MIN($H779-K779, L779-K779)*INDEX('2018_commission_structure'!$A$1:$I$4,MATCH($E779,'2018_commission_structure'!$A$1:$A$4,0),MATCH(R$1,'2018_commission_structure'!$A$1:$I$1,0)),0)</f>
        <v>0</v>
      </c>
      <c r="S779" s="9">
        <f>IF(H779&gt;L779,(H779-L779)*INDEX('2018_commission_structure'!$A$1:$I$4,MATCH($E779,'2018_commission_structure'!$A$1:$A$4,0),MATCH(S$1,'2018_commission_structure'!$A$1:$I$1,0)),0)</f>
        <v>0</v>
      </c>
      <c r="T779" s="9">
        <f t="shared" si="128"/>
        <v>80145.149999999994</v>
      </c>
      <c r="U779" s="9">
        <f t="shared" si="120"/>
        <v>170775.15</v>
      </c>
      <c r="V779" s="9">
        <f>MIN($I779,$H779)*INDEX('Key Metrics'!$E$16:$N$19,MATCH($E779,'Key Metrics'!$E$16:$E$19,0),MATCH(V$1,'Key Metrics'!$E$16:$M$16,0))</f>
        <v>80145.149999999994</v>
      </c>
      <c r="W779" s="9">
        <f>IF($H779&gt;I779, MIN($H779-I779, J779-I779)*INDEX('Key Metrics'!$E$16:$N$19,MATCH($E779,'Key Metrics'!$E$16:$E$19,0),MATCH(W$1,'Key Metrics'!$E$16:$M$16,0)),0)</f>
        <v>0</v>
      </c>
      <c r="X779" s="9">
        <f>IF($H779&gt;J779, MIN($H779-J779, K779-J779)*INDEX('Key Metrics'!$E$16:$N$19,MATCH($E779,'Key Metrics'!$E$16:$E$19,0),MATCH(X$1,'Key Metrics'!$E$16:$M$16,0)),0)</f>
        <v>0</v>
      </c>
      <c r="Y779" s="9">
        <f>IF($H779&gt;K779, MIN($H779-K779, L779-K779)*INDEX('Key Metrics'!$E$16:$N$19,MATCH($E779,'Key Metrics'!$E$16:$E$19,0),MATCH(Y$1,'Key Metrics'!$E$16:$M$16,0)),0)</f>
        <v>0</v>
      </c>
      <c r="Z779" s="9">
        <f>IF($H779&gt;L779,($H779-L779)*INDEX('Key Metrics'!$E$16:$N$19,MATCH($E779,'Key Metrics'!$E$16:$E$19,0),MATCH(Z$1,'Key Metrics'!$E$16:$M$16,0)),0)</f>
        <v>0</v>
      </c>
      <c r="AA779" s="9">
        <f t="shared" si="129"/>
        <v>80145.149999999994</v>
      </c>
      <c r="AB779" s="9">
        <f t="shared" si="121"/>
        <v>80145.862401333332</v>
      </c>
    </row>
    <row r="780" spans="1:28" x14ac:dyDescent="0.55000000000000004">
      <c r="A780" t="str">
        <f t="shared" si="122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COUNTIF(deals_closed!$D$2:$D$20001,Calculations!B376)</f>
        <v>14</v>
      </c>
      <c r="H780" s="7">
        <f>SUMIF(deals_closed!$D:$D,Calculations!B376,deals_closed!$C:$C)</f>
        <v>551513</v>
      </c>
      <c r="I780" s="5">
        <f>VLOOKUP(E780,'2018_commission_structure'!$A$1:$I$4,9,FALSE)</f>
        <v>750000</v>
      </c>
      <c r="J780" s="9">
        <f t="shared" si="123"/>
        <v>937500</v>
      </c>
      <c r="K780" s="10">
        <f t="shared" si="124"/>
        <v>1125000</v>
      </c>
      <c r="L780" s="9">
        <f t="shared" si="125"/>
        <v>1500000</v>
      </c>
      <c r="M780" s="8">
        <f t="shared" si="126"/>
        <v>0.73535066666666671</v>
      </c>
      <c r="N780" t="str">
        <f t="shared" si="127"/>
        <v>0-100%</v>
      </c>
      <c r="O780" s="9">
        <f>MIN($H780,$I780)*INDEX('2018_commission_structure'!$A$1:$I$4,MATCH($E780,'2018_commission_structure'!$A$1:$A$4,0),MATCH(O$1,'2018_commission_structure'!$A$1:$I$1,0))</f>
        <v>82726.95</v>
      </c>
      <c r="P780" s="9">
        <f>IF(H780&gt;I780, MIN(H780-I780, J780-I780)*INDEX('2018_commission_structure'!$A$1:$I$4,MATCH($E780,'2018_commission_structure'!$A$1:$A$4,0),MATCH(P$1,'2018_commission_structure'!$A$1:$I$1,0)),0)</f>
        <v>0</v>
      </c>
      <c r="Q780" s="9">
        <f>IF($H780&gt;J780, MIN($H780-J780, K780-J780)*INDEX('2018_commission_structure'!$A$1:$I$4,MATCH($E780,'2018_commission_structure'!$A$1:$A$4,0),MATCH(Q$1,'2018_commission_structure'!$A$1:$I$1,0)),0)</f>
        <v>0</v>
      </c>
      <c r="R780" s="9">
        <f>IF($H780&gt;K780, MIN($H780-K780, L780-K780)*INDEX('2018_commission_structure'!$A$1:$I$4,MATCH($E780,'2018_commission_structure'!$A$1:$A$4,0),MATCH(R$1,'2018_commission_structure'!$A$1:$I$1,0)),0)</f>
        <v>0</v>
      </c>
      <c r="S780" s="9">
        <f>IF(H780&gt;L780,(H780-L780)*INDEX('2018_commission_structure'!$A$1:$I$4,MATCH($E780,'2018_commission_structure'!$A$1:$A$4,0),MATCH(S$1,'2018_commission_structure'!$A$1:$I$1,0)),0)</f>
        <v>0</v>
      </c>
      <c r="T780" s="9">
        <f t="shared" si="128"/>
        <v>82726.95</v>
      </c>
      <c r="U780" s="9">
        <f t="shared" si="120"/>
        <v>158320.95000000001</v>
      </c>
      <c r="V780" s="9">
        <f>MIN($I780,$H780)*INDEX('Key Metrics'!$E$16:$N$19,MATCH($E780,'Key Metrics'!$E$16:$E$19,0),MATCH(V$1,'Key Metrics'!$E$16:$M$16,0))</f>
        <v>82726.95</v>
      </c>
      <c r="W780" s="9">
        <f>IF($H780&gt;I780, MIN($H780-I780, J780-I780)*INDEX('Key Metrics'!$E$16:$N$19,MATCH($E780,'Key Metrics'!$E$16:$E$19,0),MATCH(W$1,'Key Metrics'!$E$16:$M$16,0)),0)</f>
        <v>0</v>
      </c>
      <c r="X780" s="9">
        <f>IF($H780&gt;J780, MIN($H780-J780, K780-J780)*INDEX('Key Metrics'!$E$16:$N$19,MATCH($E780,'Key Metrics'!$E$16:$E$19,0),MATCH(X$1,'Key Metrics'!$E$16:$M$16,0)),0)</f>
        <v>0</v>
      </c>
      <c r="Y780" s="9">
        <f>IF($H780&gt;K780, MIN($H780-K780, L780-K780)*INDEX('Key Metrics'!$E$16:$N$19,MATCH($E780,'Key Metrics'!$E$16:$E$19,0),MATCH(Y$1,'Key Metrics'!$E$16:$M$16,0)),0)</f>
        <v>0</v>
      </c>
      <c r="Z780" s="9">
        <f>IF($H780&gt;L780,($H780-L780)*INDEX('Key Metrics'!$E$16:$N$19,MATCH($E780,'Key Metrics'!$E$16:$E$19,0),MATCH(Z$1,'Key Metrics'!$E$16:$M$16,0)),0)</f>
        <v>0</v>
      </c>
      <c r="AA780" s="9">
        <f t="shared" si="129"/>
        <v>82726.95</v>
      </c>
      <c r="AB780" s="9">
        <f t="shared" si="121"/>
        <v>82727.685350666667</v>
      </c>
    </row>
    <row r="781" spans="1:28" x14ac:dyDescent="0.55000000000000004">
      <c r="A781" t="str">
        <f t="shared" si="122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COUNTIF(deals_closed!$D$2:$D$20001,Calculations!B784)</f>
        <v>23</v>
      </c>
      <c r="H781" s="7">
        <f>SUMIF(deals_closed!$D:$D,Calculations!B784,deals_closed!$C:$C)</f>
        <v>857724</v>
      </c>
      <c r="I781" s="5">
        <f>VLOOKUP(E781,'2018_commission_structure'!$A$1:$I$4,9,FALSE)</f>
        <v>600000</v>
      </c>
      <c r="J781" s="9">
        <f t="shared" si="123"/>
        <v>750000</v>
      </c>
      <c r="K781" s="10">
        <f t="shared" si="124"/>
        <v>900000</v>
      </c>
      <c r="L781" s="9">
        <f t="shared" si="125"/>
        <v>1200000</v>
      </c>
      <c r="M781" s="8">
        <f t="shared" si="126"/>
        <v>1.42954</v>
      </c>
      <c r="N781" t="str">
        <f t="shared" si="127"/>
        <v>125-150%</v>
      </c>
      <c r="O781" s="9">
        <f>MIN($H781,$I781)*INDEX('2018_commission_structure'!$A$1:$I$4,MATCH($E781,'2018_commission_structure'!$A$1:$A$4,0),MATCH(O$1,'2018_commission_structure'!$A$1:$I$1,0))</f>
        <v>78000</v>
      </c>
      <c r="P781" s="9">
        <f>IF(H781&gt;I781, MIN(H781-I781, J781-I781)*INDEX('2018_commission_structure'!$A$1:$I$4,MATCH($E781,'2018_commission_structure'!$A$1:$A$4,0),MATCH(P$1,'2018_commission_structure'!$A$1:$I$1,0)),0)</f>
        <v>25500.000000000004</v>
      </c>
      <c r="Q781" s="9">
        <f>IF($H781&gt;J781, MIN($H781-J781, K781-J781)*INDEX('2018_commission_structure'!$A$1:$I$4,MATCH($E781,'2018_commission_structure'!$A$1:$A$4,0),MATCH(Q$1,'2018_commission_structure'!$A$1:$I$1,0)),0)</f>
        <v>22622.04</v>
      </c>
      <c r="R781" s="9">
        <f>IF($H781&gt;K781, MIN($H781-K781, L781-K781)*INDEX('2018_commission_structure'!$A$1:$I$4,MATCH($E781,'2018_commission_structure'!$A$1:$A$4,0),MATCH(R$1,'2018_commission_structure'!$A$1:$I$1,0)),0)</f>
        <v>0</v>
      </c>
      <c r="S781" s="9">
        <f>IF(H781&gt;L781,(H781-L781)*INDEX('2018_commission_structure'!$A$1:$I$4,MATCH($E781,'2018_commission_structure'!$A$1:$A$4,0),MATCH(S$1,'2018_commission_structure'!$A$1:$I$1,0)),0)</f>
        <v>0</v>
      </c>
      <c r="T781" s="9">
        <f t="shared" si="128"/>
        <v>126122.04000000001</v>
      </c>
      <c r="U781" s="9">
        <f t="shared" si="120"/>
        <v>186959.04</v>
      </c>
      <c r="V781" s="9">
        <f>MIN($I781,$H781)*INDEX('Key Metrics'!$E$16:$N$19,MATCH($E781,'Key Metrics'!$E$16:$E$19,0),MATCH(V$1,'Key Metrics'!$E$16:$M$16,0))</f>
        <v>90000</v>
      </c>
      <c r="W781" s="9">
        <f>IF($H781&gt;I781, MIN($H781-I781, J781-I781)*INDEX('Key Metrics'!$E$16:$N$19,MATCH($E781,'Key Metrics'!$E$16:$E$19,0),MATCH(W$1,'Key Metrics'!$E$16:$M$16,0)),0)</f>
        <v>27000</v>
      </c>
      <c r="X781" s="9">
        <f>IF($H781&gt;J781, MIN($H781-J781, K781-J781)*INDEX('Key Metrics'!$E$16:$N$19,MATCH($E781,'Key Metrics'!$E$16:$E$19,0),MATCH(X$1,'Key Metrics'!$E$16:$M$16,0)),0)</f>
        <v>26931</v>
      </c>
      <c r="Y781" s="9">
        <f>IF($H781&gt;K781, MIN($H781-K781, L781-K781)*INDEX('Key Metrics'!$E$16:$N$19,MATCH($E781,'Key Metrics'!$E$16:$E$19,0),MATCH(Y$1,'Key Metrics'!$E$16:$M$16,0)),0)</f>
        <v>0</v>
      </c>
      <c r="Z781" s="9">
        <f>IF($H781&gt;L781,($H781-L781)*INDEX('Key Metrics'!$E$16:$N$19,MATCH($E781,'Key Metrics'!$E$16:$E$19,0),MATCH(Z$1,'Key Metrics'!$E$16:$M$16,0)),0)</f>
        <v>0</v>
      </c>
      <c r="AA781" s="9">
        <f t="shared" si="129"/>
        <v>143931</v>
      </c>
      <c r="AB781" s="9">
        <f t="shared" si="121"/>
        <v>143932.42954000001</v>
      </c>
    </row>
    <row r="782" spans="1:28" x14ac:dyDescent="0.55000000000000004">
      <c r="A782" t="str">
        <f t="shared" si="122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COUNTIF(deals_closed!$D$2:$D$20001,Calculations!B461)</f>
        <v>15</v>
      </c>
      <c r="H782" s="7">
        <f>SUMIF(deals_closed!$D:$D,Calculations!B461,deals_closed!$C:$C)</f>
        <v>505122</v>
      </c>
      <c r="I782" s="5">
        <f>VLOOKUP(E782,'2018_commission_structure'!$A$1:$I$4,9,FALSE)</f>
        <v>750000</v>
      </c>
      <c r="J782" s="9">
        <f t="shared" si="123"/>
        <v>937500</v>
      </c>
      <c r="K782" s="10">
        <f t="shared" si="124"/>
        <v>1125000</v>
      </c>
      <c r="L782" s="9">
        <f t="shared" si="125"/>
        <v>1500000</v>
      </c>
      <c r="M782" s="8">
        <f t="shared" si="126"/>
        <v>0.67349599999999998</v>
      </c>
      <c r="N782" t="str">
        <f t="shared" si="127"/>
        <v>0-100%</v>
      </c>
      <c r="O782" s="9">
        <f>MIN($H782,$I782)*INDEX('2018_commission_structure'!$A$1:$I$4,MATCH($E782,'2018_commission_structure'!$A$1:$A$4,0),MATCH(O$1,'2018_commission_structure'!$A$1:$I$1,0))</f>
        <v>75768.3</v>
      </c>
      <c r="P782" s="9">
        <f>IF(H782&gt;I782, MIN(H782-I782, J782-I782)*INDEX('2018_commission_structure'!$A$1:$I$4,MATCH($E782,'2018_commission_structure'!$A$1:$A$4,0),MATCH(P$1,'2018_commission_structure'!$A$1:$I$1,0)),0)</f>
        <v>0</v>
      </c>
      <c r="Q782" s="9">
        <f>IF($H782&gt;J782, MIN($H782-J782, K782-J782)*INDEX('2018_commission_structure'!$A$1:$I$4,MATCH($E782,'2018_commission_structure'!$A$1:$A$4,0),MATCH(Q$1,'2018_commission_structure'!$A$1:$I$1,0)),0)</f>
        <v>0</v>
      </c>
      <c r="R782" s="9">
        <f>IF($H782&gt;K782, MIN($H782-K782, L782-K782)*INDEX('2018_commission_structure'!$A$1:$I$4,MATCH($E782,'2018_commission_structure'!$A$1:$A$4,0),MATCH(R$1,'2018_commission_structure'!$A$1:$I$1,0)),0)</f>
        <v>0</v>
      </c>
      <c r="S782" s="9">
        <f>IF(H782&gt;L782,(H782-L782)*INDEX('2018_commission_structure'!$A$1:$I$4,MATCH($E782,'2018_commission_structure'!$A$1:$A$4,0),MATCH(S$1,'2018_commission_structure'!$A$1:$I$1,0)),0)</f>
        <v>0</v>
      </c>
      <c r="T782" s="9">
        <f t="shared" si="128"/>
        <v>75768.3</v>
      </c>
      <c r="U782" s="9">
        <f t="shared" si="120"/>
        <v>172898.3</v>
      </c>
      <c r="V782" s="9">
        <f>MIN($I782,$H782)*INDEX('Key Metrics'!$E$16:$N$19,MATCH($E782,'Key Metrics'!$E$16:$E$19,0),MATCH(V$1,'Key Metrics'!$E$16:$M$16,0))</f>
        <v>75768.3</v>
      </c>
      <c r="W782" s="9">
        <f>IF($H782&gt;I782, MIN($H782-I782, J782-I782)*INDEX('Key Metrics'!$E$16:$N$19,MATCH($E782,'Key Metrics'!$E$16:$E$19,0),MATCH(W$1,'Key Metrics'!$E$16:$M$16,0)),0)</f>
        <v>0</v>
      </c>
      <c r="X782" s="9">
        <f>IF($H782&gt;J782, MIN($H782-J782, K782-J782)*INDEX('Key Metrics'!$E$16:$N$19,MATCH($E782,'Key Metrics'!$E$16:$E$19,0),MATCH(X$1,'Key Metrics'!$E$16:$M$16,0)),0)</f>
        <v>0</v>
      </c>
      <c r="Y782" s="9">
        <f>IF($H782&gt;K782, MIN($H782-K782, L782-K782)*INDEX('Key Metrics'!$E$16:$N$19,MATCH($E782,'Key Metrics'!$E$16:$E$19,0),MATCH(Y$1,'Key Metrics'!$E$16:$M$16,0)),0)</f>
        <v>0</v>
      </c>
      <c r="Z782" s="9">
        <f>IF($H782&gt;L782,($H782-L782)*INDEX('Key Metrics'!$E$16:$N$19,MATCH($E782,'Key Metrics'!$E$16:$E$19,0),MATCH(Z$1,'Key Metrics'!$E$16:$M$16,0)),0)</f>
        <v>0</v>
      </c>
      <c r="AA782" s="9">
        <f t="shared" si="129"/>
        <v>75768.3</v>
      </c>
      <c r="AB782" s="9">
        <f t="shared" si="121"/>
        <v>75768.973496000006</v>
      </c>
    </row>
    <row r="783" spans="1:28" x14ac:dyDescent="0.55000000000000004">
      <c r="A783" t="str">
        <f t="shared" si="122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COUNTIF(deals_closed!$D$2:$D$20001,Calculations!B759)</f>
        <v>18</v>
      </c>
      <c r="H783" s="7">
        <f>SUMIF(deals_closed!$D:$D,Calculations!B759,deals_closed!$C:$C)</f>
        <v>585356</v>
      </c>
      <c r="I783" s="5">
        <f>VLOOKUP(E783,'2018_commission_structure'!$A$1:$I$4,9,FALSE)</f>
        <v>750000</v>
      </c>
      <c r="J783" s="9">
        <f t="shared" si="123"/>
        <v>937500</v>
      </c>
      <c r="K783" s="10">
        <f t="shared" si="124"/>
        <v>1125000</v>
      </c>
      <c r="L783" s="9">
        <f t="shared" si="125"/>
        <v>1500000</v>
      </c>
      <c r="M783" s="8">
        <f t="shared" si="126"/>
        <v>0.78047466666666665</v>
      </c>
      <c r="N783" t="str">
        <f t="shared" si="127"/>
        <v>0-100%</v>
      </c>
      <c r="O783" s="9">
        <f>MIN($H783,$I783)*INDEX('2018_commission_structure'!$A$1:$I$4,MATCH($E783,'2018_commission_structure'!$A$1:$A$4,0),MATCH(O$1,'2018_commission_structure'!$A$1:$I$1,0))</f>
        <v>87803.4</v>
      </c>
      <c r="P783" s="9">
        <f>IF(H783&gt;I783, MIN(H783-I783, J783-I783)*INDEX('2018_commission_structure'!$A$1:$I$4,MATCH($E783,'2018_commission_structure'!$A$1:$A$4,0),MATCH(P$1,'2018_commission_structure'!$A$1:$I$1,0)),0)</f>
        <v>0</v>
      </c>
      <c r="Q783" s="9">
        <f>IF($H783&gt;J783, MIN($H783-J783, K783-J783)*INDEX('2018_commission_structure'!$A$1:$I$4,MATCH($E783,'2018_commission_structure'!$A$1:$A$4,0),MATCH(Q$1,'2018_commission_structure'!$A$1:$I$1,0)),0)</f>
        <v>0</v>
      </c>
      <c r="R783" s="9">
        <f>IF($H783&gt;K783, MIN($H783-K783, L783-K783)*INDEX('2018_commission_structure'!$A$1:$I$4,MATCH($E783,'2018_commission_structure'!$A$1:$A$4,0),MATCH(R$1,'2018_commission_structure'!$A$1:$I$1,0)),0)</f>
        <v>0</v>
      </c>
      <c r="S783" s="9">
        <f>IF(H783&gt;L783,(H783-L783)*INDEX('2018_commission_structure'!$A$1:$I$4,MATCH($E783,'2018_commission_structure'!$A$1:$A$4,0),MATCH(S$1,'2018_commission_structure'!$A$1:$I$1,0)),0)</f>
        <v>0</v>
      </c>
      <c r="T783" s="9">
        <f t="shared" si="128"/>
        <v>87803.4</v>
      </c>
      <c r="U783" s="9">
        <f t="shared" si="120"/>
        <v>173796.4</v>
      </c>
      <c r="V783" s="9">
        <f>MIN($I783,$H783)*INDEX('Key Metrics'!$E$16:$N$19,MATCH($E783,'Key Metrics'!$E$16:$E$19,0),MATCH(V$1,'Key Metrics'!$E$16:$M$16,0))</f>
        <v>87803.4</v>
      </c>
      <c r="W783" s="9">
        <f>IF($H783&gt;I783, MIN($H783-I783, J783-I783)*INDEX('Key Metrics'!$E$16:$N$19,MATCH($E783,'Key Metrics'!$E$16:$E$19,0),MATCH(W$1,'Key Metrics'!$E$16:$M$16,0)),0)</f>
        <v>0</v>
      </c>
      <c r="X783" s="9">
        <f>IF($H783&gt;J783, MIN($H783-J783, K783-J783)*INDEX('Key Metrics'!$E$16:$N$19,MATCH($E783,'Key Metrics'!$E$16:$E$19,0),MATCH(X$1,'Key Metrics'!$E$16:$M$16,0)),0)</f>
        <v>0</v>
      </c>
      <c r="Y783" s="9">
        <f>IF($H783&gt;K783, MIN($H783-K783, L783-K783)*INDEX('Key Metrics'!$E$16:$N$19,MATCH($E783,'Key Metrics'!$E$16:$E$19,0),MATCH(Y$1,'Key Metrics'!$E$16:$M$16,0)),0)</f>
        <v>0</v>
      </c>
      <c r="Z783" s="9">
        <f>IF($H783&gt;L783,($H783-L783)*INDEX('Key Metrics'!$E$16:$N$19,MATCH($E783,'Key Metrics'!$E$16:$E$19,0),MATCH(Z$1,'Key Metrics'!$E$16:$M$16,0)),0)</f>
        <v>0</v>
      </c>
      <c r="AA783" s="9">
        <f t="shared" si="129"/>
        <v>87803.4</v>
      </c>
      <c r="AB783" s="9">
        <f t="shared" si="121"/>
        <v>87804.18047466666</v>
      </c>
    </row>
    <row r="784" spans="1:28" x14ac:dyDescent="0.55000000000000004">
      <c r="A784" t="str">
        <f t="shared" si="122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COUNTIF(deals_closed!$D$2:$D$20001,Calculations!B728)</f>
        <v>19</v>
      </c>
      <c r="H784" s="7">
        <f>SUMIF(deals_closed!$D:$D,Calculations!B728,deals_closed!$C:$C)</f>
        <v>719544</v>
      </c>
      <c r="I784" s="5">
        <f>VLOOKUP(E784,'2018_commission_structure'!$A$1:$I$4,9,FALSE)</f>
        <v>750000</v>
      </c>
      <c r="J784" s="9">
        <f t="shared" si="123"/>
        <v>937500</v>
      </c>
      <c r="K784" s="10">
        <f t="shared" si="124"/>
        <v>1125000</v>
      </c>
      <c r="L784" s="9">
        <f t="shared" si="125"/>
        <v>1500000</v>
      </c>
      <c r="M784" s="8">
        <f t="shared" si="126"/>
        <v>0.95939200000000002</v>
      </c>
      <c r="N784" t="str">
        <f t="shared" si="127"/>
        <v>0-100%</v>
      </c>
      <c r="O784" s="9">
        <f>MIN($H784,$I784)*INDEX('2018_commission_structure'!$A$1:$I$4,MATCH($E784,'2018_commission_structure'!$A$1:$A$4,0),MATCH(O$1,'2018_commission_structure'!$A$1:$I$1,0))</f>
        <v>107931.59999999999</v>
      </c>
      <c r="P784" s="9">
        <f>IF(H784&gt;I784, MIN(H784-I784, J784-I784)*INDEX('2018_commission_structure'!$A$1:$I$4,MATCH($E784,'2018_commission_structure'!$A$1:$A$4,0),MATCH(P$1,'2018_commission_structure'!$A$1:$I$1,0)),0)</f>
        <v>0</v>
      </c>
      <c r="Q784" s="9">
        <f>IF($H784&gt;J784, MIN($H784-J784, K784-J784)*INDEX('2018_commission_structure'!$A$1:$I$4,MATCH($E784,'2018_commission_structure'!$A$1:$A$4,0),MATCH(Q$1,'2018_commission_structure'!$A$1:$I$1,0)),0)</f>
        <v>0</v>
      </c>
      <c r="R784" s="9">
        <f>IF($H784&gt;K784, MIN($H784-K784, L784-K784)*INDEX('2018_commission_structure'!$A$1:$I$4,MATCH($E784,'2018_commission_structure'!$A$1:$A$4,0),MATCH(R$1,'2018_commission_structure'!$A$1:$I$1,0)),0)</f>
        <v>0</v>
      </c>
      <c r="S784" s="9">
        <f>IF(H784&gt;L784,(H784-L784)*INDEX('2018_commission_structure'!$A$1:$I$4,MATCH($E784,'2018_commission_structure'!$A$1:$A$4,0),MATCH(S$1,'2018_commission_structure'!$A$1:$I$1,0)),0)</f>
        <v>0</v>
      </c>
      <c r="T784" s="9">
        <f t="shared" si="128"/>
        <v>107931.59999999999</v>
      </c>
      <c r="U784" s="9">
        <f t="shared" si="120"/>
        <v>197374.59999999998</v>
      </c>
      <c r="V784" s="9">
        <f>MIN($I784,$H784)*INDEX('Key Metrics'!$E$16:$N$19,MATCH($E784,'Key Metrics'!$E$16:$E$19,0),MATCH(V$1,'Key Metrics'!$E$16:$M$16,0))</f>
        <v>107931.59999999999</v>
      </c>
      <c r="W784" s="9">
        <f>IF($H784&gt;I784, MIN($H784-I784, J784-I784)*INDEX('Key Metrics'!$E$16:$N$19,MATCH($E784,'Key Metrics'!$E$16:$E$19,0),MATCH(W$1,'Key Metrics'!$E$16:$M$16,0)),0)</f>
        <v>0</v>
      </c>
      <c r="X784" s="9">
        <f>IF($H784&gt;J784, MIN($H784-J784, K784-J784)*INDEX('Key Metrics'!$E$16:$N$19,MATCH($E784,'Key Metrics'!$E$16:$E$19,0),MATCH(X$1,'Key Metrics'!$E$16:$M$16,0)),0)</f>
        <v>0</v>
      </c>
      <c r="Y784" s="9">
        <f>IF($H784&gt;K784, MIN($H784-K784, L784-K784)*INDEX('Key Metrics'!$E$16:$N$19,MATCH($E784,'Key Metrics'!$E$16:$E$19,0),MATCH(Y$1,'Key Metrics'!$E$16:$M$16,0)),0)</f>
        <v>0</v>
      </c>
      <c r="Z784" s="9">
        <f>IF($H784&gt;L784,($H784-L784)*INDEX('Key Metrics'!$E$16:$N$19,MATCH($E784,'Key Metrics'!$E$16:$E$19,0),MATCH(Z$1,'Key Metrics'!$E$16:$M$16,0)),0)</f>
        <v>0</v>
      </c>
      <c r="AA784" s="9">
        <f t="shared" si="129"/>
        <v>107931.59999999999</v>
      </c>
      <c r="AB784" s="9">
        <f t="shared" si="121"/>
        <v>107932.559392</v>
      </c>
    </row>
    <row r="785" spans="1:28" x14ac:dyDescent="0.55000000000000004">
      <c r="A785" t="str">
        <f t="shared" si="122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COUNTIF(deals_closed!$D$2:$D$20001,Calculations!B787)</f>
        <v>19</v>
      </c>
      <c r="H785" s="7">
        <f>SUMIF(deals_closed!$D:$D,Calculations!B787,deals_closed!$C:$C)</f>
        <v>694951</v>
      </c>
      <c r="I785" s="5">
        <f>VLOOKUP(E785,'2018_commission_structure'!$A$1:$I$4,9,FALSE)</f>
        <v>750000</v>
      </c>
      <c r="J785" s="9">
        <f t="shared" si="123"/>
        <v>937500</v>
      </c>
      <c r="K785" s="10">
        <f t="shared" si="124"/>
        <v>1125000</v>
      </c>
      <c r="L785" s="9">
        <f t="shared" si="125"/>
        <v>1500000</v>
      </c>
      <c r="M785" s="8">
        <f t="shared" si="126"/>
        <v>0.92660133333333339</v>
      </c>
      <c r="N785" t="str">
        <f t="shared" si="127"/>
        <v>0-100%</v>
      </c>
      <c r="O785" s="9">
        <f>MIN($H785,$I785)*INDEX('2018_commission_structure'!$A$1:$I$4,MATCH($E785,'2018_commission_structure'!$A$1:$A$4,0),MATCH(O$1,'2018_commission_structure'!$A$1:$I$1,0))</f>
        <v>104242.65</v>
      </c>
      <c r="P785" s="9">
        <f>IF(H785&gt;I785, MIN(H785-I785, J785-I785)*INDEX('2018_commission_structure'!$A$1:$I$4,MATCH($E785,'2018_commission_structure'!$A$1:$A$4,0),MATCH(P$1,'2018_commission_structure'!$A$1:$I$1,0)),0)</f>
        <v>0</v>
      </c>
      <c r="Q785" s="9">
        <f>IF($H785&gt;J785, MIN($H785-J785, K785-J785)*INDEX('2018_commission_structure'!$A$1:$I$4,MATCH($E785,'2018_commission_structure'!$A$1:$A$4,0),MATCH(Q$1,'2018_commission_structure'!$A$1:$I$1,0)),0)</f>
        <v>0</v>
      </c>
      <c r="R785" s="9">
        <f>IF($H785&gt;K785, MIN($H785-K785, L785-K785)*INDEX('2018_commission_structure'!$A$1:$I$4,MATCH($E785,'2018_commission_structure'!$A$1:$A$4,0),MATCH(R$1,'2018_commission_structure'!$A$1:$I$1,0)),0)</f>
        <v>0</v>
      </c>
      <c r="S785" s="9">
        <f>IF(H785&gt;L785,(H785-L785)*INDEX('2018_commission_structure'!$A$1:$I$4,MATCH($E785,'2018_commission_structure'!$A$1:$A$4,0),MATCH(S$1,'2018_commission_structure'!$A$1:$I$1,0)),0)</f>
        <v>0</v>
      </c>
      <c r="T785" s="9">
        <f t="shared" si="128"/>
        <v>104242.65</v>
      </c>
      <c r="U785" s="9">
        <f t="shared" si="120"/>
        <v>184912.65</v>
      </c>
      <c r="V785" s="9">
        <f>MIN($I785,$H785)*INDEX('Key Metrics'!$E$16:$N$19,MATCH($E785,'Key Metrics'!$E$16:$E$19,0),MATCH(V$1,'Key Metrics'!$E$16:$M$16,0))</f>
        <v>104242.65</v>
      </c>
      <c r="W785" s="9">
        <f>IF($H785&gt;I785, MIN($H785-I785, J785-I785)*INDEX('Key Metrics'!$E$16:$N$19,MATCH($E785,'Key Metrics'!$E$16:$E$19,0),MATCH(W$1,'Key Metrics'!$E$16:$M$16,0)),0)</f>
        <v>0</v>
      </c>
      <c r="X785" s="9">
        <f>IF($H785&gt;J785, MIN($H785-J785, K785-J785)*INDEX('Key Metrics'!$E$16:$N$19,MATCH($E785,'Key Metrics'!$E$16:$E$19,0),MATCH(X$1,'Key Metrics'!$E$16:$M$16,0)),0)</f>
        <v>0</v>
      </c>
      <c r="Y785" s="9">
        <f>IF($H785&gt;K785, MIN($H785-K785, L785-K785)*INDEX('Key Metrics'!$E$16:$N$19,MATCH($E785,'Key Metrics'!$E$16:$E$19,0),MATCH(Y$1,'Key Metrics'!$E$16:$M$16,0)),0)</f>
        <v>0</v>
      </c>
      <c r="Z785" s="9">
        <f>IF($H785&gt;L785,($H785-L785)*INDEX('Key Metrics'!$E$16:$N$19,MATCH($E785,'Key Metrics'!$E$16:$E$19,0),MATCH(Z$1,'Key Metrics'!$E$16:$M$16,0)),0)</f>
        <v>0</v>
      </c>
      <c r="AA785" s="9">
        <f t="shared" si="129"/>
        <v>104242.65</v>
      </c>
      <c r="AB785" s="9">
        <f t="shared" si="121"/>
        <v>104243.57660133333</v>
      </c>
    </row>
    <row r="786" spans="1:28" x14ac:dyDescent="0.55000000000000004">
      <c r="A786" t="str">
        <f t="shared" si="122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COUNTIF(deals_closed!$D$2:$D$20001,Calculations!B799)</f>
        <v>25</v>
      </c>
      <c r="H786" s="7">
        <f>SUMIF(deals_closed!$D:$D,Calculations!B799,deals_closed!$C:$C)</f>
        <v>805047</v>
      </c>
      <c r="I786" s="5">
        <f>VLOOKUP(E786,'2018_commission_structure'!$A$1:$I$4,9,FALSE)</f>
        <v>600000</v>
      </c>
      <c r="J786" s="9">
        <f t="shared" si="123"/>
        <v>750000</v>
      </c>
      <c r="K786" s="10">
        <f t="shared" si="124"/>
        <v>900000</v>
      </c>
      <c r="L786" s="9">
        <f t="shared" si="125"/>
        <v>1200000</v>
      </c>
      <c r="M786" s="8">
        <f t="shared" si="126"/>
        <v>1.341745</v>
      </c>
      <c r="N786" t="str">
        <f t="shared" si="127"/>
        <v>125-150%</v>
      </c>
      <c r="O786" s="9">
        <f>MIN($H786,$I786)*INDEX('2018_commission_structure'!$A$1:$I$4,MATCH($E786,'2018_commission_structure'!$A$1:$A$4,0),MATCH(O$1,'2018_commission_structure'!$A$1:$I$1,0))</f>
        <v>78000</v>
      </c>
      <c r="P786" s="9">
        <f>IF(H786&gt;I786, MIN(H786-I786, J786-I786)*INDEX('2018_commission_structure'!$A$1:$I$4,MATCH($E786,'2018_commission_structure'!$A$1:$A$4,0),MATCH(P$1,'2018_commission_structure'!$A$1:$I$1,0)),0)</f>
        <v>25500.000000000004</v>
      </c>
      <c r="Q786" s="9">
        <f>IF($H786&gt;J786, MIN($H786-J786, K786-J786)*INDEX('2018_commission_structure'!$A$1:$I$4,MATCH($E786,'2018_commission_structure'!$A$1:$A$4,0),MATCH(Q$1,'2018_commission_structure'!$A$1:$I$1,0)),0)</f>
        <v>11559.869999999999</v>
      </c>
      <c r="R786" s="9">
        <f>IF($H786&gt;K786, MIN($H786-K786, L786-K786)*INDEX('2018_commission_structure'!$A$1:$I$4,MATCH($E786,'2018_commission_structure'!$A$1:$A$4,0),MATCH(R$1,'2018_commission_structure'!$A$1:$I$1,0)),0)</f>
        <v>0</v>
      </c>
      <c r="S786" s="9">
        <f>IF(H786&gt;L786,(H786-L786)*INDEX('2018_commission_structure'!$A$1:$I$4,MATCH($E786,'2018_commission_structure'!$A$1:$A$4,0),MATCH(S$1,'2018_commission_structure'!$A$1:$I$1,0)),0)</f>
        <v>0</v>
      </c>
      <c r="T786" s="9">
        <f t="shared" si="128"/>
        <v>115059.87</v>
      </c>
      <c r="U786" s="9">
        <f t="shared" si="120"/>
        <v>192283.87</v>
      </c>
      <c r="V786" s="9">
        <f>MIN($I786,$H786)*INDEX('Key Metrics'!$E$16:$N$19,MATCH($E786,'Key Metrics'!$E$16:$E$19,0),MATCH(V$1,'Key Metrics'!$E$16:$M$16,0))</f>
        <v>90000</v>
      </c>
      <c r="W786" s="9">
        <f>IF($H786&gt;I786, MIN($H786-I786, J786-I786)*INDEX('Key Metrics'!$E$16:$N$19,MATCH($E786,'Key Metrics'!$E$16:$E$19,0),MATCH(W$1,'Key Metrics'!$E$16:$M$16,0)),0)</f>
        <v>27000</v>
      </c>
      <c r="X786" s="9">
        <f>IF($H786&gt;J786, MIN($H786-J786, K786-J786)*INDEX('Key Metrics'!$E$16:$N$19,MATCH($E786,'Key Metrics'!$E$16:$E$19,0),MATCH(X$1,'Key Metrics'!$E$16:$M$16,0)),0)</f>
        <v>13761.75</v>
      </c>
      <c r="Y786" s="9">
        <f>IF($H786&gt;K786, MIN($H786-K786, L786-K786)*INDEX('Key Metrics'!$E$16:$N$19,MATCH($E786,'Key Metrics'!$E$16:$E$19,0),MATCH(Y$1,'Key Metrics'!$E$16:$M$16,0)),0)</f>
        <v>0</v>
      </c>
      <c r="Z786" s="9">
        <f>IF($H786&gt;L786,($H786-L786)*INDEX('Key Metrics'!$E$16:$N$19,MATCH($E786,'Key Metrics'!$E$16:$E$19,0),MATCH(Z$1,'Key Metrics'!$E$16:$M$16,0)),0)</f>
        <v>0</v>
      </c>
      <c r="AA786" s="9">
        <f t="shared" si="129"/>
        <v>130761.75</v>
      </c>
      <c r="AB786" s="9">
        <f t="shared" si="121"/>
        <v>130763.091745</v>
      </c>
    </row>
    <row r="787" spans="1:28" x14ac:dyDescent="0.55000000000000004">
      <c r="A787" t="str">
        <f t="shared" si="122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COUNTIF(deals_closed!$D$2:$D$20001,Calculations!B388)</f>
        <v>22</v>
      </c>
      <c r="H787" s="7">
        <f>SUMIF(deals_closed!$D:$D,Calculations!B388,deals_closed!$C:$C)</f>
        <v>679482</v>
      </c>
      <c r="I787" s="5">
        <f>VLOOKUP(E787,'2018_commission_structure'!$A$1:$I$4,9,FALSE)</f>
        <v>750000</v>
      </c>
      <c r="J787" s="9">
        <f t="shared" si="123"/>
        <v>937500</v>
      </c>
      <c r="K787" s="10">
        <f t="shared" si="124"/>
        <v>1125000</v>
      </c>
      <c r="L787" s="9">
        <f t="shared" si="125"/>
        <v>1500000</v>
      </c>
      <c r="M787" s="8">
        <f t="shared" si="126"/>
        <v>0.905976</v>
      </c>
      <c r="N787" t="str">
        <f t="shared" si="127"/>
        <v>0-100%</v>
      </c>
      <c r="O787" s="9">
        <f>MIN($H787,$I787)*INDEX('2018_commission_structure'!$A$1:$I$4,MATCH($E787,'2018_commission_structure'!$A$1:$A$4,0),MATCH(O$1,'2018_commission_structure'!$A$1:$I$1,0))</f>
        <v>101922.3</v>
      </c>
      <c r="P787" s="9">
        <f>IF(H787&gt;I787, MIN(H787-I787, J787-I787)*INDEX('2018_commission_structure'!$A$1:$I$4,MATCH($E787,'2018_commission_structure'!$A$1:$A$4,0),MATCH(P$1,'2018_commission_structure'!$A$1:$I$1,0)),0)</f>
        <v>0</v>
      </c>
      <c r="Q787" s="9">
        <f>IF($H787&gt;J787, MIN($H787-J787, K787-J787)*INDEX('2018_commission_structure'!$A$1:$I$4,MATCH($E787,'2018_commission_structure'!$A$1:$A$4,0),MATCH(Q$1,'2018_commission_structure'!$A$1:$I$1,0)),0)</f>
        <v>0</v>
      </c>
      <c r="R787" s="9">
        <f>IF($H787&gt;K787, MIN($H787-K787, L787-K787)*INDEX('2018_commission_structure'!$A$1:$I$4,MATCH($E787,'2018_commission_structure'!$A$1:$A$4,0),MATCH(R$1,'2018_commission_structure'!$A$1:$I$1,0)),0)</f>
        <v>0</v>
      </c>
      <c r="S787" s="9">
        <f>IF(H787&gt;L787,(H787-L787)*INDEX('2018_commission_structure'!$A$1:$I$4,MATCH($E787,'2018_commission_structure'!$A$1:$A$4,0),MATCH(S$1,'2018_commission_structure'!$A$1:$I$1,0)),0)</f>
        <v>0</v>
      </c>
      <c r="T787" s="9">
        <f t="shared" si="128"/>
        <v>101922.3</v>
      </c>
      <c r="U787" s="9">
        <f t="shared" si="120"/>
        <v>194722.3</v>
      </c>
      <c r="V787" s="9">
        <f>MIN($I787,$H787)*INDEX('Key Metrics'!$E$16:$N$19,MATCH($E787,'Key Metrics'!$E$16:$E$19,0),MATCH(V$1,'Key Metrics'!$E$16:$M$16,0))</f>
        <v>101922.3</v>
      </c>
      <c r="W787" s="9">
        <f>IF($H787&gt;I787, MIN($H787-I787, J787-I787)*INDEX('Key Metrics'!$E$16:$N$19,MATCH($E787,'Key Metrics'!$E$16:$E$19,0),MATCH(W$1,'Key Metrics'!$E$16:$M$16,0)),0)</f>
        <v>0</v>
      </c>
      <c r="X787" s="9">
        <f>IF($H787&gt;J787, MIN($H787-J787, K787-J787)*INDEX('Key Metrics'!$E$16:$N$19,MATCH($E787,'Key Metrics'!$E$16:$E$19,0),MATCH(X$1,'Key Metrics'!$E$16:$M$16,0)),0)</f>
        <v>0</v>
      </c>
      <c r="Y787" s="9">
        <f>IF($H787&gt;K787, MIN($H787-K787, L787-K787)*INDEX('Key Metrics'!$E$16:$N$19,MATCH($E787,'Key Metrics'!$E$16:$E$19,0),MATCH(Y$1,'Key Metrics'!$E$16:$M$16,0)),0)</f>
        <v>0</v>
      </c>
      <c r="Z787" s="9">
        <f>IF($H787&gt;L787,($H787-L787)*INDEX('Key Metrics'!$E$16:$N$19,MATCH($E787,'Key Metrics'!$E$16:$E$19,0),MATCH(Z$1,'Key Metrics'!$E$16:$M$16,0)),0)</f>
        <v>0</v>
      </c>
      <c r="AA787" s="9">
        <f t="shared" si="129"/>
        <v>101922.3</v>
      </c>
      <c r="AB787" s="9">
        <f t="shared" si="121"/>
        <v>101923.205976</v>
      </c>
    </row>
    <row r="788" spans="1:28" x14ac:dyDescent="0.55000000000000004">
      <c r="A788" t="str">
        <f t="shared" si="122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COUNTIF(deals_closed!$D$2:$D$20001,Calculations!B428)</f>
        <v>29</v>
      </c>
      <c r="H788" s="7">
        <f>SUMIF(deals_closed!$D:$D,Calculations!B428,deals_closed!$C:$C)</f>
        <v>1092533</v>
      </c>
      <c r="I788" s="5">
        <f>VLOOKUP(E788,'2018_commission_structure'!$A$1:$I$4,9,FALSE)</f>
        <v>500000</v>
      </c>
      <c r="J788" s="9">
        <f t="shared" si="123"/>
        <v>625000</v>
      </c>
      <c r="K788" s="10">
        <f t="shared" si="124"/>
        <v>750000</v>
      </c>
      <c r="L788" s="9">
        <f t="shared" si="125"/>
        <v>1000000</v>
      </c>
      <c r="M788" s="8">
        <f t="shared" si="126"/>
        <v>2.185066</v>
      </c>
      <c r="N788" t="str">
        <f t="shared" si="127"/>
        <v>&gt;200%</v>
      </c>
      <c r="O788" s="9">
        <f>MIN($H788,$I788)*INDEX('2018_commission_structure'!$A$1:$I$4,MATCH($E788,'2018_commission_structure'!$A$1:$A$4,0),MATCH(O$1,'2018_commission_structure'!$A$1:$I$1,0))</f>
        <v>50000</v>
      </c>
      <c r="P788" s="9">
        <f>IF(H788&gt;I788, MIN(H788-I788, J788-I788)*INDEX('2018_commission_structure'!$A$1:$I$4,MATCH($E788,'2018_commission_structure'!$A$1:$A$4,0),MATCH(P$1,'2018_commission_structure'!$A$1:$I$1,0)),0)</f>
        <v>18750</v>
      </c>
      <c r="Q788" s="9">
        <f>IF($H788&gt;J788, MIN($H788-J788, K788-J788)*INDEX('2018_commission_structure'!$A$1:$I$4,MATCH($E788,'2018_commission_structure'!$A$1:$A$4,0),MATCH(Q$1,'2018_commission_structure'!$A$1:$I$1,0)),0)</f>
        <v>22500</v>
      </c>
      <c r="R788" s="9">
        <f>IF($H788&gt;K788, MIN($H788-K788, L788-K788)*INDEX('2018_commission_structure'!$A$1:$I$4,MATCH($E788,'2018_commission_structure'!$A$1:$A$4,0),MATCH(R$1,'2018_commission_structure'!$A$1:$I$1,0)),0)</f>
        <v>55000</v>
      </c>
      <c r="S788" s="9">
        <f>IF(H788&gt;L788,(H788-L788)*INDEX('2018_commission_structure'!$A$1:$I$4,MATCH($E788,'2018_commission_structure'!$A$1:$A$4,0),MATCH(S$1,'2018_commission_structure'!$A$1:$I$1,0)),0)</f>
        <v>9253.3000000000011</v>
      </c>
      <c r="T788" s="9">
        <f t="shared" si="128"/>
        <v>155503.29999999999</v>
      </c>
      <c r="U788" s="9">
        <f t="shared" si="120"/>
        <v>207048.3</v>
      </c>
      <c r="V788" s="9">
        <f>MIN($I788,$H788)*INDEX('Key Metrics'!$E$16:$N$19,MATCH($E788,'Key Metrics'!$E$16:$E$19,0),MATCH(V$1,'Key Metrics'!$E$16:$M$16,0))</f>
        <v>60000</v>
      </c>
      <c r="W788" s="9">
        <f>IF($H788&gt;I788, MIN($H788-I788, J788-I788)*INDEX('Key Metrics'!$E$16:$N$19,MATCH($E788,'Key Metrics'!$E$16:$E$19,0),MATCH(W$1,'Key Metrics'!$E$16:$M$16,0)),0)</f>
        <v>21250</v>
      </c>
      <c r="X788" s="9">
        <f>IF($H788&gt;J788, MIN($H788-J788, K788-J788)*INDEX('Key Metrics'!$E$16:$N$19,MATCH($E788,'Key Metrics'!$E$16:$E$19,0),MATCH(X$1,'Key Metrics'!$E$16:$M$16,0)),0)</f>
        <v>25000</v>
      </c>
      <c r="Y788" s="9">
        <f>IF($H788&gt;K788, MIN($H788-K788, L788-K788)*INDEX('Key Metrics'!$E$16:$N$19,MATCH($E788,'Key Metrics'!$E$16:$E$19,0),MATCH(Y$1,'Key Metrics'!$E$16:$M$16,0)),0)</f>
        <v>55000</v>
      </c>
      <c r="Z788" s="9">
        <f>IF($H788&gt;L788,($H788-L788)*INDEX('Key Metrics'!$E$16:$N$19,MATCH($E788,'Key Metrics'!$E$16:$E$19,0),MATCH(Z$1,'Key Metrics'!$E$16:$M$16,0)),0)</f>
        <v>9253.3000000000011</v>
      </c>
      <c r="AA788" s="9">
        <f t="shared" si="129"/>
        <v>170503.3</v>
      </c>
      <c r="AB788" s="9">
        <f t="shared" si="121"/>
        <v>170505.48506599999</v>
      </c>
    </row>
    <row r="789" spans="1:28" x14ac:dyDescent="0.55000000000000004">
      <c r="A789" t="str">
        <f t="shared" si="122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COUNTIF(deals_closed!$D$2:$D$20001,Calculations!B355)</f>
        <v>24</v>
      </c>
      <c r="H789" s="7">
        <f>SUMIF(deals_closed!$D:$D,Calculations!B355,deals_closed!$C:$C)</f>
        <v>895817</v>
      </c>
      <c r="I789" s="5">
        <f>VLOOKUP(E789,'2018_commission_structure'!$A$1:$I$4,9,FALSE)</f>
        <v>600000</v>
      </c>
      <c r="J789" s="9">
        <f t="shared" si="123"/>
        <v>750000</v>
      </c>
      <c r="K789" s="10">
        <f t="shared" si="124"/>
        <v>900000</v>
      </c>
      <c r="L789" s="9">
        <f t="shared" si="125"/>
        <v>1200000</v>
      </c>
      <c r="M789" s="8">
        <f t="shared" si="126"/>
        <v>1.4930283333333334</v>
      </c>
      <c r="N789" t="str">
        <f t="shared" si="127"/>
        <v>125-150%</v>
      </c>
      <c r="O789" s="9">
        <f>MIN($H789,$I789)*INDEX('2018_commission_structure'!$A$1:$I$4,MATCH($E789,'2018_commission_structure'!$A$1:$A$4,0),MATCH(O$1,'2018_commission_structure'!$A$1:$I$1,0))</f>
        <v>78000</v>
      </c>
      <c r="P789" s="9">
        <f>IF(H789&gt;I789, MIN(H789-I789, J789-I789)*INDEX('2018_commission_structure'!$A$1:$I$4,MATCH($E789,'2018_commission_structure'!$A$1:$A$4,0),MATCH(P$1,'2018_commission_structure'!$A$1:$I$1,0)),0)</f>
        <v>25500.000000000004</v>
      </c>
      <c r="Q789" s="9">
        <f>IF($H789&gt;J789, MIN($H789-J789, K789-J789)*INDEX('2018_commission_structure'!$A$1:$I$4,MATCH($E789,'2018_commission_structure'!$A$1:$A$4,0),MATCH(Q$1,'2018_commission_structure'!$A$1:$I$1,0)),0)</f>
        <v>30621.57</v>
      </c>
      <c r="R789" s="9">
        <f>IF($H789&gt;K789, MIN($H789-K789, L789-K789)*INDEX('2018_commission_structure'!$A$1:$I$4,MATCH($E789,'2018_commission_structure'!$A$1:$A$4,0),MATCH(R$1,'2018_commission_structure'!$A$1:$I$1,0)),0)</f>
        <v>0</v>
      </c>
      <c r="S789" s="9">
        <f>IF(H789&gt;L789,(H789-L789)*INDEX('2018_commission_structure'!$A$1:$I$4,MATCH($E789,'2018_commission_structure'!$A$1:$A$4,0),MATCH(S$1,'2018_commission_structure'!$A$1:$I$1,0)),0)</f>
        <v>0</v>
      </c>
      <c r="T789" s="9">
        <f t="shared" si="128"/>
        <v>134121.57</v>
      </c>
      <c r="U789" s="9">
        <f t="shared" si="120"/>
        <v>191388.57</v>
      </c>
      <c r="V789" s="9">
        <f>MIN($I789,$H789)*INDEX('Key Metrics'!$E$16:$N$19,MATCH($E789,'Key Metrics'!$E$16:$E$19,0),MATCH(V$1,'Key Metrics'!$E$16:$M$16,0))</f>
        <v>90000</v>
      </c>
      <c r="W789" s="9">
        <f>IF($H789&gt;I789, MIN($H789-I789, J789-I789)*INDEX('Key Metrics'!$E$16:$N$19,MATCH($E789,'Key Metrics'!$E$16:$E$19,0),MATCH(W$1,'Key Metrics'!$E$16:$M$16,0)),0)</f>
        <v>27000</v>
      </c>
      <c r="X789" s="9">
        <f>IF($H789&gt;J789, MIN($H789-J789, K789-J789)*INDEX('Key Metrics'!$E$16:$N$19,MATCH($E789,'Key Metrics'!$E$16:$E$19,0),MATCH(X$1,'Key Metrics'!$E$16:$M$16,0)),0)</f>
        <v>36454.25</v>
      </c>
      <c r="Y789" s="9">
        <f>IF($H789&gt;K789, MIN($H789-K789, L789-K789)*INDEX('Key Metrics'!$E$16:$N$19,MATCH($E789,'Key Metrics'!$E$16:$E$19,0),MATCH(Y$1,'Key Metrics'!$E$16:$M$16,0)),0)</f>
        <v>0</v>
      </c>
      <c r="Z789" s="9">
        <f>IF($H789&gt;L789,($H789-L789)*INDEX('Key Metrics'!$E$16:$N$19,MATCH($E789,'Key Metrics'!$E$16:$E$19,0),MATCH(Z$1,'Key Metrics'!$E$16:$M$16,0)),0)</f>
        <v>0</v>
      </c>
      <c r="AA789" s="9">
        <f t="shared" si="129"/>
        <v>153454.25</v>
      </c>
      <c r="AB789" s="9">
        <f t="shared" si="121"/>
        <v>153455.74302833332</v>
      </c>
    </row>
    <row r="790" spans="1:28" x14ac:dyDescent="0.55000000000000004">
      <c r="A790" t="str">
        <f t="shared" si="122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COUNTIF(deals_closed!$D$2:$D$20001,Calculations!B392)</f>
        <v>22</v>
      </c>
      <c r="H790" s="7">
        <f>SUMIF(deals_closed!$D:$D,Calculations!B392,deals_closed!$C:$C)</f>
        <v>877959</v>
      </c>
      <c r="I790" s="5">
        <f>VLOOKUP(E790,'2018_commission_structure'!$A$1:$I$4,9,FALSE)</f>
        <v>500000</v>
      </c>
      <c r="J790" s="9">
        <f t="shared" si="123"/>
        <v>625000</v>
      </c>
      <c r="K790" s="10">
        <f t="shared" si="124"/>
        <v>750000</v>
      </c>
      <c r="L790" s="9">
        <f t="shared" si="125"/>
        <v>1000000</v>
      </c>
      <c r="M790" s="8">
        <f t="shared" si="126"/>
        <v>1.7559180000000001</v>
      </c>
      <c r="N790" t="str">
        <f t="shared" si="127"/>
        <v>150-200%</v>
      </c>
      <c r="O790" s="9">
        <f>MIN($H790,$I790)*INDEX('2018_commission_structure'!$A$1:$I$4,MATCH($E790,'2018_commission_structure'!$A$1:$A$4,0),MATCH(O$1,'2018_commission_structure'!$A$1:$I$1,0))</f>
        <v>50000</v>
      </c>
      <c r="P790" s="9">
        <f>IF(H790&gt;I790, MIN(H790-I790, J790-I790)*INDEX('2018_commission_structure'!$A$1:$I$4,MATCH($E790,'2018_commission_structure'!$A$1:$A$4,0),MATCH(P$1,'2018_commission_structure'!$A$1:$I$1,0)),0)</f>
        <v>18750</v>
      </c>
      <c r="Q790" s="9">
        <f>IF($H790&gt;J790, MIN($H790-J790, K790-J790)*INDEX('2018_commission_structure'!$A$1:$I$4,MATCH($E790,'2018_commission_structure'!$A$1:$A$4,0),MATCH(Q$1,'2018_commission_structure'!$A$1:$I$1,0)),0)</f>
        <v>22500</v>
      </c>
      <c r="R790" s="9">
        <f>IF($H790&gt;K790, MIN($H790-K790, L790-K790)*INDEX('2018_commission_structure'!$A$1:$I$4,MATCH($E790,'2018_commission_structure'!$A$1:$A$4,0),MATCH(R$1,'2018_commission_structure'!$A$1:$I$1,0)),0)</f>
        <v>28150.98</v>
      </c>
      <c r="S790" s="9">
        <f>IF(H790&gt;L790,(H790-L790)*INDEX('2018_commission_structure'!$A$1:$I$4,MATCH($E790,'2018_commission_structure'!$A$1:$A$4,0),MATCH(S$1,'2018_commission_structure'!$A$1:$I$1,0)),0)</f>
        <v>0</v>
      </c>
      <c r="T790" s="9">
        <f t="shared" si="128"/>
        <v>119400.98</v>
      </c>
      <c r="U790" s="9">
        <f t="shared" si="120"/>
        <v>167612.97999999998</v>
      </c>
      <c r="V790" s="9">
        <f>MIN($I790,$H790)*INDEX('Key Metrics'!$E$16:$N$19,MATCH($E790,'Key Metrics'!$E$16:$E$19,0),MATCH(V$1,'Key Metrics'!$E$16:$M$16,0))</f>
        <v>60000</v>
      </c>
      <c r="W790" s="9">
        <f>IF($H790&gt;I790, MIN($H790-I790, J790-I790)*INDEX('Key Metrics'!$E$16:$N$19,MATCH($E790,'Key Metrics'!$E$16:$E$19,0),MATCH(W$1,'Key Metrics'!$E$16:$M$16,0)),0)</f>
        <v>21250</v>
      </c>
      <c r="X790" s="9">
        <f>IF($H790&gt;J790, MIN($H790-J790, K790-J790)*INDEX('Key Metrics'!$E$16:$N$19,MATCH($E790,'Key Metrics'!$E$16:$E$19,0),MATCH(X$1,'Key Metrics'!$E$16:$M$16,0)),0)</f>
        <v>25000</v>
      </c>
      <c r="Y790" s="9">
        <f>IF($H790&gt;K790, MIN($H790-K790, L790-K790)*INDEX('Key Metrics'!$E$16:$N$19,MATCH($E790,'Key Metrics'!$E$16:$E$19,0),MATCH(Y$1,'Key Metrics'!$E$16:$M$16,0)),0)</f>
        <v>28150.98</v>
      </c>
      <c r="Z790" s="9">
        <f>IF($H790&gt;L790,($H790-L790)*INDEX('Key Metrics'!$E$16:$N$19,MATCH($E790,'Key Metrics'!$E$16:$E$19,0),MATCH(Z$1,'Key Metrics'!$E$16:$M$16,0)),0)</f>
        <v>0</v>
      </c>
      <c r="AA790" s="9">
        <f t="shared" si="129"/>
        <v>134400.98000000001</v>
      </c>
      <c r="AB790" s="9">
        <f t="shared" si="121"/>
        <v>134402.73591800002</v>
      </c>
    </row>
    <row r="791" spans="1:28" x14ac:dyDescent="0.55000000000000004">
      <c r="A791" t="str">
        <f t="shared" si="122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COUNTIF(deals_closed!$D$2:$D$20001,Calculations!B9)</f>
        <v>13</v>
      </c>
      <c r="H791" s="7">
        <f>SUMIF(deals_closed!$D:$D,Calculations!B9,deals_closed!$C:$C)</f>
        <v>516813</v>
      </c>
      <c r="I791" s="5">
        <f>VLOOKUP(E791,'2018_commission_structure'!$A$1:$I$4,9,FALSE)</f>
        <v>750000</v>
      </c>
      <c r="J791" s="9">
        <f t="shared" si="123"/>
        <v>937500</v>
      </c>
      <c r="K791" s="10">
        <f t="shared" si="124"/>
        <v>1125000</v>
      </c>
      <c r="L791" s="9">
        <f t="shared" si="125"/>
        <v>1500000</v>
      </c>
      <c r="M791" s="8">
        <f t="shared" si="126"/>
        <v>0.68908400000000003</v>
      </c>
      <c r="N791" t="str">
        <f t="shared" si="127"/>
        <v>0-100%</v>
      </c>
      <c r="O791" s="9">
        <f>MIN($H791,$I791)*INDEX('2018_commission_structure'!$A$1:$I$4,MATCH($E791,'2018_commission_structure'!$A$1:$A$4,0),MATCH(O$1,'2018_commission_structure'!$A$1:$I$1,0))</f>
        <v>77521.95</v>
      </c>
      <c r="P791" s="9">
        <f>IF(H791&gt;I791, MIN(H791-I791, J791-I791)*INDEX('2018_commission_structure'!$A$1:$I$4,MATCH($E791,'2018_commission_structure'!$A$1:$A$4,0),MATCH(P$1,'2018_commission_structure'!$A$1:$I$1,0)),0)</f>
        <v>0</v>
      </c>
      <c r="Q791" s="9">
        <f>IF($H791&gt;J791, MIN($H791-J791, K791-J791)*INDEX('2018_commission_structure'!$A$1:$I$4,MATCH($E791,'2018_commission_structure'!$A$1:$A$4,0),MATCH(Q$1,'2018_commission_structure'!$A$1:$I$1,0)),0)</f>
        <v>0</v>
      </c>
      <c r="R791" s="9">
        <f>IF($H791&gt;K791, MIN($H791-K791, L791-K791)*INDEX('2018_commission_structure'!$A$1:$I$4,MATCH($E791,'2018_commission_structure'!$A$1:$A$4,0),MATCH(R$1,'2018_commission_structure'!$A$1:$I$1,0)),0)</f>
        <v>0</v>
      </c>
      <c r="S791" s="9">
        <f>IF(H791&gt;L791,(H791-L791)*INDEX('2018_commission_structure'!$A$1:$I$4,MATCH($E791,'2018_commission_structure'!$A$1:$A$4,0),MATCH(S$1,'2018_commission_structure'!$A$1:$I$1,0)),0)</f>
        <v>0</v>
      </c>
      <c r="T791" s="9">
        <f t="shared" si="128"/>
        <v>77521.95</v>
      </c>
      <c r="U791" s="9">
        <f t="shared" si="120"/>
        <v>171248.95</v>
      </c>
      <c r="V791" s="9">
        <f>MIN($I791,$H791)*INDEX('Key Metrics'!$E$16:$N$19,MATCH($E791,'Key Metrics'!$E$16:$E$19,0),MATCH(V$1,'Key Metrics'!$E$16:$M$16,0))</f>
        <v>77521.95</v>
      </c>
      <c r="W791" s="9">
        <f>IF($H791&gt;I791, MIN($H791-I791, J791-I791)*INDEX('Key Metrics'!$E$16:$N$19,MATCH($E791,'Key Metrics'!$E$16:$E$19,0),MATCH(W$1,'Key Metrics'!$E$16:$M$16,0)),0)</f>
        <v>0</v>
      </c>
      <c r="X791" s="9">
        <f>IF($H791&gt;J791, MIN($H791-J791, K791-J791)*INDEX('Key Metrics'!$E$16:$N$19,MATCH($E791,'Key Metrics'!$E$16:$E$19,0),MATCH(X$1,'Key Metrics'!$E$16:$M$16,0)),0)</f>
        <v>0</v>
      </c>
      <c r="Y791" s="9">
        <f>IF($H791&gt;K791, MIN($H791-K791, L791-K791)*INDEX('Key Metrics'!$E$16:$N$19,MATCH($E791,'Key Metrics'!$E$16:$E$19,0),MATCH(Y$1,'Key Metrics'!$E$16:$M$16,0)),0)</f>
        <v>0</v>
      </c>
      <c r="Z791" s="9">
        <f>IF($H791&gt;L791,($H791-L791)*INDEX('Key Metrics'!$E$16:$N$19,MATCH($E791,'Key Metrics'!$E$16:$E$19,0),MATCH(Z$1,'Key Metrics'!$E$16:$M$16,0)),0)</f>
        <v>0</v>
      </c>
      <c r="AA791" s="9">
        <f t="shared" si="129"/>
        <v>77521.95</v>
      </c>
      <c r="AB791" s="9">
        <f t="shared" si="121"/>
        <v>77522.639083999995</v>
      </c>
    </row>
    <row r="792" spans="1:28" x14ac:dyDescent="0.55000000000000004">
      <c r="A792" t="str">
        <f t="shared" si="122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COUNTIF(deals_closed!$D$2:$D$20001,Calculations!B824)</f>
        <v>19</v>
      </c>
      <c r="H792" s="7">
        <f>SUMIF(deals_closed!$D:$D,Calculations!B824,deals_closed!$C:$C)</f>
        <v>676097</v>
      </c>
      <c r="I792" s="5">
        <f>VLOOKUP(E792,'2018_commission_structure'!$A$1:$I$4,9,FALSE)</f>
        <v>500000</v>
      </c>
      <c r="J792" s="9">
        <f t="shared" si="123"/>
        <v>625000</v>
      </c>
      <c r="K792" s="10">
        <f t="shared" si="124"/>
        <v>750000</v>
      </c>
      <c r="L792" s="9">
        <f t="shared" si="125"/>
        <v>1000000</v>
      </c>
      <c r="M792" s="8">
        <f t="shared" si="126"/>
        <v>1.3521939999999999</v>
      </c>
      <c r="N792" t="str">
        <f t="shared" si="127"/>
        <v>125-150%</v>
      </c>
      <c r="O792" s="9">
        <f>MIN($H792,$I792)*INDEX('2018_commission_structure'!$A$1:$I$4,MATCH($E792,'2018_commission_structure'!$A$1:$A$4,0),MATCH(O$1,'2018_commission_structure'!$A$1:$I$1,0))</f>
        <v>50000</v>
      </c>
      <c r="P792" s="9">
        <f>IF(H792&gt;I792, MIN(H792-I792, J792-I792)*INDEX('2018_commission_structure'!$A$1:$I$4,MATCH($E792,'2018_commission_structure'!$A$1:$A$4,0),MATCH(P$1,'2018_commission_structure'!$A$1:$I$1,0)),0)</f>
        <v>18750</v>
      </c>
      <c r="Q792" s="9">
        <f>IF($H792&gt;J792, MIN($H792-J792, K792-J792)*INDEX('2018_commission_structure'!$A$1:$I$4,MATCH($E792,'2018_commission_structure'!$A$1:$A$4,0),MATCH(Q$1,'2018_commission_structure'!$A$1:$I$1,0)),0)</f>
        <v>9197.4599999999991</v>
      </c>
      <c r="R792" s="9">
        <f>IF($H792&gt;K792, MIN($H792-K792, L792-K792)*INDEX('2018_commission_structure'!$A$1:$I$4,MATCH($E792,'2018_commission_structure'!$A$1:$A$4,0),MATCH(R$1,'2018_commission_structure'!$A$1:$I$1,0)),0)</f>
        <v>0</v>
      </c>
      <c r="S792" s="9">
        <f>IF(H792&gt;L792,(H792-L792)*INDEX('2018_commission_structure'!$A$1:$I$4,MATCH($E792,'2018_commission_structure'!$A$1:$A$4,0),MATCH(S$1,'2018_commission_structure'!$A$1:$I$1,0)),0)</f>
        <v>0</v>
      </c>
      <c r="T792" s="9">
        <f t="shared" si="128"/>
        <v>77947.459999999992</v>
      </c>
      <c r="U792" s="9">
        <f t="shared" si="120"/>
        <v>139410.46</v>
      </c>
      <c r="V792" s="9">
        <f>MIN($I792,$H792)*INDEX('Key Metrics'!$E$16:$N$19,MATCH($E792,'Key Metrics'!$E$16:$E$19,0),MATCH(V$1,'Key Metrics'!$E$16:$M$16,0))</f>
        <v>60000</v>
      </c>
      <c r="W792" s="9">
        <f>IF($H792&gt;I792, MIN($H792-I792, J792-I792)*INDEX('Key Metrics'!$E$16:$N$19,MATCH($E792,'Key Metrics'!$E$16:$E$19,0),MATCH(W$1,'Key Metrics'!$E$16:$M$16,0)),0)</f>
        <v>21250</v>
      </c>
      <c r="X792" s="9">
        <f>IF($H792&gt;J792, MIN($H792-J792, K792-J792)*INDEX('Key Metrics'!$E$16:$N$19,MATCH($E792,'Key Metrics'!$E$16:$E$19,0),MATCH(X$1,'Key Metrics'!$E$16:$M$16,0)),0)</f>
        <v>10219.400000000001</v>
      </c>
      <c r="Y792" s="9">
        <f>IF($H792&gt;K792, MIN($H792-K792, L792-K792)*INDEX('Key Metrics'!$E$16:$N$19,MATCH($E792,'Key Metrics'!$E$16:$E$19,0),MATCH(Y$1,'Key Metrics'!$E$16:$M$16,0)),0)</f>
        <v>0</v>
      </c>
      <c r="Z792" s="9">
        <f>IF($H792&gt;L792,($H792-L792)*INDEX('Key Metrics'!$E$16:$N$19,MATCH($E792,'Key Metrics'!$E$16:$E$19,0),MATCH(Z$1,'Key Metrics'!$E$16:$M$16,0)),0)</f>
        <v>0</v>
      </c>
      <c r="AA792" s="9">
        <f t="shared" si="129"/>
        <v>91469.4</v>
      </c>
      <c r="AB792" s="9">
        <f t="shared" si="121"/>
        <v>91470.752194000001</v>
      </c>
    </row>
    <row r="793" spans="1:28" x14ac:dyDescent="0.55000000000000004">
      <c r="A793" t="str">
        <f t="shared" si="122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COUNTIF(deals_closed!$D$2:$D$20001,Calculations!B712)</f>
        <v>15</v>
      </c>
      <c r="H793" s="7">
        <f>SUMIF(deals_closed!$D:$D,Calculations!B712,deals_closed!$C:$C)</f>
        <v>518485</v>
      </c>
      <c r="I793" s="5">
        <f>VLOOKUP(E793,'2018_commission_structure'!$A$1:$I$4,9,FALSE)</f>
        <v>500000</v>
      </c>
      <c r="J793" s="9">
        <f t="shared" si="123"/>
        <v>625000</v>
      </c>
      <c r="K793" s="10">
        <f t="shared" si="124"/>
        <v>750000</v>
      </c>
      <c r="L793" s="9">
        <f t="shared" si="125"/>
        <v>1000000</v>
      </c>
      <c r="M793" s="8">
        <f t="shared" si="126"/>
        <v>1.0369699999999999</v>
      </c>
      <c r="N793" t="str">
        <f t="shared" si="127"/>
        <v>100-125%</v>
      </c>
      <c r="O793" s="9">
        <f>MIN($H793,$I793)*INDEX('2018_commission_structure'!$A$1:$I$4,MATCH($E793,'2018_commission_structure'!$A$1:$A$4,0),MATCH(O$1,'2018_commission_structure'!$A$1:$I$1,0))</f>
        <v>50000</v>
      </c>
      <c r="P793" s="9">
        <f>IF(H793&gt;I793, MIN(H793-I793, J793-I793)*INDEX('2018_commission_structure'!$A$1:$I$4,MATCH($E793,'2018_commission_structure'!$A$1:$A$4,0),MATCH(P$1,'2018_commission_structure'!$A$1:$I$1,0)),0)</f>
        <v>2772.75</v>
      </c>
      <c r="Q793" s="9">
        <f>IF($H793&gt;J793, MIN($H793-J793, K793-J793)*INDEX('2018_commission_structure'!$A$1:$I$4,MATCH($E793,'2018_commission_structure'!$A$1:$A$4,0),MATCH(Q$1,'2018_commission_structure'!$A$1:$I$1,0)),0)</f>
        <v>0</v>
      </c>
      <c r="R793" s="9">
        <f>IF($H793&gt;K793, MIN($H793-K793, L793-K793)*INDEX('2018_commission_structure'!$A$1:$I$4,MATCH($E793,'2018_commission_structure'!$A$1:$A$4,0),MATCH(R$1,'2018_commission_structure'!$A$1:$I$1,0)),0)</f>
        <v>0</v>
      </c>
      <c r="S793" s="9">
        <f>IF(H793&gt;L793,(H793-L793)*INDEX('2018_commission_structure'!$A$1:$I$4,MATCH($E793,'2018_commission_structure'!$A$1:$A$4,0),MATCH(S$1,'2018_commission_structure'!$A$1:$I$1,0)),0)</f>
        <v>0</v>
      </c>
      <c r="T793" s="9">
        <f t="shared" si="128"/>
        <v>52772.75</v>
      </c>
      <c r="U793" s="9">
        <f t="shared" si="120"/>
        <v>110702.75</v>
      </c>
      <c r="V793" s="9">
        <f>MIN($I793,$H793)*INDEX('Key Metrics'!$E$16:$N$19,MATCH($E793,'Key Metrics'!$E$16:$E$19,0),MATCH(V$1,'Key Metrics'!$E$16:$M$16,0))</f>
        <v>60000</v>
      </c>
      <c r="W793" s="9">
        <f>IF($H793&gt;I793, MIN($H793-I793, J793-I793)*INDEX('Key Metrics'!$E$16:$N$19,MATCH($E793,'Key Metrics'!$E$16:$E$19,0),MATCH(W$1,'Key Metrics'!$E$16:$M$16,0)),0)</f>
        <v>3142.4500000000003</v>
      </c>
      <c r="X793" s="9">
        <f>IF($H793&gt;J793, MIN($H793-J793, K793-J793)*INDEX('Key Metrics'!$E$16:$N$19,MATCH($E793,'Key Metrics'!$E$16:$E$19,0),MATCH(X$1,'Key Metrics'!$E$16:$M$16,0)),0)</f>
        <v>0</v>
      </c>
      <c r="Y793" s="9">
        <f>IF($H793&gt;K793, MIN($H793-K793, L793-K793)*INDEX('Key Metrics'!$E$16:$N$19,MATCH($E793,'Key Metrics'!$E$16:$E$19,0),MATCH(Y$1,'Key Metrics'!$E$16:$M$16,0)),0)</f>
        <v>0</v>
      </c>
      <c r="Z793" s="9">
        <f>IF($H793&gt;L793,($H793-L793)*INDEX('Key Metrics'!$E$16:$N$19,MATCH($E793,'Key Metrics'!$E$16:$E$19,0),MATCH(Z$1,'Key Metrics'!$E$16:$M$16,0)),0)</f>
        <v>0</v>
      </c>
      <c r="AA793" s="9">
        <f t="shared" si="129"/>
        <v>63142.45</v>
      </c>
      <c r="AB793" s="9">
        <f t="shared" si="121"/>
        <v>63143.486969999998</v>
      </c>
    </row>
    <row r="794" spans="1:28" x14ac:dyDescent="0.55000000000000004">
      <c r="A794" t="str">
        <f t="shared" si="122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COUNTIF(deals_closed!$D$2:$D$20001,Calculations!B573)</f>
        <v>22</v>
      </c>
      <c r="H794" s="7">
        <f>SUMIF(deals_closed!$D:$D,Calculations!B573,deals_closed!$C:$C)</f>
        <v>699928</v>
      </c>
      <c r="I794" s="5">
        <f>VLOOKUP(E794,'2018_commission_structure'!$A$1:$I$4,9,FALSE)</f>
        <v>750000</v>
      </c>
      <c r="J794" s="9">
        <f t="shared" si="123"/>
        <v>937500</v>
      </c>
      <c r="K794" s="10">
        <f t="shared" si="124"/>
        <v>1125000</v>
      </c>
      <c r="L794" s="9">
        <f t="shared" si="125"/>
        <v>1500000</v>
      </c>
      <c r="M794" s="8">
        <f t="shared" si="126"/>
        <v>0.93323733333333336</v>
      </c>
      <c r="N794" t="str">
        <f t="shared" si="127"/>
        <v>0-100%</v>
      </c>
      <c r="O794" s="9">
        <f>MIN($H794,$I794)*INDEX('2018_commission_structure'!$A$1:$I$4,MATCH($E794,'2018_commission_structure'!$A$1:$A$4,0),MATCH(O$1,'2018_commission_structure'!$A$1:$I$1,0))</f>
        <v>104989.2</v>
      </c>
      <c r="P794" s="9">
        <f>IF(H794&gt;I794, MIN(H794-I794, J794-I794)*INDEX('2018_commission_structure'!$A$1:$I$4,MATCH($E794,'2018_commission_structure'!$A$1:$A$4,0),MATCH(P$1,'2018_commission_structure'!$A$1:$I$1,0)),0)</f>
        <v>0</v>
      </c>
      <c r="Q794" s="9">
        <f>IF($H794&gt;J794, MIN($H794-J794, K794-J794)*INDEX('2018_commission_structure'!$A$1:$I$4,MATCH($E794,'2018_commission_structure'!$A$1:$A$4,0),MATCH(Q$1,'2018_commission_structure'!$A$1:$I$1,0)),0)</f>
        <v>0</v>
      </c>
      <c r="R794" s="9">
        <f>IF($H794&gt;K794, MIN($H794-K794, L794-K794)*INDEX('2018_commission_structure'!$A$1:$I$4,MATCH($E794,'2018_commission_structure'!$A$1:$A$4,0),MATCH(R$1,'2018_commission_structure'!$A$1:$I$1,0)),0)</f>
        <v>0</v>
      </c>
      <c r="S794" s="9">
        <f>IF(H794&gt;L794,(H794-L794)*INDEX('2018_commission_structure'!$A$1:$I$4,MATCH($E794,'2018_commission_structure'!$A$1:$A$4,0),MATCH(S$1,'2018_commission_structure'!$A$1:$I$1,0)),0)</f>
        <v>0</v>
      </c>
      <c r="T794" s="9">
        <f t="shared" si="128"/>
        <v>104989.2</v>
      </c>
      <c r="U794" s="9">
        <f t="shared" si="120"/>
        <v>226011.2</v>
      </c>
      <c r="V794" s="9">
        <f>MIN($I794,$H794)*INDEX('Key Metrics'!$E$16:$N$19,MATCH($E794,'Key Metrics'!$E$16:$E$19,0),MATCH(V$1,'Key Metrics'!$E$16:$M$16,0))</f>
        <v>104989.2</v>
      </c>
      <c r="W794" s="9">
        <f>IF($H794&gt;I794, MIN($H794-I794, J794-I794)*INDEX('Key Metrics'!$E$16:$N$19,MATCH($E794,'Key Metrics'!$E$16:$E$19,0),MATCH(W$1,'Key Metrics'!$E$16:$M$16,0)),0)</f>
        <v>0</v>
      </c>
      <c r="X794" s="9">
        <f>IF($H794&gt;J794, MIN($H794-J794, K794-J794)*INDEX('Key Metrics'!$E$16:$N$19,MATCH($E794,'Key Metrics'!$E$16:$E$19,0),MATCH(X$1,'Key Metrics'!$E$16:$M$16,0)),0)</f>
        <v>0</v>
      </c>
      <c r="Y794" s="9">
        <f>IF($H794&gt;K794, MIN($H794-K794, L794-K794)*INDEX('Key Metrics'!$E$16:$N$19,MATCH($E794,'Key Metrics'!$E$16:$E$19,0),MATCH(Y$1,'Key Metrics'!$E$16:$M$16,0)),0)</f>
        <v>0</v>
      </c>
      <c r="Z794" s="9">
        <f>IF($H794&gt;L794,($H794-L794)*INDEX('Key Metrics'!$E$16:$N$19,MATCH($E794,'Key Metrics'!$E$16:$E$19,0),MATCH(Z$1,'Key Metrics'!$E$16:$M$16,0)),0)</f>
        <v>0</v>
      </c>
      <c r="AA794" s="9">
        <f t="shared" si="129"/>
        <v>104989.2</v>
      </c>
      <c r="AB794" s="9">
        <f t="shared" si="121"/>
        <v>104990.13323733333</v>
      </c>
    </row>
    <row r="795" spans="1:28" x14ac:dyDescent="0.55000000000000004">
      <c r="A795" t="str">
        <f t="shared" si="122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COUNTIF(deals_closed!$D$2:$D$20001,Calculations!B20)</f>
        <v>20</v>
      </c>
      <c r="H795" s="7">
        <f>SUMIF(deals_closed!$D:$D,Calculations!B20,deals_closed!$C:$C)</f>
        <v>757866</v>
      </c>
      <c r="I795" s="5">
        <f>VLOOKUP(E795,'2018_commission_structure'!$A$1:$I$4,9,FALSE)</f>
        <v>500000</v>
      </c>
      <c r="J795" s="9">
        <f t="shared" si="123"/>
        <v>625000</v>
      </c>
      <c r="K795" s="10">
        <f t="shared" si="124"/>
        <v>750000</v>
      </c>
      <c r="L795" s="9">
        <f t="shared" si="125"/>
        <v>1000000</v>
      </c>
      <c r="M795" s="8">
        <f t="shared" si="126"/>
        <v>1.5157320000000001</v>
      </c>
      <c r="N795" t="str">
        <f t="shared" si="127"/>
        <v>150-200%</v>
      </c>
      <c r="O795" s="9">
        <f>MIN($H795,$I795)*INDEX('2018_commission_structure'!$A$1:$I$4,MATCH($E795,'2018_commission_structure'!$A$1:$A$4,0),MATCH(O$1,'2018_commission_structure'!$A$1:$I$1,0))</f>
        <v>50000</v>
      </c>
      <c r="P795" s="9">
        <f>IF(H795&gt;I795, MIN(H795-I795, J795-I795)*INDEX('2018_commission_structure'!$A$1:$I$4,MATCH($E795,'2018_commission_structure'!$A$1:$A$4,0),MATCH(P$1,'2018_commission_structure'!$A$1:$I$1,0)),0)</f>
        <v>18750</v>
      </c>
      <c r="Q795" s="9">
        <f>IF($H795&gt;J795, MIN($H795-J795, K795-J795)*INDEX('2018_commission_structure'!$A$1:$I$4,MATCH($E795,'2018_commission_structure'!$A$1:$A$4,0),MATCH(Q$1,'2018_commission_structure'!$A$1:$I$1,0)),0)</f>
        <v>22500</v>
      </c>
      <c r="R795" s="9">
        <f>IF($H795&gt;K795, MIN($H795-K795, L795-K795)*INDEX('2018_commission_structure'!$A$1:$I$4,MATCH($E795,'2018_commission_structure'!$A$1:$A$4,0),MATCH(R$1,'2018_commission_structure'!$A$1:$I$1,0)),0)</f>
        <v>1730.52</v>
      </c>
      <c r="S795" s="9">
        <f>IF(H795&gt;L795,(H795-L795)*INDEX('2018_commission_structure'!$A$1:$I$4,MATCH($E795,'2018_commission_structure'!$A$1:$A$4,0),MATCH(S$1,'2018_commission_structure'!$A$1:$I$1,0)),0)</f>
        <v>0</v>
      </c>
      <c r="T795" s="9">
        <f t="shared" si="128"/>
        <v>92980.52</v>
      </c>
      <c r="U795" s="9">
        <f t="shared" si="120"/>
        <v>147612.52000000002</v>
      </c>
      <c r="V795" s="9">
        <f>MIN($I795,$H795)*INDEX('Key Metrics'!$E$16:$N$19,MATCH($E795,'Key Metrics'!$E$16:$E$19,0),MATCH(V$1,'Key Metrics'!$E$16:$M$16,0))</f>
        <v>60000</v>
      </c>
      <c r="W795" s="9">
        <f>IF($H795&gt;I795, MIN($H795-I795, J795-I795)*INDEX('Key Metrics'!$E$16:$N$19,MATCH($E795,'Key Metrics'!$E$16:$E$19,0),MATCH(W$1,'Key Metrics'!$E$16:$M$16,0)),0)</f>
        <v>21250</v>
      </c>
      <c r="X795" s="9">
        <f>IF($H795&gt;J795, MIN($H795-J795, K795-J795)*INDEX('Key Metrics'!$E$16:$N$19,MATCH($E795,'Key Metrics'!$E$16:$E$19,0),MATCH(X$1,'Key Metrics'!$E$16:$M$16,0)),0)</f>
        <v>25000</v>
      </c>
      <c r="Y795" s="9">
        <f>IF($H795&gt;K795, MIN($H795-K795, L795-K795)*INDEX('Key Metrics'!$E$16:$N$19,MATCH($E795,'Key Metrics'!$E$16:$E$19,0),MATCH(Y$1,'Key Metrics'!$E$16:$M$16,0)),0)</f>
        <v>1730.52</v>
      </c>
      <c r="Z795" s="9">
        <f>IF($H795&gt;L795,($H795-L795)*INDEX('Key Metrics'!$E$16:$N$19,MATCH($E795,'Key Metrics'!$E$16:$E$19,0),MATCH(Z$1,'Key Metrics'!$E$16:$M$16,0)),0)</f>
        <v>0</v>
      </c>
      <c r="AA795" s="9">
        <f t="shared" si="129"/>
        <v>107980.52</v>
      </c>
      <c r="AB795" s="9">
        <f t="shared" si="121"/>
        <v>107982.035732</v>
      </c>
    </row>
    <row r="796" spans="1:28" x14ac:dyDescent="0.55000000000000004">
      <c r="A796" t="str">
        <f t="shared" si="122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COUNTIF(deals_closed!$D$2:$D$20001,Calculations!B88)</f>
        <v>14</v>
      </c>
      <c r="H796" s="7">
        <f>SUMIF(deals_closed!$D:$D,Calculations!B88,deals_closed!$C:$C)</f>
        <v>475694</v>
      </c>
      <c r="I796" s="5">
        <f>VLOOKUP(E796,'2018_commission_structure'!$A$1:$I$4,9,FALSE)</f>
        <v>500000</v>
      </c>
      <c r="J796" s="9">
        <f t="shared" si="123"/>
        <v>625000</v>
      </c>
      <c r="K796" s="10">
        <f t="shared" si="124"/>
        <v>750000</v>
      </c>
      <c r="L796" s="9">
        <f t="shared" si="125"/>
        <v>1000000</v>
      </c>
      <c r="M796" s="8">
        <f t="shared" si="126"/>
        <v>0.95138800000000001</v>
      </c>
      <c r="N796" t="str">
        <f t="shared" si="127"/>
        <v>0-100%</v>
      </c>
      <c r="O796" s="9">
        <f>MIN($H796,$I796)*INDEX('2018_commission_structure'!$A$1:$I$4,MATCH($E796,'2018_commission_structure'!$A$1:$A$4,0),MATCH(O$1,'2018_commission_structure'!$A$1:$I$1,0))</f>
        <v>47569.4</v>
      </c>
      <c r="P796" s="9">
        <f>IF(H796&gt;I796, MIN(H796-I796, J796-I796)*INDEX('2018_commission_structure'!$A$1:$I$4,MATCH($E796,'2018_commission_structure'!$A$1:$A$4,0),MATCH(P$1,'2018_commission_structure'!$A$1:$I$1,0)),0)</f>
        <v>0</v>
      </c>
      <c r="Q796" s="9">
        <f>IF($H796&gt;J796, MIN($H796-J796, K796-J796)*INDEX('2018_commission_structure'!$A$1:$I$4,MATCH($E796,'2018_commission_structure'!$A$1:$A$4,0),MATCH(Q$1,'2018_commission_structure'!$A$1:$I$1,0)),0)</f>
        <v>0</v>
      </c>
      <c r="R796" s="9">
        <f>IF($H796&gt;K796, MIN($H796-K796, L796-K796)*INDEX('2018_commission_structure'!$A$1:$I$4,MATCH($E796,'2018_commission_structure'!$A$1:$A$4,0),MATCH(R$1,'2018_commission_structure'!$A$1:$I$1,0)),0)</f>
        <v>0</v>
      </c>
      <c r="S796" s="9">
        <f>IF(H796&gt;L796,(H796-L796)*INDEX('2018_commission_structure'!$A$1:$I$4,MATCH($E796,'2018_commission_structure'!$A$1:$A$4,0),MATCH(S$1,'2018_commission_structure'!$A$1:$I$1,0)),0)</f>
        <v>0</v>
      </c>
      <c r="T796" s="9">
        <f t="shared" si="128"/>
        <v>47569.4</v>
      </c>
      <c r="U796" s="9">
        <f t="shared" si="120"/>
        <v>89891.4</v>
      </c>
      <c r="V796" s="9">
        <f>MIN($I796,$H796)*INDEX('Key Metrics'!$E$16:$N$19,MATCH($E796,'Key Metrics'!$E$16:$E$19,0),MATCH(V$1,'Key Metrics'!$E$16:$M$16,0))</f>
        <v>57083.28</v>
      </c>
      <c r="W796" s="9">
        <f>IF($H796&gt;I796, MIN($H796-I796, J796-I796)*INDEX('Key Metrics'!$E$16:$N$19,MATCH($E796,'Key Metrics'!$E$16:$E$19,0),MATCH(W$1,'Key Metrics'!$E$16:$M$16,0)),0)</f>
        <v>0</v>
      </c>
      <c r="X796" s="9">
        <f>IF($H796&gt;J796, MIN($H796-J796, K796-J796)*INDEX('Key Metrics'!$E$16:$N$19,MATCH($E796,'Key Metrics'!$E$16:$E$19,0),MATCH(X$1,'Key Metrics'!$E$16:$M$16,0)),0)</f>
        <v>0</v>
      </c>
      <c r="Y796" s="9">
        <f>IF($H796&gt;K796, MIN($H796-K796, L796-K796)*INDEX('Key Metrics'!$E$16:$N$19,MATCH($E796,'Key Metrics'!$E$16:$E$19,0),MATCH(Y$1,'Key Metrics'!$E$16:$M$16,0)),0)</f>
        <v>0</v>
      </c>
      <c r="Z796" s="9">
        <f>IF($H796&gt;L796,($H796-L796)*INDEX('Key Metrics'!$E$16:$N$19,MATCH($E796,'Key Metrics'!$E$16:$E$19,0),MATCH(Z$1,'Key Metrics'!$E$16:$M$16,0)),0)</f>
        <v>0</v>
      </c>
      <c r="AA796" s="9">
        <f t="shared" si="129"/>
        <v>57083.28</v>
      </c>
      <c r="AB796" s="9">
        <f t="shared" si="121"/>
        <v>57084.231388</v>
      </c>
    </row>
    <row r="797" spans="1:28" x14ac:dyDescent="0.55000000000000004">
      <c r="A797" t="str">
        <f t="shared" si="122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COUNTIF(deals_closed!$D$2:$D$20001,Calculations!B266)</f>
        <v>20</v>
      </c>
      <c r="H797" s="7">
        <f>SUMIF(deals_closed!$D:$D,Calculations!B266,deals_closed!$C:$C)</f>
        <v>692731</v>
      </c>
      <c r="I797" s="5">
        <f>VLOOKUP(E797,'2018_commission_structure'!$A$1:$I$4,9,FALSE)</f>
        <v>600000</v>
      </c>
      <c r="J797" s="9">
        <f t="shared" si="123"/>
        <v>750000</v>
      </c>
      <c r="K797" s="10">
        <f t="shared" si="124"/>
        <v>900000</v>
      </c>
      <c r="L797" s="9">
        <f t="shared" si="125"/>
        <v>1200000</v>
      </c>
      <c r="M797" s="8">
        <f t="shared" si="126"/>
        <v>1.1545516666666666</v>
      </c>
      <c r="N797" t="str">
        <f t="shared" si="127"/>
        <v>100-125%</v>
      </c>
      <c r="O797" s="9">
        <f>MIN($H797,$I797)*INDEX('2018_commission_structure'!$A$1:$I$4,MATCH($E797,'2018_commission_structure'!$A$1:$A$4,0),MATCH(O$1,'2018_commission_structure'!$A$1:$I$1,0))</f>
        <v>78000</v>
      </c>
      <c r="P797" s="9">
        <f>IF(H797&gt;I797, MIN(H797-I797, J797-I797)*INDEX('2018_commission_structure'!$A$1:$I$4,MATCH($E797,'2018_commission_structure'!$A$1:$A$4,0),MATCH(P$1,'2018_commission_structure'!$A$1:$I$1,0)),0)</f>
        <v>15764.27</v>
      </c>
      <c r="Q797" s="9">
        <f>IF($H797&gt;J797, MIN($H797-J797, K797-J797)*INDEX('2018_commission_structure'!$A$1:$I$4,MATCH($E797,'2018_commission_structure'!$A$1:$A$4,0),MATCH(Q$1,'2018_commission_structure'!$A$1:$I$1,0)),0)</f>
        <v>0</v>
      </c>
      <c r="R797" s="9">
        <f>IF($H797&gt;K797, MIN($H797-K797, L797-K797)*INDEX('2018_commission_structure'!$A$1:$I$4,MATCH($E797,'2018_commission_structure'!$A$1:$A$4,0),MATCH(R$1,'2018_commission_structure'!$A$1:$I$1,0)),0)</f>
        <v>0</v>
      </c>
      <c r="S797" s="9">
        <f>IF(H797&gt;L797,(H797-L797)*INDEX('2018_commission_structure'!$A$1:$I$4,MATCH($E797,'2018_commission_structure'!$A$1:$A$4,0),MATCH(S$1,'2018_commission_structure'!$A$1:$I$1,0)),0)</f>
        <v>0</v>
      </c>
      <c r="T797" s="9">
        <f t="shared" si="128"/>
        <v>93764.27</v>
      </c>
      <c r="U797" s="9">
        <f t="shared" si="120"/>
        <v>167760.27000000002</v>
      </c>
      <c r="V797" s="9">
        <f>MIN($I797,$H797)*INDEX('Key Metrics'!$E$16:$N$19,MATCH($E797,'Key Metrics'!$E$16:$E$19,0),MATCH(V$1,'Key Metrics'!$E$16:$M$16,0))</f>
        <v>90000</v>
      </c>
      <c r="W797" s="9">
        <f>IF($H797&gt;I797, MIN($H797-I797, J797-I797)*INDEX('Key Metrics'!$E$16:$N$19,MATCH($E797,'Key Metrics'!$E$16:$E$19,0),MATCH(W$1,'Key Metrics'!$E$16:$M$16,0)),0)</f>
        <v>16691.579999999998</v>
      </c>
      <c r="X797" s="9">
        <f>IF($H797&gt;J797, MIN($H797-J797, K797-J797)*INDEX('Key Metrics'!$E$16:$N$19,MATCH($E797,'Key Metrics'!$E$16:$E$19,0),MATCH(X$1,'Key Metrics'!$E$16:$M$16,0)),0)</f>
        <v>0</v>
      </c>
      <c r="Y797" s="9">
        <f>IF($H797&gt;K797, MIN($H797-K797, L797-K797)*INDEX('Key Metrics'!$E$16:$N$19,MATCH($E797,'Key Metrics'!$E$16:$E$19,0),MATCH(Y$1,'Key Metrics'!$E$16:$M$16,0)),0)</f>
        <v>0</v>
      </c>
      <c r="Z797" s="9">
        <f>IF($H797&gt;L797,($H797-L797)*INDEX('Key Metrics'!$E$16:$N$19,MATCH($E797,'Key Metrics'!$E$16:$E$19,0),MATCH(Z$1,'Key Metrics'!$E$16:$M$16,0)),0)</f>
        <v>0</v>
      </c>
      <c r="AA797" s="9">
        <f t="shared" si="129"/>
        <v>106691.58</v>
      </c>
      <c r="AB797" s="9">
        <f t="shared" si="121"/>
        <v>106692.73455166667</v>
      </c>
    </row>
    <row r="798" spans="1:28" x14ac:dyDescent="0.55000000000000004">
      <c r="A798" t="str">
        <f t="shared" si="122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COUNTIF(deals_closed!$D$2:$D$20001,Calculations!B987)</f>
        <v>22</v>
      </c>
      <c r="H798" s="7">
        <f>SUMIF(deals_closed!$D:$D,Calculations!B987,deals_closed!$C:$C)</f>
        <v>690813</v>
      </c>
      <c r="I798" s="5">
        <f>VLOOKUP(E798,'2018_commission_structure'!$A$1:$I$4,9,FALSE)</f>
        <v>750000</v>
      </c>
      <c r="J798" s="9">
        <f t="shared" si="123"/>
        <v>937500</v>
      </c>
      <c r="K798" s="10">
        <f t="shared" si="124"/>
        <v>1125000</v>
      </c>
      <c r="L798" s="9">
        <f t="shared" si="125"/>
        <v>1500000</v>
      </c>
      <c r="M798" s="8">
        <f t="shared" si="126"/>
        <v>0.92108400000000001</v>
      </c>
      <c r="N798" t="str">
        <f t="shared" si="127"/>
        <v>0-100%</v>
      </c>
      <c r="O798" s="9">
        <f>MIN($H798,$I798)*INDEX('2018_commission_structure'!$A$1:$I$4,MATCH($E798,'2018_commission_structure'!$A$1:$A$4,0),MATCH(O$1,'2018_commission_structure'!$A$1:$I$1,0))</f>
        <v>103621.95</v>
      </c>
      <c r="P798" s="9">
        <f>IF(H798&gt;I798, MIN(H798-I798, J798-I798)*INDEX('2018_commission_structure'!$A$1:$I$4,MATCH($E798,'2018_commission_structure'!$A$1:$A$4,0),MATCH(P$1,'2018_commission_structure'!$A$1:$I$1,0)),0)</f>
        <v>0</v>
      </c>
      <c r="Q798" s="9">
        <f>IF($H798&gt;J798, MIN($H798-J798, K798-J798)*INDEX('2018_commission_structure'!$A$1:$I$4,MATCH($E798,'2018_commission_structure'!$A$1:$A$4,0),MATCH(Q$1,'2018_commission_structure'!$A$1:$I$1,0)),0)</f>
        <v>0</v>
      </c>
      <c r="R798" s="9">
        <f>IF($H798&gt;K798, MIN($H798-K798, L798-K798)*INDEX('2018_commission_structure'!$A$1:$I$4,MATCH($E798,'2018_commission_structure'!$A$1:$A$4,0),MATCH(R$1,'2018_commission_structure'!$A$1:$I$1,0)),0)</f>
        <v>0</v>
      </c>
      <c r="S798" s="9">
        <f>IF(H798&gt;L798,(H798-L798)*INDEX('2018_commission_structure'!$A$1:$I$4,MATCH($E798,'2018_commission_structure'!$A$1:$A$4,0),MATCH(S$1,'2018_commission_structure'!$A$1:$I$1,0)),0)</f>
        <v>0</v>
      </c>
      <c r="T798" s="9">
        <f t="shared" si="128"/>
        <v>103621.95</v>
      </c>
      <c r="U798" s="9">
        <f t="shared" si="120"/>
        <v>218332.95</v>
      </c>
      <c r="V798" s="9">
        <f>MIN($I798,$H798)*INDEX('Key Metrics'!$E$16:$N$19,MATCH($E798,'Key Metrics'!$E$16:$E$19,0),MATCH(V$1,'Key Metrics'!$E$16:$M$16,0))</f>
        <v>103621.95</v>
      </c>
      <c r="W798" s="9">
        <f>IF($H798&gt;I798, MIN($H798-I798, J798-I798)*INDEX('Key Metrics'!$E$16:$N$19,MATCH($E798,'Key Metrics'!$E$16:$E$19,0),MATCH(W$1,'Key Metrics'!$E$16:$M$16,0)),0)</f>
        <v>0</v>
      </c>
      <c r="X798" s="9">
        <f>IF($H798&gt;J798, MIN($H798-J798, K798-J798)*INDEX('Key Metrics'!$E$16:$N$19,MATCH($E798,'Key Metrics'!$E$16:$E$19,0),MATCH(X$1,'Key Metrics'!$E$16:$M$16,0)),0)</f>
        <v>0</v>
      </c>
      <c r="Y798" s="9">
        <f>IF($H798&gt;K798, MIN($H798-K798, L798-K798)*INDEX('Key Metrics'!$E$16:$N$19,MATCH($E798,'Key Metrics'!$E$16:$E$19,0),MATCH(Y$1,'Key Metrics'!$E$16:$M$16,0)),0)</f>
        <v>0</v>
      </c>
      <c r="Z798" s="9">
        <f>IF($H798&gt;L798,($H798-L798)*INDEX('Key Metrics'!$E$16:$N$19,MATCH($E798,'Key Metrics'!$E$16:$E$19,0),MATCH(Z$1,'Key Metrics'!$E$16:$M$16,0)),0)</f>
        <v>0</v>
      </c>
      <c r="AA798" s="9">
        <f t="shared" si="129"/>
        <v>103621.95</v>
      </c>
      <c r="AB798" s="9">
        <f t="shared" si="121"/>
        <v>103622.871084</v>
      </c>
    </row>
    <row r="799" spans="1:28" x14ac:dyDescent="0.55000000000000004">
      <c r="A799" t="str">
        <f t="shared" si="122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COUNTIF(deals_closed!$D$2:$D$20001,Calculations!B663)</f>
        <v>11</v>
      </c>
      <c r="H799" s="7">
        <f>SUMIF(deals_closed!$D:$D,Calculations!B663,deals_closed!$C:$C)</f>
        <v>381274</v>
      </c>
      <c r="I799" s="5">
        <f>VLOOKUP(E799,'2018_commission_structure'!$A$1:$I$4,9,FALSE)</f>
        <v>500000</v>
      </c>
      <c r="J799" s="9">
        <f t="shared" si="123"/>
        <v>625000</v>
      </c>
      <c r="K799" s="10">
        <f t="shared" si="124"/>
        <v>750000</v>
      </c>
      <c r="L799" s="9">
        <f t="shared" si="125"/>
        <v>1000000</v>
      </c>
      <c r="M799" s="8">
        <f t="shared" si="126"/>
        <v>0.762548</v>
      </c>
      <c r="N799" t="str">
        <f t="shared" si="127"/>
        <v>0-100%</v>
      </c>
      <c r="O799" s="9">
        <f>MIN($H799,$I799)*INDEX('2018_commission_structure'!$A$1:$I$4,MATCH($E799,'2018_commission_structure'!$A$1:$A$4,0),MATCH(O$1,'2018_commission_structure'!$A$1:$I$1,0))</f>
        <v>38127.4</v>
      </c>
      <c r="P799" s="9">
        <f>IF(H799&gt;I799, MIN(H799-I799, J799-I799)*INDEX('2018_commission_structure'!$A$1:$I$4,MATCH($E799,'2018_commission_structure'!$A$1:$A$4,0),MATCH(P$1,'2018_commission_structure'!$A$1:$I$1,0)),0)</f>
        <v>0</v>
      </c>
      <c r="Q799" s="9">
        <f>IF($H799&gt;J799, MIN($H799-J799, K799-J799)*INDEX('2018_commission_structure'!$A$1:$I$4,MATCH($E799,'2018_commission_structure'!$A$1:$A$4,0),MATCH(Q$1,'2018_commission_structure'!$A$1:$I$1,0)),0)</f>
        <v>0</v>
      </c>
      <c r="R799" s="9">
        <f>IF($H799&gt;K799, MIN($H799-K799, L799-K799)*INDEX('2018_commission_structure'!$A$1:$I$4,MATCH($E799,'2018_commission_structure'!$A$1:$A$4,0),MATCH(R$1,'2018_commission_structure'!$A$1:$I$1,0)),0)</f>
        <v>0</v>
      </c>
      <c r="S799" s="9">
        <f>IF(H799&gt;L799,(H799-L799)*INDEX('2018_commission_structure'!$A$1:$I$4,MATCH($E799,'2018_commission_structure'!$A$1:$A$4,0),MATCH(S$1,'2018_commission_structure'!$A$1:$I$1,0)),0)</f>
        <v>0</v>
      </c>
      <c r="T799" s="9">
        <f t="shared" si="128"/>
        <v>38127.4</v>
      </c>
      <c r="U799" s="9">
        <f t="shared" si="120"/>
        <v>76715.399999999994</v>
      </c>
      <c r="V799" s="9">
        <f>MIN($I799,$H799)*INDEX('Key Metrics'!$E$16:$N$19,MATCH($E799,'Key Metrics'!$E$16:$E$19,0),MATCH(V$1,'Key Metrics'!$E$16:$M$16,0))</f>
        <v>45752.88</v>
      </c>
      <c r="W799" s="9">
        <f>IF($H799&gt;I799, MIN($H799-I799, J799-I799)*INDEX('Key Metrics'!$E$16:$N$19,MATCH($E799,'Key Metrics'!$E$16:$E$19,0),MATCH(W$1,'Key Metrics'!$E$16:$M$16,0)),0)</f>
        <v>0</v>
      </c>
      <c r="X799" s="9">
        <f>IF($H799&gt;J799, MIN($H799-J799, K799-J799)*INDEX('Key Metrics'!$E$16:$N$19,MATCH($E799,'Key Metrics'!$E$16:$E$19,0),MATCH(X$1,'Key Metrics'!$E$16:$M$16,0)),0)</f>
        <v>0</v>
      </c>
      <c r="Y799" s="9">
        <f>IF($H799&gt;K799, MIN($H799-K799, L799-K799)*INDEX('Key Metrics'!$E$16:$N$19,MATCH($E799,'Key Metrics'!$E$16:$E$19,0),MATCH(Y$1,'Key Metrics'!$E$16:$M$16,0)),0)</f>
        <v>0</v>
      </c>
      <c r="Z799" s="9">
        <f>IF($H799&gt;L799,($H799-L799)*INDEX('Key Metrics'!$E$16:$N$19,MATCH($E799,'Key Metrics'!$E$16:$E$19,0),MATCH(Z$1,'Key Metrics'!$E$16:$M$16,0)),0)</f>
        <v>0</v>
      </c>
      <c r="AA799" s="9">
        <f t="shared" si="129"/>
        <v>45752.88</v>
      </c>
      <c r="AB799" s="9">
        <f t="shared" si="121"/>
        <v>45753.642547999996</v>
      </c>
    </row>
    <row r="800" spans="1:28" x14ac:dyDescent="0.55000000000000004">
      <c r="A800" t="str">
        <f t="shared" si="122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COUNTIF(deals_closed!$D$2:$D$20001,Calculations!B182)</f>
        <v>17</v>
      </c>
      <c r="H800" s="7">
        <f>SUMIF(deals_closed!$D:$D,Calculations!B182,deals_closed!$C:$C)</f>
        <v>577152</v>
      </c>
      <c r="I800" s="5">
        <f>VLOOKUP(E800,'2018_commission_structure'!$A$1:$I$4,9,FALSE)</f>
        <v>600000</v>
      </c>
      <c r="J800" s="9">
        <f t="shared" si="123"/>
        <v>750000</v>
      </c>
      <c r="K800" s="10">
        <f t="shared" si="124"/>
        <v>900000</v>
      </c>
      <c r="L800" s="9">
        <f t="shared" si="125"/>
        <v>1200000</v>
      </c>
      <c r="M800" s="8">
        <f t="shared" si="126"/>
        <v>0.96192</v>
      </c>
      <c r="N800" t="str">
        <f t="shared" si="127"/>
        <v>0-100%</v>
      </c>
      <c r="O800" s="9">
        <f>MIN($H800,$I800)*INDEX('2018_commission_structure'!$A$1:$I$4,MATCH($E800,'2018_commission_structure'!$A$1:$A$4,0),MATCH(O$1,'2018_commission_structure'!$A$1:$I$1,0))</f>
        <v>75029.760000000009</v>
      </c>
      <c r="P800" s="9">
        <f>IF(H800&gt;I800, MIN(H800-I800, J800-I800)*INDEX('2018_commission_structure'!$A$1:$I$4,MATCH($E800,'2018_commission_structure'!$A$1:$A$4,0),MATCH(P$1,'2018_commission_structure'!$A$1:$I$1,0)),0)</f>
        <v>0</v>
      </c>
      <c r="Q800" s="9">
        <f>IF($H800&gt;J800, MIN($H800-J800, K800-J800)*INDEX('2018_commission_structure'!$A$1:$I$4,MATCH($E800,'2018_commission_structure'!$A$1:$A$4,0),MATCH(Q$1,'2018_commission_structure'!$A$1:$I$1,0)),0)</f>
        <v>0</v>
      </c>
      <c r="R800" s="9">
        <f>IF($H800&gt;K800, MIN($H800-K800, L800-K800)*INDEX('2018_commission_structure'!$A$1:$I$4,MATCH($E800,'2018_commission_structure'!$A$1:$A$4,0),MATCH(R$1,'2018_commission_structure'!$A$1:$I$1,0)),0)</f>
        <v>0</v>
      </c>
      <c r="S800" s="9">
        <f>IF(H800&gt;L800,(H800-L800)*INDEX('2018_commission_structure'!$A$1:$I$4,MATCH($E800,'2018_commission_structure'!$A$1:$A$4,0),MATCH(S$1,'2018_commission_structure'!$A$1:$I$1,0)),0)</f>
        <v>0</v>
      </c>
      <c r="T800" s="9">
        <f t="shared" si="128"/>
        <v>75029.760000000009</v>
      </c>
      <c r="U800" s="9">
        <f t="shared" si="120"/>
        <v>130598.76000000001</v>
      </c>
      <c r="V800" s="9">
        <f>MIN($I800,$H800)*INDEX('Key Metrics'!$E$16:$N$19,MATCH($E800,'Key Metrics'!$E$16:$E$19,0),MATCH(V$1,'Key Metrics'!$E$16:$M$16,0))</f>
        <v>86572.800000000003</v>
      </c>
      <c r="W800" s="9">
        <f>IF($H800&gt;I800, MIN($H800-I800, J800-I800)*INDEX('Key Metrics'!$E$16:$N$19,MATCH($E800,'Key Metrics'!$E$16:$E$19,0),MATCH(W$1,'Key Metrics'!$E$16:$M$16,0)),0)</f>
        <v>0</v>
      </c>
      <c r="X800" s="9">
        <f>IF($H800&gt;J800, MIN($H800-J800, K800-J800)*INDEX('Key Metrics'!$E$16:$N$19,MATCH($E800,'Key Metrics'!$E$16:$E$19,0),MATCH(X$1,'Key Metrics'!$E$16:$M$16,0)),0)</f>
        <v>0</v>
      </c>
      <c r="Y800" s="9">
        <f>IF($H800&gt;K800, MIN($H800-K800, L800-K800)*INDEX('Key Metrics'!$E$16:$N$19,MATCH($E800,'Key Metrics'!$E$16:$E$19,0),MATCH(Y$1,'Key Metrics'!$E$16:$M$16,0)),0)</f>
        <v>0</v>
      </c>
      <c r="Z800" s="9">
        <f>IF($H800&gt;L800,($H800-L800)*INDEX('Key Metrics'!$E$16:$N$19,MATCH($E800,'Key Metrics'!$E$16:$E$19,0),MATCH(Z$1,'Key Metrics'!$E$16:$M$16,0)),0)</f>
        <v>0</v>
      </c>
      <c r="AA800" s="9">
        <f t="shared" si="129"/>
        <v>86572.800000000003</v>
      </c>
      <c r="AB800" s="9">
        <f t="shared" si="121"/>
        <v>86573.761920000004</v>
      </c>
    </row>
    <row r="801" spans="1:28" x14ac:dyDescent="0.55000000000000004">
      <c r="A801" t="str">
        <f t="shared" si="122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COUNTIF(deals_closed!$D$2:$D$20001,Calculations!B146)</f>
        <v>22</v>
      </c>
      <c r="H801" s="7">
        <f>SUMIF(deals_closed!$D:$D,Calculations!B146,deals_closed!$C:$C)</f>
        <v>640512</v>
      </c>
      <c r="I801" s="5">
        <f>VLOOKUP(E801,'2018_commission_structure'!$A$1:$I$4,9,FALSE)</f>
        <v>500000</v>
      </c>
      <c r="J801" s="9">
        <f t="shared" si="123"/>
        <v>625000</v>
      </c>
      <c r="K801" s="10">
        <f t="shared" si="124"/>
        <v>750000</v>
      </c>
      <c r="L801" s="9">
        <f t="shared" si="125"/>
        <v>1000000</v>
      </c>
      <c r="M801" s="8">
        <f t="shared" si="126"/>
        <v>1.2810239999999999</v>
      </c>
      <c r="N801" t="str">
        <f t="shared" si="127"/>
        <v>125-150%</v>
      </c>
      <c r="O801" s="9">
        <f>MIN($H801,$I801)*INDEX('2018_commission_structure'!$A$1:$I$4,MATCH($E801,'2018_commission_structure'!$A$1:$A$4,0),MATCH(O$1,'2018_commission_structure'!$A$1:$I$1,0))</f>
        <v>50000</v>
      </c>
      <c r="P801" s="9">
        <f>IF(H801&gt;I801, MIN(H801-I801, J801-I801)*INDEX('2018_commission_structure'!$A$1:$I$4,MATCH($E801,'2018_commission_structure'!$A$1:$A$4,0),MATCH(P$1,'2018_commission_structure'!$A$1:$I$1,0)),0)</f>
        <v>18750</v>
      </c>
      <c r="Q801" s="9">
        <f>IF($H801&gt;J801, MIN($H801-J801, K801-J801)*INDEX('2018_commission_structure'!$A$1:$I$4,MATCH($E801,'2018_commission_structure'!$A$1:$A$4,0),MATCH(Q$1,'2018_commission_structure'!$A$1:$I$1,0)),0)</f>
        <v>2792.16</v>
      </c>
      <c r="R801" s="9">
        <f>IF($H801&gt;K801, MIN($H801-K801, L801-K801)*INDEX('2018_commission_structure'!$A$1:$I$4,MATCH($E801,'2018_commission_structure'!$A$1:$A$4,0),MATCH(R$1,'2018_commission_structure'!$A$1:$I$1,0)),0)</f>
        <v>0</v>
      </c>
      <c r="S801" s="9">
        <f>IF(H801&gt;L801,(H801-L801)*INDEX('2018_commission_structure'!$A$1:$I$4,MATCH($E801,'2018_commission_structure'!$A$1:$A$4,0),MATCH(S$1,'2018_commission_structure'!$A$1:$I$1,0)),0)</f>
        <v>0</v>
      </c>
      <c r="T801" s="9">
        <f t="shared" si="128"/>
        <v>71542.16</v>
      </c>
      <c r="U801" s="9">
        <f t="shared" si="120"/>
        <v>115897.16</v>
      </c>
      <c r="V801" s="9">
        <f>MIN($I801,$H801)*INDEX('Key Metrics'!$E$16:$N$19,MATCH($E801,'Key Metrics'!$E$16:$E$19,0),MATCH(V$1,'Key Metrics'!$E$16:$M$16,0))</f>
        <v>60000</v>
      </c>
      <c r="W801" s="9">
        <f>IF($H801&gt;I801, MIN($H801-I801, J801-I801)*INDEX('Key Metrics'!$E$16:$N$19,MATCH($E801,'Key Metrics'!$E$16:$E$19,0),MATCH(W$1,'Key Metrics'!$E$16:$M$16,0)),0)</f>
        <v>21250</v>
      </c>
      <c r="X801" s="9">
        <f>IF($H801&gt;J801, MIN($H801-J801, K801-J801)*INDEX('Key Metrics'!$E$16:$N$19,MATCH($E801,'Key Metrics'!$E$16:$E$19,0),MATCH(X$1,'Key Metrics'!$E$16:$M$16,0)),0)</f>
        <v>3102.4</v>
      </c>
      <c r="Y801" s="9">
        <f>IF($H801&gt;K801, MIN($H801-K801, L801-K801)*INDEX('Key Metrics'!$E$16:$N$19,MATCH($E801,'Key Metrics'!$E$16:$E$19,0),MATCH(Y$1,'Key Metrics'!$E$16:$M$16,0)),0)</f>
        <v>0</v>
      </c>
      <c r="Z801" s="9">
        <f>IF($H801&gt;L801,($H801-L801)*INDEX('Key Metrics'!$E$16:$N$19,MATCH($E801,'Key Metrics'!$E$16:$E$19,0),MATCH(Z$1,'Key Metrics'!$E$16:$M$16,0)),0)</f>
        <v>0</v>
      </c>
      <c r="AA801" s="9">
        <f t="shared" si="129"/>
        <v>84352.4</v>
      </c>
      <c r="AB801" s="9">
        <f t="shared" si="121"/>
        <v>84353.68102399999</v>
      </c>
    </row>
    <row r="802" spans="1:28" x14ac:dyDescent="0.55000000000000004">
      <c r="A802" t="str">
        <f t="shared" si="122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COUNTIF(deals_closed!$D$2:$D$20001,Calculations!B165)</f>
        <v>20</v>
      </c>
      <c r="H802" s="7">
        <f>SUMIF(deals_closed!$D:$D,Calculations!B165,deals_closed!$C:$C)</f>
        <v>827180</v>
      </c>
      <c r="I802" s="5">
        <f>VLOOKUP(E802,'2018_commission_structure'!$A$1:$I$4,9,FALSE)</f>
        <v>500000</v>
      </c>
      <c r="J802" s="9">
        <f t="shared" si="123"/>
        <v>625000</v>
      </c>
      <c r="K802" s="10">
        <f t="shared" si="124"/>
        <v>750000</v>
      </c>
      <c r="L802" s="9">
        <f t="shared" si="125"/>
        <v>1000000</v>
      </c>
      <c r="M802" s="8">
        <f t="shared" si="126"/>
        <v>1.6543600000000001</v>
      </c>
      <c r="N802" t="str">
        <f t="shared" si="127"/>
        <v>150-200%</v>
      </c>
      <c r="O802" s="9">
        <f>MIN($H802,$I802)*INDEX('2018_commission_structure'!$A$1:$I$4,MATCH($E802,'2018_commission_structure'!$A$1:$A$4,0),MATCH(O$1,'2018_commission_structure'!$A$1:$I$1,0))</f>
        <v>50000</v>
      </c>
      <c r="P802" s="9">
        <f>IF(H802&gt;I802, MIN(H802-I802, J802-I802)*INDEX('2018_commission_structure'!$A$1:$I$4,MATCH($E802,'2018_commission_structure'!$A$1:$A$4,0),MATCH(P$1,'2018_commission_structure'!$A$1:$I$1,0)),0)</f>
        <v>18750</v>
      </c>
      <c r="Q802" s="9">
        <f>IF($H802&gt;J802, MIN($H802-J802, K802-J802)*INDEX('2018_commission_structure'!$A$1:$I$4,MATCH($E802,'2018_commission_structure'!$A$1:$A$4,0),MATCH(Q$1,'2018_commission_structure'!$A$1:$I$1,0)),0)</f>
        <v>22500</v>
      </c>
      <c r="R802" s="9">
        <f>IF($H802&gt;K802, MIN($H802-K802, L802-K802)*INDEX('2018_commission_structure'!$A$1:$I$4,MATCH($E802,'2018_commission_structure'!$A$1:$A$4,0),MATCH(R$1,'2018_commission_structure'!$A$1:$I$1,0)),0)</f>
        <v>16979.599999999999</v>
      </c>
      <c r="S802" s="9">
        <f>IF(H802&gt;L802,(H802-L802)*INDEX('2018_commission_structure'!$A$1:$I$4,MATCH($E802,'2018_commission_structure'!$A$1:$A$4,0),MATCH(S$1,'2018_commission_structure'!$A$1:$I$1,0)),0)</f>
        <v>0</v>
      </c>
      <c r="T802" s="9">
        <f t="shared" si="128"/>
        <v>108229.6</v>
      </c>
      <c r="U802" s="9">
        <f t="shared" ref="U802:U865" si="130">F802+T802</f>
        <v>172041.60000000001</v>
      </c>
      <c r="V802" s="9">
        <f>MIN($I802,$H802)*INDEX('Key Metrics'!$E$16:$N$19,MATCH($E802,'Key Metrics'!$E$16:$E$19,0),MATCH(V$1,'Key Metrics'!$E$16:$M$16,0))</f>
        <v>60000</v>
      </c>
      <c r="W802" s="9">
        <f>IF($H802&gt;I802, MIN($H802-I802, J802-I802)*INDEX('Key Metrics'!$E$16:$N$19,MATCH($E802,'Key Metrics'!$E$16:$E$19,0),MATCH(W$1,'Key Metrics'!$E$16:$M$16,0)),0)</f>
        <v>21250</v>
      </c>
      <c r="X802" s="9">
        <f>IF($H802&gt;J802, MIN($H802-J802, K802-J802)*INDEX('Key Metrics'!$E$16:$N$19,MATCH($E802,'Key Metrics'!$E$16:$E$19,0),MATCH(X$1,'Key Metrics'!$E$16:$M$16,0)),0)</f>
        <v>25000</v>
      </c>
      <c r="Y802" s="9">
        <f>IF($H802&gt;K802, MIN($H802-K802, L802-K802)*INDEX('Key Metrics'!$E$16:$N$19,MATCH($E802,'Key Metrics'!$E$16:$E$19,0),MATCH(Y$1,'Key Metrics'!$E$16:$M$16,0)),0)</f>
        <v>16979.599999999999</v>
      </c>
      <c r="Z802" s="9">
        <f>IF($H802&gt;L802,($H802-L802)*INDEX('Key Metrics'!$E$16:$N$19,MATCH($E802,'Key Metrics'!$E$16:$E$19,0),MATCH(Z$1,'Key Metrics'!$E$16:$M$16,0)),0)</f>
        <v>0</v>
      </c>
      <c r="AA802" s="9">
        <f t="shared" si="129"/>
        <v>123229.6</v>
      </c>
      <c r="AB802" s="9">
        <f t="shared" ref="AB802:AB865" si="131">M802+AA802</f>
        <v>123231.25436000001</v>
      </c>
    </row>
    <row r="803" spans="1:28" x14ac:dyDescent="0.55000000000000004">
      <c r="A803" t="str">
        <f t="shared" si="122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COUNTIF(deals_closed!$D$2:$D$20001,Calculations!B152)</f>
        <v>24</v>
      </c>
      <c r="H803" s="7">
        <f>SUMIF(deals_closed!$D:$D,Calculations!B152,deals_closed!$C:$C)</f>
        <v>894395</v>
      </c>
      <c r="I803" s="5">
        <f>VLOOKUP(E803,'2018_commission_structure'!$A$1:$I$4,9,FALSE)</f>
        <v>750000</v>
      </c>
      <c r="J803" s="9">
        <f t="shared" si="123"/>
        <v>937500</v>
      </c>
      <c r="K803" s="10">
        <f t="shared" si="124"/>
        <v>1125000</v>
      </c>
      <c r="L803" s="9">
        <f t="shared" si="125"/>
        <v>1500000</v>
      </c>
      <c r="M803" s="8">
        <f t="shared" si="126"/>
        <v>1.1925266666666667</v>
      </c>
      <c r="N803" t="str">
        <f t="shared" si="127"/>
        <v>100-125%</v>
      </c>
      <c r="O803" s="9">
        <f>MIN($H803,$I803)*INDEX('2018_commission_structure'!$A$1:$I$4,MATCH($E803,'2018_commission_structure'!$A$1:$A$4,0),MATCH(O$1,'2018_commission_structure'!$A$1:$I$1,0))</f>
        <v>112500</v>
      </c>
      <c r="P803" s="9">
        <f>IF(H803&gt;I803, MIN(H803-I803, J803-I803)*INDEX('2018_commission_structure'!$A$1:$I$4,MATCH($E803,'2018_commission_structure'!$A$1:$A$4,0),MATCH(P$1,'2018_commission_structure'!$A$1:$I$1,0)),0)</f>
        <v>27435.05</v>
      </c>
      <c r="Q803" s="9">
        <f>IF($H803&gt;J803, MIN($H803-J803, K803-J803)*INDEX('2018_commission_structure'!$A$1:$I$4,MATCH($E803,'2018_commission_structure'!$A$1:$A$4,0),MATCH(Q$1,'2018_commission_structure'!$A$1:$I$1,0)),0)</f>
        <v>0</v>
      </c>
      <c r="R803" s="9">
        <f>IF($H803&gt;K803, MIN($H803-K803, L803-K803)*INDEX('2018_commission_structure'!$A$1:$I$4,MATCH($E803,'2018_commission_structure'!$A$1:$A$4,0),MATCH(R$1,'2018_commission_structure'!$A$1:$I$1,0)),0)</f>
        <v>0</v>
      </c>
      <c r="S803" s="9">
        <f>IF(H803&gt;L803,(H803-L803)*INDEX('2018_commission_structure'!$A$1:$I$4,MATCH($E803,'2018_commission_structure'!$A$1:$A$4,0),MATCH(S$1,'2018_commission_structure'!$A$1:$I$1,0)),0)</f>
        <v>0</v>
      </c>
      <c r="T803" s="9">
        <f t="shared" si="128"/>
        <v>139935.04999999999</v>
      </c>
      <c r="U803" s="9">
        <f t="shared" si="130"/>
        <v>257998.05</v>
      </c>
      <c r="V803" s="9">
        <f>MIN($I803,$H803)*INDEX('Key Metrics'!$E$16:$N$19,MATCH($E803,'Key Metrics'!$E$16:$E$19,0),MATCH(V$1,'Key Metrics'!$E$16:$M$16,0))</f>
        <v>112500</v>
      </c>
      <c r="W803" s="9">
        <f>IF($H803&gt;I803, MIN($H803-I803, J803-I803)*INDEX('Key Metrics'!$E$16:$N$19,MATCH($E803,'Key Metrics'!$E$16:$E$19,0),MATCH(W$1,'Key Metrics'!$E$16:$M$16,0)),0)</f>
        <v>31766.9</v>
      </c>
      <c r="X803" s="9">
        <f>IF($H803&gt;J803, MIN($H803-J803, K803-J803)*INDEX('Key Metrics'!$E$16:$N$19,MATCH($E803,'Key Metrics'!$E$16:$E$19,0),MATCH(X$1,'Key Metrics'!$E$16:$M$16,0)),0)</f>
        <v>0</v>
      </c>
      <c r="Y803" s="9">
        <f>IF($H803&gt;K803, MIN($H803-K803, L803-K803)*INDEX('Key Metrics'!$E$16:$N$19,MATCH($E803,'Key Metrics'!$E$16:$E$19,0),MATCH(Y$1,'Key Metrics'!$E$16:$M$16,0)),0)</f>
        <v>0</v>
      </c>
      <c r="Z803" s="9">
        <f>IF($H803&gt;L803,($H803-L803)*INDEX('Key Metrics'!$E$16:$N$19,MATCH($E803,'Key Metrics'!$E$16:$E$19,0),MATCH(Z$1,'Key Metrics'!$E$16:$M$16,0)),0)</f>
        <v>0</v>
      </c>
      <c r="AA803" s="9">
        <f t="shared" si="129"/>
        <v>144266.9</v>
      </c>
      <c r="AB803" s="9">
        <f t="shared" si="131"/>
        <v>144268.09252666667</v>
      </c>
    </row>
    <row r="804" spans="1:28" x14ac:dyDescent="0.55000000000000004">
      <c r="A804" t="str">
        <f t="shared" si="122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COUNTIF(deals_closed!$D$2:$D$20001,Calculations!B893)</f>
        <v>26</v>
      </c>
      <c r="H804" s="7">
        <f>SUMIF(deals_closed!$D:$D,Calculations!B893,deals_closed!$C:$C)</f>
        <v>937273</v>
      </c>
      <c r="I804" s="5">
        <f>VLOOKUP(E804,'2018_commission_structure'!$A$1:$I$4,9,FALSE)</f>
        <v>750000</v>
      </c>
      <c r="J804" s="9">
        <f t="shared" si="123"/>
        <v>937500</v>
      </c>
      <c r="K804" s="10">
        <f t="shared" si="124"/>
        <v>1125000</v>
      </c>
      <c r="L804" s="9">
        <f t="shared" si="125"/>
        <v>1500000</v>
      </c>
      <c r="M804" s="8">
        <f t="shared" si="126"/>
        <v>1.2496973333333334</v>
      </c>
      <c r="N804" t="str">
        <f t="shared" si="127"/>
        <v>100-125%</v>
      </c>
      <c r="O804" s="9">
        <f>MIN($H804,$I804)*INDEX('2018_commission_structure'!$A$1:$I$4,MATCH($E804,'2018_commission_structure'!$A$1:$A$4,0),MATCH(O$1,'2018_commission_structure'!$A$1:$I$1,0))</f>
        <v>112500</v>
      </c>
      <c r="P804" s="9">
        <f>IF(H804&gt;I804, MIN(H804-I804, J804-I804)*INDEX('2018_commission_structure'!$A$1:$I$4,MATCH($E804,'2018_commission_structure'!$A$1:$A$4,0),MATCH(P$1,'2018_commission_structure'!$A$1:$I$1,0)),0)</f>
        <v>35581.870000000003</v>
      </c>
      <c r="Q804" s="9">
        <f>IF($H804&gt;J804, MIN($H804-J804, K804-J804)*INDEX('2018_commission_structure'!$A$1:$I$4,MATCH($E804,'2018_commission_structure'!$A$1:$A$4,0),MATCH(Q$1,'2018_commission_structure'!$A$1:$I$1,0)),0)</f>
        <v>0</v>
      </c>
      <c r="R804" s="9">
        <f>IF($H804&gt;K804, MIN($H804-K804, L804-K804)*INDEX('2018_commission_structure'!$A$1:$I$4,MATCH($E804,'2018_commission_structure'!$A$1:$A$4,0),MATCH(R$1,'2018_commission_structure'!$A$1:$I$1,0)),0)</f>
        <v>0</v>
      </c>
      <c r="S804" s="9">
        <f>IF(H804&gt;L804,(H804-L804)*INDEX('2018_commission_structure'!$A$1:$I$4,MATCH($E804,'2018_commission_structure'!$A$1:$A$4,0),MATCH(S$1,'2018_commission_structure'!$A$1:$I$1,0)),0)</f>
        <v>0</v>
      </c>
      <c r="T804" s="9">
        <f t="shared" si="128"/>
        <v>148081.87</v>
      </c>
      <c r="U804" s="9">
        <f t="shared" si="130"/>
        <v>266510.87</v>
      </c>
      <c r="V804" s="9">
        <f>MIN($I804,$H804)*INDEX('Key Metrics'!$E$16:$N$19,MATCH($E804,'Key Metrics'!$E$16:$E$19,0),MATCH(V$1,'Key Metrics'!$E$16:$M$16,0))</f>
        <v>112500</v>
      </c>
      <c r="W804" s="9">
        <f>IF($H804&gt;I804, MIN($H804-I804, J804-I804)*INDEX('Key Metrics'!$E$16:$N$19,MATCH($E804,'Key Metrics'!$E$16:$E$19,0),MATCH(W$1,'Key Metrics'!$E$16:$M$16,0)),0)</f>
        <v>41200.06</v>
      </c>
      <c r="X804" s="9">
        <f>IF($H804&gt;J804, MIN($H804-J804, K804-J804)*INDEX('Key Metrics'!$E$16:$N$19,MATCH($E804,'Key Metrics'!$E$16:$E$19,0),MATCH(X$1,'Key Metrics'!$E$16:$M$16,0)),0)</f>
        <v>0</v>
      </c>
      <c r="Y804" s="9">
        <f>IF($H804&gt;K804, MIN($H804-K804, L804-K804)*INDEX('Key Metrics'!$E$16:$N$19,MATCH($E804,'Key Metrics'!$E$16:$E$19,0),MATCH(Y$1,'Key Metrics'!$E$16:$M$16,0)),0)</f>
        <v>0</v>
      </c>
      <c r="Z804" s="9">
        <f>IF($H804&gt;L804,($H804-L804)*INDEX('Key Metrics'!$E$16:$N$19,MATCH($E804,'Key Metrics'!$E$16:$E$19,0),MATCH(Z$1,'Key Metrics'!$E$16:$M$16,0)),0)</f>
        <v>0</v>
      </c>
      <c r="AA804" s="9">
        <f t="shared" si="129"/>
        <v>153700.06</v>
      </c>
      <c r="AB804" s="9">
        <f t="shared" si="131"/>
        <v>153701.30969733334</v>
      </c>
    </row>
    <row r="805" spans="1:28" x14ac:dyDescent="0.55000000000000004">
      <c r="A805" t="str">
        <f t="shared" si="122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COUNTIF(deals_closed!$D$2:$D$20001,Calculations!B415)</f>
        <v>14</v>
      </c>
      <c r="H805" s="7">
        <f>SUMIF(deals_closed!$D:$D,Calculations!B415,deals_closed!$C:$C)</f>
        <v>537360</v>
      </c>
      <c r="I805" s="5">
        <f>VLOOKUP(E805,'2018_commission_structure'!$A$1:$I$4,9,FALSE)</f>
        <v>750000</v>
      </c>
      <c r="J805" s="9">
        <f t="shared" si="123"/>
        <v>937500</v>
      </c>
      <c r="K805" s="10">
        <f t="shared" si="124"/>
        <v>1125000</v>
      </c>
      <c r="L805" s="9">
        <f t="shared" si="125"/>
        <v>1500000</v>
      </c>
      <c r="M805" s="8">
        <f t="shared" si="126"/>
        <v>0.71648000000000001</v>
      </c>
      <c r="N805" t="str">
        <f t="shared" si="127"/>
        <v>0-100%</v>
      </c>
      <c r="O805" s="9">
        <f>MIN($H805,$I805)*INDEX('2018_commission_structure'!$A$1:$I$4,MATCH($E805,'2018_commission_structure'!$A$1:$A$4,0),MATCH(O$1,'2018_commission_structure'!$A$1:$I$1,0))</f>
        <v>80604</v>
      </c>
      <c r="P805" s="9">
        <f>IF(H805&gt;I805, MIN(H805-I805, J805-I805)*INDEX('2018_commission_structure'!$A$1:$I$4,MATCH($E805,'2018_commission_structure'!$A$1:$A$4,0),MATCH(P$1,'2018_commission_structure'!$A$1:$I$1,0)),0)</f>
        <v>0</v>
      </c>
      <c r="Q805" s="9">
        <f>IF($H805&gt;J805, MIN($H805-J805, K805-J805)*INDEX('2018_commission_structure'!$A$1:$I$4,MATCH($E805,'2018_commission_structure'!$A$1:$A$4,0),MATCH(Q$1,'2018_commission_structure'!$A$1:$I$1,0)),0)</f>
        <v>0</v>
      </c>
      <c r="R805" s="9">
        <f>IF($H805&gt;K805, MIN($H805-K805, L805-K805)*INDEX('2018_commission_structure'!$A$1:$I$4,MATCH($E805,'2018_commission_structure'!$A$1:$A$4,0),MATCH(R$1,'2018_commission_structure'!$A$1:$I$1,0)),0)</f>
        <v>0</v>
      </c>
      <c r="S805" s="9">
        <f>IF(H805&gt;L805,(H805-L805)*INDEX('2018_commission_structure'!$A$1:$I$4,MATCH($E805,'2018_commission_structure'!$A$1:$A$4,0),MATCH(S$1,'2018_commission_structure'!$A$1:$I$1,0)),0)</f>
        <v>0</v>
      </c>
      <c r="T805" s="9">
        <f t="shared" si="128"/>
        <v>80604</v>
      </c>
      <c r="U805" s="9">
        <f t="shared" si="130"/>
        <v>179498</v>
      </c>
      <c r="V805" s="9">
        <f>MIN($I805,$H805)*INDEX('Key Metrics'!$E$16:$N$19,MATCH($E805,'Key Metrics'!$E$16:$E$19,0),MATCH(V$1,'Key Metrics'!$E$16:$M$16,0))</f>
        <v>80604</v>
      </c>
      <c r="W805" s="9">
        <f>IF($H805&gt;I805, MIN($H805-I805, J805-I805)*INDEX('Key Metrics'!$E$16:$N$19,MATCH($E805,'Key Metrics'!$E$16:$E$19,0),MATCH(W$1,'Key Metrics'!$E$16:$M$16,0)),0)</f>
        <v>0</v>
      </c>
      <c r="X805" s="9">
        <f>IF($H805&gt;J805, MIN($H805-J805, K805-J805)*INDEX('Key Metrics'!$E$16:$N$19,MATCH($E805,'Key Metrics'!$E$16:$E$19,0),MATCH(X$1,'Key Metrics'!$E$16:$M$16,0)),0)</f>
        <v>0</v>
      </c>
      <c r="Y805" s="9">
        <f>IF($H805&gt;K805, MIN($H805-K805, L805-K805)*INDEX('Key Metrics'!$E$16:$N$19,MATCH($E805,'Key Metrics'!$E$16:$E$19,0),MATCH(Y$1,'Key Metrics'!$E$16:$M$16,0)),0)</f>
        <v>0</v>
      </c>
      <c r="Z805" s="9">
        <f>IF($H805&gt;L805,($H805-L805)*INDEX('Key Metrics'!$E$16:$N$19,MATCH($E805,'Key Metrics'!$E$16:$E$19,0),MATCH(Z$1,'Key Metrics'!$E$16:$M$16,0)),0)</f>
        <v>0</v>
      </c>
      <c r="AA805" s="9">
        <f t="shared" si="129"/>
        <v>80604</v>
      </c>
      <c r="AB805" s="9">
        <f t="shared" si="131"/>
        <v>80604.716480000003</v>
      </c>
    </row>
    <row r="806" spans="1:28" x14ac:dyDescent="0.55000000000000004">
      <c r="A806" t="str">
        <f t="shared" si="122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COUNTIF(deals_closed!$D$2:$D$20001,Calculations!B108)</f>
        <v>24</v>
      </c>
      <c r="H806" s="7">
        <f>SUMIF(deals_closed!$D:$D,Calculations!B108,deals_closed!$C:$C)</f>
        <v>861253</v>
      </c>
      <c r="I806" s="5">
        <f>VLOOKUP(E806,'2018_commission_structure'!$A$1:$I$4,9,FALSE)</f>
        <v>600000</v>
      </c>
      <c r="J806" s="9">
        <f t="shared" si="123"/>
        <v>750000</v>
      </c>
      <c r="K806" s="10">
        <f t="shared" si="124"/>
        <v>900000</v>
      </c>
      <c r="L806" s="9">
        <f t="shared" si="125"/>
        <v>1200000</v>
      </c>
      <c r="M806" s="8">
        <f t="shared" si="126"/>
        <v>1.4354216666666666</v>
      </c>
      <c r="N806" t="str">
        <f t="shared" si="127"/>
        <v>125-150%</v>
      </c>
      <c r="O806" s="9">
        <f>MIN($H806,$I806)*INDEX('2018_commission_structure'!$A$1:$I$4,MATCH($E806,'2018_commission_structure'!$A$1:$A$4,0),MATCH(O$1,'2018_commission_structure'!$A$1:$I$1,0))</f>
        <v>78000</v>
      </c>
      <c r="P806" s="9">
        <f>IF(H806&gt;I806, MIN(H806-I806, J806-I806)*INDEX('2018_commission_structure'!$A$1:$I$4,MATCH($E806,'2018_commission_structure'!$A$1:$A$4,0),MATCH(P$1,'2018_commission_structure'!$A$1:$I$1,0)),0)</f>
        <v>25500.000000000004</v>
      </c>
      <c r="Q806" s="9">
        <f>IF($H806&gt;J806, MIN($H806-J806, K806-J806)*INDEX('2018_commission_structure'!$A$1:$I$4,MATCH($E806,'2018_commission_structure'!$A$1:$A$4,0),MATCH(Q$1,'2018_commission_structure'!$A$1:$I$1,0)),0)</f>
        <v>23363.129999999997</v>
      </c>
      <c r="R806" s="9">
        <f>IF($H806&gt;K806, MIN($H806-K806, L806-K806)*INDEX('2018_commission_structure'!$A$1:$I$4,MATCH($E806,'2018_commission_structure'!$A$1:$A$4,0),MATCH(R$1,'2018_commission_structure'!$A$1:$I$1,0)),0)</f>
        <v>0</v>
      </c>
      <c r="S806" s="9">
        <f>IF(H806&gt;L806,(H806-L806)*INDEX('2018_commission_structure'!$A$1:$I$4,MATCH($E806,'2018_commission_structure'!$A$1:$A$4,0),MATCH(S$1,'2018_commission_structure'!$A$1:$I$1,0)),0)</f>
        <v>0</v>
      </c>
      <c r="T806" s="9">
        <f t="shared" si="128"/>
        <v>126863.13</v>
      </c>
      <c r="U806" s="9">
        <f t="shared" si="130"/>
        <v>182208.13</v>
      </c>
      <c r="V806" s="9">
        <f>MIN($I806,$H806)*INDEX('Key Metrics'!$E$16:$N$19,MATCH($E806,'Key Metrics'!$E$16:$E$19,0),MATCH(V$1,'Key Metrics'!$E$16:$M$16,0))</f>
        <v>90000</v>
      </c>
      <c r="W806" s="9">
        <f>IF($H806&gt;I806, MIN($H806-I806, J806-I806)*INDEX('Key Metrics'!$E$16:$N$19,MATCH($E806,'Key Metrics'!$E$16:$E$19,0),MATCH(W$1,'Key Metrics'!$E$16:$M$16,0)),0)</f>
        <v>27000</v>
      </c>
      <c r="X806" s="9">
        <f>IF($H806&gt;J806, MIN($H806-J806, K806-J806)*INDEX('Key Metrics'!$E$16:$N$19,MATCH($E806,'Key Metrics'!$E$16:$E$19,0),MATCH(X$1,'Key Metrics'!$E$16:$M$16,0)),0)</f>
        <v>27813.25</v>
      </c>
      <c r="Y806" s="9">
        <f>IF($H806&gt;K806, MIN($H806-K806, L806-K806)*INDEX('Key Metrics'!$E$16:$N$19,MATCH($E806,'Key Metrics'!$E$16:$E$19,0),MATCH(Y$1,'Key Metrics'!$E$16:$M$16,0)),0)</f>
        <v>0</v>
      </c>
      <c r="Z806" s="9">
        <f>IF($H806&gt;L806,($H806-L806)*INDEX('Key Metrics'!$E$16:$N$19,MATCH($E806,'Key Metrics'!$E$16:$E$19,0),MATCH(Z$1,'Key Metrics'!$E$16:$M$16,0)),0)</f>
        <v>0</v>
      </c>
      <c r="AA806" s="9">
        <f t="shared" si="129"/>
        <v>144813.25</v>
      </c>
      <c r="AB806" s="9">
        <f t="shared" si="131"/>
        <v>144814.68542166665</v>
      </c>
    </row>
    <row r="807" spans="1:28" x14ac:dyDescent="0.55000000000000004">
      <c r="A807" t="str">
        <f t="shared" si="122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COUNTIF(deals_closed!$D$2:$D$20001,Calculations!B201)</f>
        <v>20</v>
      </c>
      <c r="H807" s="7">
        <f>SUMIF(deals_closed!$D:$D,Calculations!B201,deals_closed!$C:$C)</f>
        <v>656820</v>
      </c>
      <c r="I807" s="5">
        <f>VLOOKUP(E807,'2018_commission_structure'!$A$1:$I$4,9,FALSE)</f>
        <v>500000</v>
      </c>
      <c r="J807" s="9">
        <f t="shared" si="123"/>
        <v>625000</v>
      </c>
      <c r="K807" s="10">
        <f t="shared" si="124"/>
        <v>750000</v>
      </c>
      <c r="L807" s="9">
        <f t="shared" si="125"/>
        <v>1000000</v>
      </c>
      <c r="M807" s="8">
        <f t="shared" si="126"/>
        <v>1.3136399999999999</v>
      </c>
      <c r="N807" t="str">
        <f t="shared" si="127"/>
        <v>125-150%</v>
      </c>
      <c r="O807" s="9">
        <f>MIN($H807,$I807)*INDEX('2018_commission_structure'!$A$1:$I$4,MATCH($E807,'2018_commission_structure'!$A$1:$A$4,0),MATCH(O$1,'2018_commission_structure'!$A$1:$I$1,0))</f>
        <v>50000</v>
      </c>
      <c r="P807" s="9">
        <f>IF(H807&gt;I807, MIN(H807-I807, J807-I807)*INDEX('2018_commission_structure'!$A$1:$I$4,MATCH($E807,'2018_commission_structure'!$A$1:$A$4,0),MATCH(P$1,'2018_commission_structure'!$A$1:$I$1,0)),0)</f>
        <v>18750</v>
      </c>
      <c r="Q807" s="9">
        <f>IF($H807&gt;J807, MIN($H807-J807, K807-J807)*INDEX('2018_commission_structure'!$A$1:$I$4,MATCH($E807,'2018_commission_structure'!$A$1:$A$4,0),MATCH(Q$1,'2018_commission_structure'!$A$1:$I$1,0)),0)</f>
        <v>5727.5999999999995</v>
      </c>
      <c r="R807" s="9">
        <f>IF($H807&gt;K807, MIN($H807-K807, L807-K807)*INDEX('2018_commission_structure'!$A$1:$I$4,MATCH($E807,'2018_commission_structure'!$A$1:$A$4,0),MATCH(R$1,'2018_commission_structure'!$A$1:$I$1,0)),0)</f>
        <v>0</v>
      </c>
      <c r="S807" s="9">
        <f>IF(H807&gt;L807,(H807-L807)*INDEX('2018_commission_structure'!$A$1:$I$4,MATCH($E807,'2018_commission_structure'!$A$1:$A$4,0),MATCH(S$1,'2018_commission_structure'!$A$1:$I$1,0)),0)</f>
        <v>0</v>
      </c>
      <c r="T807" s="9">
        <f t="shared" si="128"/>
        <v>74477.600000000006</v>
      </c>
      <c r="U807" s="9">
        <f t="shared" si="130"/>
        <v>112148.6</v>
      </c>
      <c r="V807" s="9">
        <f>MIN($I807,$H807)*INDEX('Key Metrics'!$E$16:$N$19,MATCH($E807,'Key Metrics'!$E$16:$E$19,0),MATCH(V$1,'Key Metrics'!$E$16:$M$16,0))</f>
        <v>60000</v>
      </c>
      <c r="W807" s="9">
        <f>IF($H807&gt;I807, MIN($H807-I807, J807-I807)*INDEX('Key Metrics'!$E$16:$N$19,MATCH($E807,'Key Metrics'!$E$16:$E$19,0),MATCH(W$1,'Key Metrics'!$E$16:$M$16,0)),0)</f>
        <v>21250</v>
      </c>
      <c r="X807" s="9">
        <f>IF($H807&gt;J807, MIN($H807-J807, K807-J807)*INDEX('Key Metrics'!$E$16:$N$19,MATCH($E807,'Key Metrics'!$E$16:$E$19,0),MATCH(X$1,'Key Metrics'!$E$16:$M$16,0)),0)</f>
        <v>6364</v>
      </c>
      <c r="Y807" s="9">
        <f>IF($H807&gt;K807, MIN($H807-K807, L807-K807)*INDEX('Key Metrics'!$E$16:$N$19,MATCH($E807,'Key Metrics'!$E$16:$E$19,0),MATCH(Y$1,'Key Metrics'!$E$16:$M$16,0)),0)</f>
        <v>0</v>
      </c>
      <c r="Z807" s="9">
        <f>IF($H807&gt;L807,($H807-L807)*INDEX('Key Metrics'!$E$16:$N$19,MATCH($E807,'Key Metrics'!$E$16:$E$19,0),MATCH(Z$1,'Key Metrics'!$E$16:$M$16,0)),0)</f>
        <v>0</v>
      </c>
      <c r="AA807" s="9">
        <f t="shared" si="129"/>
        <v>87614</v>
      </c>
      <c r="AB807" s="9">
        <f t="shared" si="131"/>
        <v>87615.313639999993</v>
      </c>
    </row>
    <row r="808" spans="1:28" x14ac:dyDescent="0.55000000000000004">
      <c r="A808" t="str">
        <f t="shared" si="122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COUNTIF(deals_closed!$D$2:$D$20001,Calculations!B515)</f>
        <v>25</v>
      </c>
      <c r="H808" s="7">
        <f>SUMIF(deals_closed!$D:$D,Calculations!B515,deals_closed!$C:$C)</f>
        <v>852715</v>
      </c>
      <c r="I808" s="5">
        <f>VLOOKUP(E808,'2018_commission_structure'!$A$1:$I$4,9,FALSE)</f>
        <v>750000</v>
      </c>
      <c r="J808" s="9">
        <f t="shared" si="123"/>
        <v>937500</v>
      </c>
      <c r="K808" s="10">
        <f t="shared" si="124"/>
        <v>1125000</v>
      </c>
      <c r="L808" s="9">
        <f t="shared" si="125"/>
        <v>1500000</v>
      </c>
      <c r="M808" s="8">
        <f t="shared" si="126"/>
        <v>1.1369533333333333</v>
      </c>
      <c r="N808" t="str">
        <f t="shared" si="127"/>
        <v>100-125%</v>
      </c>
      <c r="O808" s="9">
        <f>MIN($H808,$I808)*INDEX('2018_commission_structure'!$A$1:$I$4,MATCH($E808,'2018_commission_structure'!$A$1:$A$4,0),MATCH(O$1,'2018_commission_structure'!$A$1:$I$1,0))</f>
        <v>112500</v>
      </c>
      <c r="P808" s="9">
        <f>IF(H808&gt;I808, MIN(H808-I808, J808-I808)*INDEX('2018_commission_structure'!$A$1:$I$4,MATCH($E808,'2018_commission_structure'!$A$1:$A$4,0),MATCH(P$1,'2018_commission_structure'!$A$1:$I$1,0)),0)</f>
        <v>19515.849999999999</v>
      </c>
      <c r="Q808" s="9">
        <f>IF($H808&gt;J808, MIN($H808-J808, K808-J808)*INDEX('2018_commission_structure'!$A$1:$I$4,MATCH($E808,'2018_commission_structure'!$A$1:$A$4,0),MATCH(Q$1,'2018_commission_structure'!$A$1:$I$1,0)),0)</f>
        <v>0</v>
      </c>
      <c r="R808" s="9">
        <f>IF($H808&gt;K808, MIN($H808-K808, L808-K808)*INDEX('2018_commission_structure'!$A$1:$I$4,MATCH($E808,'2018_commission_structure'!$A$1:$A$4,0),MATCH(R$1,'2018_commission_structure'!$A$1:$I$1,0)),0)</f>
        <v>0</v>
      </c>
      <c r="S808" s="9">
        <f>IF(H808&gt;L808,(H808-L808)*INDEX('2018_commission_structure'!$A$1:$I$4,MATCH($E808,'2018_commission_structure'!$A$1:$A$4,0),MATCH(S$1,'2018_commission_structure'!$A$1:$I$1,0)),0)</f>
        <v>0</v>
      </c>
      <c r="T808" s="9">
        <f t="shared" si="128"/>
        <v>132015.85</v>
      </c>
      <c r="U808" s="9">
        <f t="shared" si="130"/>
        <v>243545.85</v>
      </c>
      <c r="V808" s="9">
        <f>MIN($I808,$H808)*INDEX('Key Metrics'!$E$16:$N$19,MATCH($E808,'Key Metrics'!$E$16:$E$19,0),MATCH(V$1,'Key Metrics'!$E$16:$M$16,0))</f>
        <v>112500</v>
      </c>
      <c r="W808" s="9">
        <f>IF($H808&gt;I808, MIN($H808-I808, J808-I808)*INDEX('Key Metrics'!$E$16:$N$19,MATCH($E808,'Key Metrics'!$E$16:$E$19,0),MATCH(W$1,'Key Metrics'!$E$16:$M$16,0)),0)</f>
        <v>22597.3</v>
      </c>
      <c r="X808" s="9">
        <f>IF($H808&gt;J808, MIN($H808-J808, K808-J808)*INDEX('Key Metrics'!$E$16:$N$19,MATCH($E808,'Key Metrics'!$E$16:$E$19,0),MATCH(X$1,'Key Metrics'!$E$16:$M$16,0)),0)</f>
        <v>0</v>
      </c>
      <c r="Y808" s="9">
        <f>IF($H808&gt;K808, MIN($H808-K808, L808-K808)*INDEX('Key Metrics'!$E$16:$N$19,MATCH($E808,'Key Metrics'!$E$16:$E$19,0),MATCH(Y$1,'Key Metrics'!$E$16:$M$16,0)),0)</f>
        <v>0</v>
      </c>
      <c r="Z808" s="9">
        <f>IF($H808&gt;L808,($H808-L808)*INDEX('Key Metrics'!$E$16:$N$19,MATCH($E808,'Key Metrics'!$E$16:$E$19,0),MATCH(Z$1,'Key Metrics'!$E$16:$M$16,0)),0)</f>
        <v>0</v>
      </c>
      <c r="AA808" s="9">
        <f t="shared" si="129"/>
        <v>135097.29999999999</v>
      </c>
      <c r="AB808" s="9">
        <f t="shared" si="131"/>
        <v>135098.43695333332</v>
      </c>
    </row>
    <row r="809" spans="1:28" x14ac:dyDescent="0.55000000000000004">
      <c r="A809" t="str">
        <f t="shared" si="122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COUNTIF(deals_closed!$D$2:$D$20001,Calculations!B640)</f>
        <v>28</v>
      </c>
      <c r="H809" s="7">
        <f>SUMIF(deals_closed!$D:$D,Calculations!B640,deals_closed!$C:$C)</f>
        <v>875887</v>
      </c>
      <c r="I809" s="5">
        <f>VLOOKUP(E809,'2018_commission_structure'!$A$1:$I$4,9,FALSE)</f>
        <v>750000</v>
      </c>
      <c r="J809" s="9">
        <f t="shared" si="123"/>
        <v>937500</v>
      </c>
      <c r="K809" s="10">
        <f t="shared" si="124"/>
        <v>1125000</v>
      </c>
      <c r="L809" s="9">
        <f t="shared" si="125"/>
        <v>1500000</v>
      </c>
      <c r="M809" s="8">
        <f t="shared" si="126"/>
        <v>1.1678493333333333</v>
      </c>
      <c r="N809" t="str">
        <f t="shared" si="127"/>
        <v>100-125%</v>
      </c>
      <c r="O809" s="9">
        <f>MIN($H809,$I809)*INDEX('2018_commission_structure'!$A$1:$I$4,MATCH($E809,'2018_commission_structure'!$A$1:$A$4,0),MATCH(O$1,'2018_commission_structure'!$A$1:$I$1,0))</f>
        <v>112500</v>
      </c>
      <c r="P809" s="9">
        <f>IF(H809&gt;I809, MIN(H809-I809, J809-I809)*INDEX('2018_commission_structure'!$A$1:$I$4,MATCH($E809,'2018_commission_structure'!$A$1:$A$4,0),MATCH(P$1,'2018_commission_structure'!$A$1:$I$1,0)),0)</f>
        <v>23918.53</v>
      </c>
      <c r="Q809" s="9">
        <f>IF($H809&gt;J809, MIN($H809-J809, K809-J809)*INDEX('2018_commission_structure'!$A$1:$I$4,MATCH($E809,'2018_commission_structure'!$A$1:$A$4,0),MATCH(Q$1,'2018_commission_structure'!$A$1:$I$1,0)),0)</f>
        <v>0</v>
      </c>
      <c r="R809" s="9">
        <f>IF($H809&gt;K809, MIN($H809-K809, L809-K809)*INDEX('2018_commission_structure'!$A$1:$I$4,MATCH($E809,'2018_commission_structure'!$A$1:$A$4,0),MATCH(R$1,'2018_commission_structure'!$A$1:$I$1,0)),0)</f>
        <v>0</v>
      </c>
      <c r="S809" s="9">
        <f>IF(H809&gt;L809,(H809-L809)*INDEX('2018_commission_structure'!$A$1:$I$4,MATCH($E809,'2018_commission_structure'!$A$1:$A$4,0),MATCH(S$1,'2018_commission_structure'!$A$1:$I$1,0)),0)</f>
        <v>0</v>
      </c>
      <c r="T809" s="9">
        <f t="shared" si="128"/>
        <v>136418.53</v>
      </c>
      <c r="U809" s="9">
        <f t="shared" si="130"/>
        <v>235972.53</v>
      </c>
      <c r="V809" s="9">
        <f>MIN($I809,$H809)*INDEX('Key Metrics'!$E$16:$N$19,MATCH($E809,'Key Metrics'!$E$16:$E$19,0),MATCH(V$1,'Key Metrics'!$E$16:$M$16,0))</f>
        <v>112500</v>
      </c>
      <c r="W809" s="9">
        <f>IF($H809&gt;I809, MIN($H809-I809, J809-I809)*INDEX('Key Metrics'!$E$16:$N$19,MATCH($E809,'Key Metrics'!$E$16:$E$19,0),MATCH(W$1,'Key Metrics'!$E$16:$M$16,0)),0)</f>
        <v>27695.14</v>
      </c>
      <c r="X809" s="9">
        <f>IF($H809&gt;J809, MIN($H809-J809, K809-J809)*INDEX('Key Metrics'!$E$16:$N$19,MATCH($E809,'Key Metrics'!$E$16:$E$19,0),MATCH(X$1,'Key Metrics'!$E$16:$M$16,0)),0)</f>
        <v>0</v>
      </c>
      <c r="Y809" s="9">
        <f>IF($H809&gt;K809, MIN($H809-K809, L809-K809)*INDEX('Key Metrics'!$E$16:$N$19,MATCH($E809,'Key Metrics'!$E$16:$E$19,0),MATCH(Y$1,'Key Metrics'!$E$16:$M$16,0)),0)</f>
        <v>0</v>
      </c>
      <c r="Z809" s="9">
        <f>IF($H809&gt;L809,($H809-L809)*INDEX('Key Metrics'!$E$16:$N$19,MATCH($E809,'Key Metrics'!$E$16:$E$19,0),MATCH(Z$1,'Key Metrics'!$E$16:$M$16,0)),0)</f>
        <v>0</v>
      </c>
      <c r="AA809" s="9">
        <f t="shared" si="129"/>
        <v>140195.14000000001</v>
      </c>
      <c r="AB809" s="9">
        <f t="shared" si="131"/>
        <v>140196.30784933336</v>
      </c>
    </row>
    <row r="810" spans="1:28" x14ac:dyDescent="0.55000000000000004">
      <c r="A810" t="str">
        <f t="shared" si="122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COUNTIF(deals_closed!$D$2:$D$20001,Calculations!B778)</f>
        <v>23</v>
      </c>
      <c r="H810" s="7">
        <f>SUMIF(deals_closed!$D:$D,Calculations!B778,deals_closed!$C:$C)</f>
        <v>868569</v>
      </c>
      <c r="I810" s="5">
        <f>VLOOKUP(E810,'2018_commission_structure'!$A$1:$I$4,9,FALSE)</f>
        <v>500000</v>
      </c>
      <c r="J810" s="9">
        <f t="shared" si="123"/>
        <v>625000</v>
      </c>
      <c r="K810" s="10">
        <f t="shared" si="124"/>
        <v>750000</v>
      </c>
      <c r="L810" s="9">
        <f t="shared" si="125"/>
        <v>1000000</v>
      </c>
      <c r="M810" s="8">
        <f t="shared" si="126"/>
        <v>1.7371380000000001</v>
      </c>
      <c r="N810" t="str">
        <f t="shared" si="127"/>
        <v>150-200%</v>
      </c>
      <c r="O810" s="9">
        <f>MIN($H810,$I810)*INDEX('2018_commission_structure'!$A$1:$I$4,MATCH($E810,'2018_commission_structure'!$A$1:$A$4,0),MATCH(O$1,'2018_commission_structure'!$A$1:$I$1,0))</f>
        <v>50000</v>
      </c>
      <c r="P810" s="9">
        <f>IF(H810&gt;I810, MIN(H810-I810, J810-I810)*INDEX('2018_commission_structure'!$A$1:$I$4,MATCH($E810,'2018_commission_structure'!$A$1:$A$4,0),MATCH(P$1,'2018_commission_structure'!$A$1:$I$1,0)),0)</f>
        <v>18750</v>
      </c>
      <c r="Q810" s="9">
        <f>IF($H810&gt;J810, MIN($H810-J810, K810-J810)*INDEX('2018_commission_structure'!$A$1:$I$4,MATCH($E810,'2018_commission_structure'!$A$1:$A$4,0),MATCH(Q$1,'2018_commission_structure'!$A$1:$I$1,0)),0)</f>
        <v>22500</v>
      </c>
      <c r="R810" s="9">
        <f>IF($H810&gt;K810, MIN($H810-K810, L810-K810)*INDEX('2018_commission_structure'!$A$1:$I$4,MATCH($E810,'2018_commission_structure'!$A$1:$A$4,0),MATCH(R$1,'2018_commission_structure'!$A$1:$I$1,0)),0)</f>
        <v>26085.18</v>
      </c>
      <c r="S810" s="9">
        <f>IF(H810&gt;L810,(H810-L810)*INDEX('2018_commission_structure'!$A$1:$I$4,MATCH($E810,'2018_commission_structure'!$A$1:$A$4,0),MATCH(S$1,'2018_commission_structure'!$A$1:$I$1,0)),0)</f>
        <v>0</v>
      </c>
      <c r="T810" s="9">
        <f t="shared" si="128"/>
        <v>117335.18</v>
      </c>
      <c r="U810" s="9">
        <f t="shared" si="130"/>
        <v>157261.18</v>
      </c>
      <c r="V810" s="9">
        <f>MIN($I810,$H810)*INDEX('Key Metrics'!$E$16:$N$19,MATCH($E810,'Key Metrics'!$E$16:$E$19,0),MATCH(V$1,'Key Metrics'!$E$16:$M$16,0))</f>
        <v>60000</v>
      </c>
      <c r="W810" s="9">
        <f>IF($H810&gt;I810, MIN($H810-I810, J810-I810)*INDEX('Key Metrics'!$E$16:$N$19,MATCH($E810,'Key Metrics'!$E$16:$E$19,0),MATCH(W$1,'Key Metrics'!$E$16:$M$16,0)),0)</f>
        <v>21250</v>
      </c>
      <c r="X810" s="9">
        <f>IF($H810&gt;J810, MIN($H810-J810, K810-J810)*INDEX('Key Metrics'!$E$16:$N$19,MATCH($E810,'Key Metrics'!$E$16:$E$19,0),MATCH(X$1,'Key Metrics'!$E$16:$M$16,0)),0)</f>
        <v>25000</v>
      </c>
      <c r="Y810" s="9">
        <f>IF($H810&gt;K810, MIN($H810-K810, L810-K810)*INDEX('Key Metrics'!$E$16:$N$19,MATCH($E810,'Key Metrics'!$E$16:$E$19,0),MATCH(Y$1,'Key Metrics'!$E$16:$M$16,0)),0)</f>
        <v>26085.18</v>
      </c>
      <c r="Z810" s="9">
        <f>IF($H810&gt;L810,($H810-L810)*INDEX('Key Metrics'!$E$16:$N$19,MATCH($E810,'Key Metrics'!$E$16:$E$19,0),MATCH(Z$1,'Key Metrics'!$E$16:$M$16,0)),0)</f>
        <v>0</v>
      </c>
      <c r="AA810" s="9">
        <f t="shared" si="129"/>
        <v>132335.18</v>
      </c>
      <c r="AB810" s="9">
        <f t="shared" si="131"/>
        <v>132336.91713799999</v>
      </c>
    </row>
    <row r="811" spans="1:28" x14ac:dyDescent="0.55000000000000004">
      <c r="A811" t="str">
        <f t="shared" si="122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COUNTIF(deals_closed!$D$2:$D$20001,Calculations!B615)</f>
        <v>26</v>
      </c>
      <c r="H811" s="7">
        <f>SUMIF(deals_closed!$D:$D,Calculations!B615,deals_closed!$C:$C)</f>
        <v>937682</v>
      </c>
      <c r="I811" s="5">
        <f>VLOOKUP(E811,'2018_commission_structure'!$A$1:$I$4,9,FALSE)</f>
        <v>750000</v>
      </c>
      <c r="J811" s="9">
        <f t="shared" si="123"/>
        <v>937500</v>
      </c>
      <c r="K811" s="10">
        <f t="shared" si="124"/>
        <v>1125000</v>
      </c>
      <c r="L811" s="9">
        <f t="shared" si="125"/>
        <v>1500000</v>
      </c>
      <c r="M811" s="8">
        <f t="shared" si="126"/>
        <v>1.2502426666666666</v>
      </c>
      <c r="N811" t="str">
        <f t="shared" si="127"/>
        <v>125-150%</v>
      </c>
      <c r="O811" s="9">
        <f>MIN($H811,$I811)*INDEX('2018_commission_structure'!$A$1:$I$4,MATCH($E811,'2018_commission_structure'!$A$1:$A$4,0),MATCH(O$1,'2018_commission_structure'!$A$1:$I$1,0))</f>
        <v>112500</v>
      </c>
      <c r="P811" s="9">
        <f>IF(H811&gt;I811, MIN(H811-I811, J811-I811)*INDEX('2018_commission_structure'!$A$1:$I$4,MATCH($E811,'2018_commission_structure'!$A$1:$A$4,0),MATCH(P$1,'2018_commission_structure'!$A$1:$I$1,0)),0)</f>
        <v>35625</v>
      </c>
      <c r="Q811" s="9">
        <f>IF($H811&gt;J811, MIN($H811-J811, K811-J811)*INDEX('2018_commission_structure'!$A$1:$I$4,MATCH($E811,'2018_commission_structure'!$A$1:$A$4,0),MATCH(Q$1,'2018_commission_structure'!$A$1:$I$1,0)),0)</f>
        <v>41.86</v>
      </c>
      <c r="R811" s="9">
        <f>IF($H811&gt;K811, MIN($H811-K811, L811-K811)*INDEX('2018_commission_structure'!$A$1:$I$4,MATCH($E811,'2018_commission_structure'!$A$1:$A$4,0),MATCH(R$1,'2018_commission_structure'!$A$1:$I$1,0)),0)</f>
        <v>0</v>
      </c>
      <c r="S811" s="9">
        <f>IF(H811&gt;L811,(H811-L811)*INDEX('2018_commission_structure'!$A$1:$I$4,MATCH($E811,'2018_commission_structure'!$A$1:$A$4,0),MATCH(S$1,'2018_commission_structure'!$A$1:$I$1,0)),0)</f>
        <v>0</v>
      </c>
      <c r="T811" s="9">
        <f t="shared" si="128"/>
        <v>148166.85999999999</v>
      </c>
      <c r="U811" s="9">
        <f t="shared" si="130"/>
        <v>268539.86</v>
      </c>
      <c r="V811" s="9">
        <f>MIN($I811,$H811)*INDEX('Key Metrics'!$E$16:$N$19,MATCH($E811,'Key Metrics'!$E$16:$E$19,0),MATCH(V$1,'Key Metrics'!$E$16:$M$16,0))</f>
        <v>112500</v>
      </c>
      <c r="W811" s="9">
        <f>IF($H811&gt;I811, MIN($H811-I811, J811-I811)*INDEX('Key Metrics'!$E$16:$N$19,MATCH($E811,'Key Metrics'!$E$16:$E$19,0),MATCH(W$1,'Key Metrics'!$E$16:$M$16,0)),0)</f>
        <v>41250</v>
      </c>
      <c r="X811" s="9">
        <f>IF($H811&gt;J811, MIN($H811-J811, K811-J811)*INDEX('Key Metrics'!$E$16:$N$19,MATCH($E811,'Key Metrics'!$E$16:$E$19,0),MATCH(X$1,'Key Metrics'!$E$16:$M$16,0)),0)</f>
        <v>45.5</v>
      </c>
      <c r="Y811" s="9">
        <f>IF($H811&gt;K811, MIN($H811-K811, L811-K811)*INDEX('Key Metrics'!$E$16:$N$19,MATCH($E811,'Key Metrics'!$E$16:$E$19,0),MATCH(Y$1,'Key Metrics'!$E$16:$M$16,0)),0)</f>
        <v>0</v>
      </c>
      <c r="Z811" s="9">
        <f>IF($H811&gt;L811,($H811-L811)*INDEX('Key Metrics'!$E$16:$N$19,MATCH($E811,'Key Metrics'!$E$16:$E$19,0),MATCH(Z$1,'Key Metrics'!$E$16:$M$16,0)),0)</f>
        <v>0</v>
      </c>
      <c r="AA811" s="9">
        <f t="shared" si="129"/>
        <v>153795.5</v>
      </c>
      <c r="AB811" s="9">
        <f t="shared" si="131"/>
        <v>153796.75024266666</v>
      </c>
    </row>
    <row r="812" spans="1:28" x14ac:dyDescent="0.55000000000000004">
      <c r="A812" t="str">
        <f t="shared" si="122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COUNTIF(deals_closed!$D$2:$D$20001,Calculations!B273)</f>
        <v>19</v>
      </c>
      <c r="H812" s="7">
        <f>SUMIF(deals_closed!$D:$D,Calculations!B273,deals_closed!$C:$C)</f>
        <v>644436</v>
      </c>
      <c r="I812" s="5">
        <f>VLOOKUP(E812,'2018_commission_structure'!$A$1:$I$4,9,FALSE)</f>
        <v>600000</v>
      </c>
      <c r="J812" s="9">
        <f t="shared" si="123"/>
        <v>750000</v>
      </c>
      <c r="K812" s="10">
        <f t="shared" si="124"/>
        <v>900000</v>
      </c>
      <c r="L812" s="9">
        <f t="shared" si="125"/>
        <v>1200000</v>
      </c>
      <c r="M812" s="8">
        <f t="shared" si="126"/>
        <v>1.07406</v>
      </c>
      <c r="N812" t="str">
        <f t="shared" si="127"/>
        <v>100-125%</v>
      </c>
      <c r="O812" s="9">
        <f>MIN($H812,$I812)*INDEX('2018_commission_structure'!$A$1:$I$4,MATCH($E812,'2018_commission_structure'!$A$1:$A$4,0),MATCH(O$1,'2018_commission_structure'!$A$1:$I$1,0))</f>
        <v>78000</v>
      </c>
      <c r="P812" s="9">
        <f>IF(H812&gt;I812, MIN(H812-I812, J812-I812)*INDEX('2018_commission_structure'!$A$1:$I$4,MATCH($E812,'2018_commission_structure'!$A$1:$A$4,0),MATCH(P$1,'2018_commission_structure'!$A$1:$I$1,0)),0)</f>
        <v>7554.1200000000008</v>
      </c>
      <c r="Q812" s="9">
        <f>IF($H812&gt;J812, MIN($H812-J812, K812-J812)*INDEX('2018_commission_structure'!$A$1:$I$4,MATCH($E812,'2018_commission_structure'!$A$1:$A$4,0),MATCH(Q$1,'2018_commission_structure'!$A$1:$I$1,0)),0)</f>
        <v>0</v>
      </c>
      <c r="R812" s="9">
        <f>IF($H812&gt;K812, MIN($H812-K812, L812-K812)*INDEX('2018_commission_structure'!$A$1:$I$4,MATCH($E812,'2018_commission_structure'!$A$1:$A$4,0),MATCH(R$1,'2018_commission_structure'!$A$1:$I$1,0)),0)</f>
        <v>0</v>
      </c>
      <c r="S812" s="9">
        <f>IF(H812&gt;L812,(H812-L812)*INDEX('2018_commission_structure'!$A$1:$I$4,MATCH($E812,'2018_commission_structure'!$A$1:$A$4,0),MATCH(S$1,'2018_commission_structure'!$A$1:$I$1,0)),0)</f>
        <v>0</v>
      </c>
      <c r="T812" s="9">
        <f t="shared" si="128"/>
        <v>85554.12</v>
      </c>
      <c r="U812" s="9">
        <f t="shared" si="130"/>
        <v>150589.12</v>
      </c>
      <c r="V812" s="9">
        <f>MIN($I812,$H812)*INDEX('Key Metrics'!$E$16:$N$19,MATCH($E812,'Key Metrics'!$E$16:$E$19,0),MATCH(V$1,'Key Metrics'!$E$16:$M$16,0))</f>
        <v>90000</v>
      </c>
      <c r="W812" s="9">
        <f>IF($H812&gt;I812, MIN($H812-I812, J812-I812)*INDEX('Key Metrics'!$E$16:$N$19,MATCH($E812,'Key Metrics'!$E$16:$E$19,0),MATCH(W$1,'Key Metrics'!$E$16:$M$16,0)),0)</f>
        <v>7998.48</v>
      </c>
      <c r="X812" s="9">
        <f>IF($H812&gt;J812, MIN($H812-J812, K812-J812)*INDEX('Key Metrics'!$E$16:$N$19,MATCH($E812,'Key Metrics'!$E$16:$E$19,0),MATCH(X$1,'Key Metrics'!$E$16:$M$16,0)),0)</f>
        <v>0</v>
      </c>
      <c r="Y812" s="9">
        <f>IF($H812&gt;K812, MIN($H812-K812, L812-K812)*INDEX('Key Metrics'!$E$16:$N$19,MATCH($E812,'Key Metrics'!$E$16:$E$19,0),MATCH(Y$1,'Key Metrics'!$E$16:$M$16,0)),0)</f>
        <v>0</v>
      </c>
      <c r="Z812" s="9">
        <f>IF($H812&gt;L812,($H812-L812)*INDEX('Key Metrics'!$E$16:$N$19,MATCH($E812,'Key Metrics'!$E$16:$E$19,0),MATCH(Z$1,'Key Metrics'!$E$16:$M$16,0)),0)</f>
        <v>0</v>
      </c>
      <c r="AA812" s="9">
        <f t="shared" si="129"/>
        <v>97998.48</v>
      </c>
      <c r="AB812" s="9">
        <f t="shared" si="131"/>
        <v>97999.554059999995</v>
      </c>
    </row>
    <row r="813" spans="1:28" x14ac:dyDescent="0.55000000000000004">
      <c r="A813" t="str">
        <f t="shared" si="122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COUNTIF(deals_closed!$D$2:$D$20001,Calculations!B644)</f>
        <v>22</v>
      </c>
      <c r="H813" s="7">
        <f>SUMIF(deals_closed!$D:$D,Calculations!B644,deals_closed!$C:$C)</f>
        <v>854591</v>
      </c>
      <c r="I813" s="5">
        <f>VLOOKUP(E813,'2018_commission_structure'!$A$1:$I$4,9,FALSE)</f>
        <v>600000</v>
      </c>
      <c r="J813" s="9">
        <f t="shared" si="123"/>
        <v>750000</v>
      </c>
      <c r="K813" s="10">
        <f t="shared" si="124"/>
        <v>900000</v>
      </c>
      <c r="L813" s="9">
        <f t="shared" si="125"/>
        <v>1200000</v>
      </c>
      <c r="M813" s="8">
        <f t="shared" si="126"/>
        <v>1.4243183333333334</v>
      </c>
      <c r="N813" t="str">
        <f t="shared" si="127"/>
        <v>125-150%</v>
      </c>
      <c r="O813" s="9">
        <f>MIN($H813,$I813)*INDEX('2018_commission_structure'!$A$1:$I$4,MATCH($E813,'2018_commission_structure'!$A$1:$A$4,0),MATCH(O$1,'2018_commission_structure'!$A$1:$I$1,0))</f>
        <v>78000</v>
      </c>
      <c r="P813" s="9">
        <f>IF(H813&gt;I813, MIN(H813-I813, J813-I813)*INDEX('2018_commission_structure'!$A$1:$I$4,MATCH($E813,'2018_commission_structure'!$A$1:$A$4,0),MATCH(P$1,'2018_commission_structure'!$A$1:$I$1,0)),0)</f>
        <v>25500.000000000004</v>
      </c>
      <c r="Q813" s="9">
        <f>IF($H813&gt;J813, MIN($H813-J813, K813-J813)*INDEX('2018_commission_structure'!$A$1:$I$4,MATCH($E813,'2018_commission_structure'!$A$1:$A$4,0),MATCH(Q$1,'2018_commission_structure'!$A$1:$I$1,0)),0)</f>
        <v>21964.11</v>
      </c>
      <c r="R813" s="9">
        <f>IF($H813&gt;K813, MIN($H813-K813, L813-K813)*INDEX('2018_commission_structure'!$A$1:$I$4,MATCH($E813,'2018_commission_structure'!$A$1:$A$4,0),MATCH(R$1,'2018_commission_structure'!$A$1:$I$1,0)),0)</f>
        <v>0</v>
      </c>
      <c r="S813" s="9">
        <f>IF(H813&gt;L813,(H813-L813)*INDEX('2018_commission_structure'!$A$1:$I$4,MATCH($E813,'2018_commission_structure'!$A$1:$A$4,0),MATCH(S$1,'2018_commission_structure'!$A$1:$I$1,0)),0)</f>
        <v>0</v>
      </c>
      <c r="T813" s="9">
        <f t="shared" si="128"/>
        <v>125464.11</v>
      </c>
      <c r="U813" s="9">
        <f t="shared" si="130"/>
        <v>198189.11</v>
      </c>
      <c r="V813" s="9">
        <f>MIN($I813,$H813)*INDEX('Key Metrics'!$E$16:$N$19,MATCH($E813,'Key Metrics'!$E$16:$E$19,0),MATCH(V$1,'Key Metrics'!$E$16:$M$16,0))</f>
        <v>90000</v>
      </c>
      <c r="W813" s="9">
        <f>IF($H813&gt;I813, MIN($H813-I813, J813-I813)*INDEX('Key Metrics'!$E$16:$N$19,MATCH($E813,'Key Metrics'!$E$16:$E$19,0),MATCH(W$1,'Key Metrics'!$E$16:$M$16,0)),0)</f>
        <v>27000</v>
      </c>
      <c r="X813" s="9">
        <f>IF($H813&gt;J813, MIN($H813-J813, K813-J813)*INDEX('Key Metrics'!$E$16:$N$19,MATCH($E813,'Key Metrics'!$E$16:$E$19,0),MATCH(X$1,'Key Metrics'!$E$16:$M$16,0)),0)</f>
        <v>26147.75</v>
      </c>
      <c r="Y813" s="9">
        <f>IF($H813&gt;K813, MIN($H813-K813, L813-K813)*INDEX('Key Metrics'!$E$16:$N$19,MATCH($E813,'Key Metrics'!$E$16:$E$19,0),MATCH(Y$1,'Key Metrics'!$E$16:$M$16,0)),0)</f>
        <v>0</v>
      </c>
      <c r="Z813" s="9">
        <f>IF($H813&gt;L813,($H813-L813)*INDEX('Key Metrics'!$E$16:$N$19,MATCH($E813,'Key Metrics'!$E$16:$E$19,0),MATCH(Z$1,'Key Metrics'!$E$16:$M$16,0)),0)</f>
        <v>0</v>
      </c>
      <c r="AA813" s="9">
        <f t="shared" si="129"/>
        <v>143147.75</v>
      </c>
      <c r="AB813" s="9">
        <f t="shared" si="131"/>
        <v>143149.17431833333</v>
      </c>
    </row>
    <row r="814" spans="1:28" x14ac:dyDescent="0.55000000000000004">
      <c r="A814" t="str">
        <f t="shared" si="122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COUNTIF(deals_closed!$D$2:$D$20001,Calculations!B175)</f>
        <v>13</v>
      </c>
      <c r="H814" s="7">
        <f>SUMIF(deals_closed!$D:$D,Calculations!B175,deals_closed!$C:$C)</f>
        <v>479942</v>
      </c>
      <c r="I814" s="5">
        <f>VLOOKUP(E814,'2018_commission_structure'!$A$1:$I$4,9,FALSE)</f>
        <v>750000</v>
      </c>
      <c r="J814" s="9">
        <f t="shared" si="123"/>
        <v>937500</v>
      </c>
      <c r="K814" s="10">
        <f t="shared" si="124"/>
        <v>1125000</v>
      </c>
      <c r="L814" s="9">
        <f t="shared" si="125"/>
        <v>1500000</v>
      </c>
      <c r="M814" s="8">
        <f t="shared" si="126"/>
        <v>0.63992266666666664</v>
      </c>
      <c r="N814" t="str">
        <f t="shared" si="127"/>
        <v>0-100%</v>
      </c>
      <c r="O814" s="9">
        <f>MIN($H814,$I814)*INDEX('2018_commission_structure'!$A$1:$I$4,MATCH($E814,'2018_commission_structure'!$A$1:$A$4,0),MATCH(O$1,'2018_commission_structure'!$A$1:$I$1,0))</f>
        <v>71991.3</v>
      </c>
      <c r="P814" s="9">
        <f>IF(H814&gt;I814, MIN(H814-I814, J814-I814)*INDEX('2018_commission_structure'!$A$1:$I$4,MATCH($E814,'2018_commission_structure'!$A$1:$A$4,0),MATCH(P$1,'2018_commission_structure'!$A$1:$I$1,0)),0)</f>
        <v>0</v>
      </c>
      <c r="Q814" s="9">
        <f>IF($H814&gt;J814, MIN($H814-J814, K814-J814)*INDEX('2018_commission_structure'!$A$1:$I$4,MATCH($E814,'2018_commission_structure'!$A$1:$A$4,0),MATCH(Q$1,'2018_commission_structure'!$A$1:$I$1,0)),0)</f>
        <v>0</v>
      </c>
      <c r="R814" s="9">
        <f>IF($H814&gt;K814, MIN($H814-K814, L814-K814)*INDEX('2018_commission_structure'!$A$1:$I$4,MATCH($E814,'2018_commission_structure'!$A$1:$A$4,0),MATCH(R$1,'2018_commission_structure'!$A$1:$I$1,0)),0)</f>
        <v>0</v>
      </c>
      <c r="S814" s="9">
        <f>IF(H814&gt;L814,(H814-L814)*INDEX('2018_commission_structure'!$A$1:$I$4,MATCH($E814,'2018_commission_structure'!$A$1:$A$4,0),MATCH(S$1,'2018_commission_structure'!$A$1:$I$1,0)),0)</f>
        <v>0</v>
      </c>
      <c r="T814" s="9">
        <f t="shared" si="128"/>
        <v>71991.3</v>
      </c>
      <c r="U814" s="9">
        <f t="shared" si="130"/>
        <v>154796.29999999999</v>
      </c>
      <c r="V814" s="9">
        <f>MIN($I814,$H814)*INDEX('Key Metrics'!$E$16:$N$19,MATCH($E814,'Key Metrics'!$E$16:$E$19,0),MATCH(V$1,'Key Metrics'!$E$16:$M$16,0))</f>
        <v>71991.3</v>
      </c>
      <c r="W814" s="9">
        <f>IF($H814&gt;I814, MIN($H814-I814, J814-I814)*INDEX('Key Metrics'!$E$16:$N$19,MATCH($E814,'Key Metrics'!$E$16:$E$19,0),MATCH(W$1,'Key Metrics'!$E$16:$M$16,0)),0)</f>
        <v>0</v>
      </c>
      <c r="X814" s="9">
        <f>IF($H814&gt;J814, MIN($H814-J814, K814-J814)*INDEX('Key Metrics'!$E$16:$N$19,MATCH($E814,'Key Metrics'!$E$16:$E$19,0),MATCH(X$1,'Key Metrics'!$E$16:$M$16,0)),0)</f>
        <v>0</v>
      </c>
      <c r="Y814" s="9">
        <f>IF($H814&gt;K814, MIN($H814-K814, L814-K814)*INDEX('Key Metrics'!$E$16:$N$19,MATCH($E814,'Key Metrics'!$E$16:$E$19,0),MATCH(Y$1,'Key Metrics'!$E$16:$M$16,0)),0)</f>
        <v>0</v>
      </c>
      <c r="Z814" s="9">
        <f>IF($H814&gt;L814,($H814-L814)*INDEX('Key Metrics'!$E$16:$N$19,MATCH($E814,'Key Metrics'!$E$16:$E$19,0),MATCH(Z$1,'Key Metrics'!$E$16:$M$16,0)),0)</f>
        <v>0</v>
      </c>
      <c r="AA814" s="9">
        <f t="shared" si="129"/>
        <v>71991.3</v>
      </c>
      <c r="AB814" s="9">
        <f t="shared" si="131"/>
        <v>71991.939922666672</v>
      </c>
    </row>
    <row r="815" spans="1:28" x14ac:dyDescent="0.55000000000000004">
      <c r="A815" t="str">
        <f t="shared" si="122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COUNTIF(deals_closed!$D$2:$D$20001,Calculations!B223)</f>
        <v>20</v>
      </c>
      <c r="H815" s="7">
        <f>SUMIF(deals_closed!$D:$D,Calculations!B223,deals_closed!$C:$C)</f>
        <v>610321</v>
      </c>
      <c r="I815" s="5">
        <f>VLOOKUP(E815,'2018_commission_structure'!$A$1:$I$4,9,FALSE)</f>
        <v>750000</v>
      </c>
      <c r="J815" s="9">
        <f t="shared" si="123"/>
        <v>937500</v>
      </c>
      <c r="K815" s="10">
        <f t="shared" si="124"/>
        <v>1125000</v>
      </c>
      <c r="L815" s="9">
        <f t="shared" si="125"/>
        <v>1500000</v>
      </c>
      <c r="M815" s="8">
        <f t="shared" si="126"/>
        <v>0.81376133333333334</v>
      </c>
      <c r="N815" t="str">
        <f t="shared" si="127"/>
        <v>0-100%</v>
      </c>
      <c r="O815" s="9">
        <f>MIN($H815,$I815)*INDEX('2018_commission_structure'!$A$1:$I$4,MATCH($E815,'2018_commission_structure'!$A$1:$A$4,0),MATCH(O$1,'2018_commission_structure'!$A$1:$I$1,0))</f>
        <v>91548.15</v>
      </c>
      <c r="P815" s="9">
        <f>IF(H815&gt;I815, MIN(H815-I815, J815-I815)*INDEX('2018_commission_structure'!$A$1:$I$4,MATCH($E815,'2018_commission_structure'!$A$1:$A$4,0),MATCH(P$1,'2018_commission_structure'!$A$1:$I$1,0)),0)</f>
        <v>0</v>
      </c>
      <c r="Q815" s="9">
        <f>IF($H815&gt;J815, MIN($H815-J815, K815-J815)*INDEX('2018_commission_structure'!$A$1:$I$4,MATCH($E815,'2018_commission_structure'!$A$1:$A$4,0),MATCH(Q$1,'2018_commission_structure'!$A$1:$I$1,0)),0)</f>
        <v>0</v>
      </c>
      <c r="R815" s="9">
        <f>IF($H815&gt;K815, MIN($H815-K815, L815-K815)*INDEX('2018_commission_structure'!$A$1:$I$4,MATCH($E815,'2018_commission_structure'!$A$1:$A$4,0),MATCH(R$1,'2018_commission_structure'!$A$1:$I$1,0)),0)</f>
        <v>0</v>
      </c>
      <c r="S815" s="9">
        <f>IF(H815&gt;L815,(H815-L815)*INDEX('2018_commission_structure'!$A$1:$I$4,MATCH($E815,'2018_commission_structure'!$A$1:$A$4,0),MATCH(S$1,'2018_commission_structure'!$A$1:$I$1,0)),0)</f>
        <v>0</v>
      </c>
      <c r="T815" s="9">
        <f t="shared" si="128"/>
        <v>91548.15</v>
      </c>
      <c r="U815" s="9">
        <f t="shared" si="130"/>
        <v>181070.15</v>
      </c>
      <c r="V815" s="9">
        <f>MIN($I815,$H815)*INDEX('Key Metrics'!$E$16:$N$19,MATCH($E815,'Key Metrics'!$E$16:$E$19,0),MATCH(V$1,'Key Metrics'!$E$16:$M$16,0))</f>
        <v>91548.15</v>
      </c>
      <c r="W815" s="9">
        <f>IF($H815&gt;I815, MIN($H815-I815, J815-I815)*INDEX('Key Metrics'!$E$16:$N$19,MATCH($E815,'Key Metrics'!$E$16:$E$19,0),MATCH(W$1,'Key Metrics'!$E$16:$M$16,0)),0)</f>
        <v>0</v>
      </c>
      <c r="X815" s="9">
        <f>IF($H815&gt;J815, MIN($H815-J815, K815-J815)*INDEX('Key Metrics'!$E$16:$N$19,MATCH($E815,'Key Metrics'!$E$16:$E$19,0),MATCH(X$1,'Key Metrics'!$E$16:$M$16,0)),0)</f>
        <v>0</v>
      </c>
      <c r="Y815" s="9">
        <f>IF($H815&gt;K815, MIN($H815-K815, L815-K815)*INDEX('Key Metrics'!$E$16:$N$19,MATCH($E815,'Key Metrics'!$E$16:$E$19,0),MATCH(Y$1,'Key Metrics'!$E$16:$M$16,0)),0)</f>
        <v>0</v>
      </c>
      <c r="Z815" s="9">
        <f>IF($H815&gt;L815,($H815-L815)*INDEX('Key Metrics'!$E$16:$N$19,MATCH($E815,'Key Metrics'!$E$16:$E$19,0),MATCH(Z$1,'Key Metrics'!$E$16:$M$16,0)),0)</f>
        <v>0</v>
      </c>
      <c r="AA815" s="9">
        <f t="shared" si="129"/>
        <v>91548.15</v>
      </c>
      <c r="AB815" s="9">
        <f t="shared" si="131"/>
        <v>91548.963761333333</v>
      </c>
    </row>
    <row r="816" spans="1:28" x14ac:dyDescent="0.55000000000000004">
      <c r="A816" t="str">
        <f t="shared" si="122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COUNTIF(deals_closed!$D$2:$D$20001,Calculations!B846)</f>
        <v>25</v>
      </c>
      <c r="H816" s="7">
        <f>SUMIF(deals_closed!$D:$D,Calculations!B846,deals_closed!$C:$C)</f>
        <v>855507</v>
      </c>
      <c r="I816" s="5">
        <f>VLOOKUP(E816,'2018_commission_structure'!$A$1:$I$4,9,FALSE)</f>
        <v>750000</v>
      </c>
      <c r="J816" s="9">
        <f t="shared" si="123"/>
        <v>937500</v>
      </c>
      <c r="K816" s="10">
        <f t="shared" si="124"/>
        <v>1125000</v>
      </c>
      <c r="L816" s="9">
        <f t="shared" si="125"/>
        <v>1500000</v>
      </c>
      <c r="M816" s="8">
        <f t="shared" si="126"/>
        <v>1.140676</v>
      </c>
      <c r="N816" t="str">
        <f t="shared" si="127"/>
        <v>100-125%</v>
      </c>
      <c r="O816" s="9">
        <f>MIN($H816,$I816)*INDEX('2018_commission_structure'!$A$1:$I$4,MATCH($E816,'2018_commission_structure'!$A$1:$A$4,0),MATCH(O$1,'2018_commission_structure'!$A$1:$I$1,0))</f>
        <v>112500</v>
      </c>
      <c r="P816" s="9">
        <f>IF(H816&gt;I816, MIN(H816-I816, J816-I816)*INDEX('2018_commission_structure'!$A$1:$I$4,MATCH($E816,'2018_commission_structure'!$A$1:$A$4,0),MATCH(P$1,'2018_commission_structure'!$A$1:$I$1,0)),0)</f>
        <v>20046.330000000002</v>
      </c>
      <c r="Q816" s="9">
        <f>IF($H816&gt;J816, MIN($H816-J816, K816-J816)*INDEX('2018_commission_structure'!$A$1:$I$4,MATCH($E816,'2018_commission_structure'!$A$1:$A$4,0),MATCH(Q$1,'2018_commission_structure'!$A$1:$I$1,0)),0)</f>
        <v>0</v>
      </c>
      <c r="R816" s="9">
        <f>IF($H816&gt;K816, MIN($H816-K816, L816-K816)*INDEX('2018_commission_structure'!$A$1:$I$4,MATCH($E816,'2018_commission_structure'!$A$1:$A$4,0),MATCH(R$1,'2018_commission_structure'!$A$1:$I$1,0)),0)</f>
        <v>0</v>
      </c>
      <c r="S816" s="9">
        <f>IF(H816&gt;L816,(H816-L816)*INDEX('2018_commission_structure'!$A$1:$I$4,MATCH($E816,'2018_commission_structure'!$A$1:$A$4,0),MATCH(S$1,'2018_commission_structure'!$A$1:$I$1,0)),0)</f>
        <v>0</v>
      </c>
      <c r="T816" s="9">
        <f t="shared" si="128"/>
        <v>132546.33000000002</v>
      </c>
      <c r="U816" s="9">
        <f t="shared" si="130"/>
        <v>229038.33000000002</v>
      </c>
      <c r="V816" s="9">
        <f>MIN($I816,$H816)*INDEX('Key Metrics'!$E$16:$N$19,MATCH($E816,'Key Metrics'!$E$16:$E$19,0),MATCH(V$1,'Key Metrics'!$E$16:$M$16,0))</f>
        <v>112500</v>
      </c>
      <c r="W816" s="9">
        <f>IF($H816&gt;I816, MIN($H816-I816, J816-I816)*INDEX('Key Metrics'!$E$16:$N$19,MATCH($E816,'Key Metrics'!$E$16:$E$19,0),MATCH(W$1,'Key Metrics'!$E$16:$M$16,0)),0)</f>
        <v>23211.54</v>
      </c>
      <c r="X816" s="9">
        <f>IF($H816&gt;J816, MIN($H816-J816, K816-J816)*INDEX('Key Metrics'!$E$16:$N$19,MATCH($E816,'Key Metrics'!$E$16:$E$19,0),MATCH(X$1,'Key Metrics'!$E$16:$M$16,0)),0)</f>
        <v>0</v>
      </c>
      <c r="Y816" s="9">
        <f>IF($H816&gt;K816, MIN($H816-K816, L816-K816)*INDEX('Key Metrics'!$E$16:$N$19,MATCH($E816,'Key Metrics'!$E$16:$E$19,0),MATCH(Y$1,'Key Metrics'!$E$16:$M$16,0)),0)</f>
        <v>0</v>
      </c>
      <c r="Z816" s="9">
        <f>IF($H816&gt;L816,($H816-L816)*INDEX('Key Metrics'!$E$16:$N$19,MATCH($E816,'Key Metrics'!$E$16:$E$19,0),MATCH(Z$1,'Key Metrics'!$E$16:$M$16,0)),0)</f>
        <v>0</v>
      </c>
      <c r="AA816" s="9">
        <f t="shared" si="129"/>
        <v>135711.54</v>
      </c>
      <c r="AB816" s="9">
        <f t="shared" si="131"/>
        <v>135712.68067600002</v>
      </c>
    </row>
    <row r="817" spans="1:28" x14ac:dyDescent="0.55000000000000004">
      <c r="A817" t="str">
        <f t="shared" si="122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COUNTIF(deals_closed!$D$2:$D$20001,Calculations!B946)</f>
        <v>22</v>
      </c>
      <c r="H817" s="7">
        <f>SUMIF(deals_closed!$D:$D,Calculations!B946,deals_closed!$C:$C)</f>
        <v>774746</v>
      </c>
      <c r="I817" s="5">
        <f>VLOOKUP(E817,'2018_commission_structure'!$A$1:$I$4,9,FALSE)</f>
        <v>600000</v>
      </c>
      <c r="J817" s="9">
        <f t="shared" si="123"/>
        <v>750000</v>
      </c>
      <c r="K817" s="10">
        <f t="shared" si="124"/>
        <v>900000</v>
      </c>
      <c r="L817" s="9">
        <f t="shared" si="125"/>
        <v>1200000</v>
      </c>
      <c r="M817" s="8">
        <f t="shared" si="126"/>
        <v>1.2912433333333333</v>
      </c>
      <c r="N817" t="str">
        <f t="shared" si="127"/>
        <v>125-150%</v>
      </c>
      <c r="O817" s="9">
        <f>MIN($H817,$I817)*INDEX('2018_commission_structure'!$A$1:$I$4,MATCH($E817,'2018_commission_structure'!$A$1:$A$4,0),MATCH(O$1,'2018_commission_structure'!$A$1:$I$1,0))</f>
        <v>78000</v>
      </c>
      <c r="P817" s="9">
        <f>IF(H817&gt;I817, MIN(H817-I817, J817-I817)*INDEX('2018_commission_structure'!$A$1:$I$4,MATCH($E817,'2018_commission_structure'!$A$1:$A$4,0),MATCH(P$1,'2018_commission_structure'!$A$1:$I$1,0)),0)</f>
        <v>25500.000000000004</v>
      </c>
      <c r="Q817" s="9">
        <f>IF($H817&gt;J817, MIN($H817-J817, K817-J817)*INDEX('2018_commission_structure'!$A$1:$I$4,MATCH($E817,'2018_commission_structure'!$A$1:$A$4,0),MATCH(Q$1,'2018_commission_structure'!$A$1:$I$1,0)),0)</f>
        <v>5196.66</v>
      </c>
      <c r="R817" s="9">
        <f>IF($H817&gt;K817, MIN($H817-K817, L817-K817)*INDEX('2018_commission_structure'!$A$1:$I$4,MATCH($E817,'2018_commission_structure'!$A$1:$A$4,0),MATCH(R$1,'2018_commission_structure'!$A$1:$I$1,0)),0)</f>
        <v>0</v>
      </c>
      <c r="S817" s="9">
        <f>IF(H817&gt;L817,(H817-L817)*INDEX('2018_commission_structure'!$A$1:$I$4,MATCH($E817,'2018_commission_structure'!$A$1:$A$4,0),MATCH(S$1,'2018_commission_structure'!$A$1:$I$1,0)),0)</f>
        <v>0</v>
      </c>
      <c r="T817" s="9">
        <f t="shared" si="128"/>
        <v>108696.66</v>
      </c>
      <c r="U817" s="9">
        <f t="shared" si="130"/>
        <v>159725.66</v>
      </c>
      <c r="V817" s="9">
        <f>MIN($I817,$H817)*INDEX('Key Metrics'!$E$16:$N$19,MATCH($E817,'Key Metrics'!$E$16:$E$19,0),MATCH(V$1,'Key Metrics'!$E$16:$M$16,0))</f>
        <v>90000</v>
      </c>
      <c r="W817" s="9">
        <f>IF($H817&gt;I817, MIN($H817-I817, J817-I817)*INDEX('Key Metrics'!$E$16:$N$19,MATCH($E817,'Key Metrics'!$E$16:$E$19,0),MATCH(W$1,'Key Metrics'!$E$16:$M$16,0)),0)</f>
        <v>27000</v>
      </c>
      <c r="X817" s="9">
        <f>IF($H817&gt;J817, MIN($H817-J817, K817-J817)*INDEX('Key Metrics'!$E$16:$N$19,MATCH($E817,'Key Metrics'!$E$16:$E$19,0),MATCH(X$1,'Key Metrics'!$E$16:$M$16,0)),0)</f>
        <v>6186.5</v>
      </c>
      <c r="Y817" s="9">
        <f>IF($H817&gt;K817, MIN($H817-K817, L817-K817)*INDEX('Key Metrics'!$E$16:$N$19,MATCH($E817,'Key Metrics'!$E$16:$E$19,0),MATCH(Y$1,'Key Metrics'!$E$16:$M$16,0)),0)</f>
        <v>0</v>
      </c>
      <c r="Z817" s="9">
        <f>IF($H817&gt;L817,($H817-L817)*INDEX('Key Metrics'!$E$16:$N$19,MATCH($E817,'Key Metrics'!$E$16:$E$19,0),MATCH(Z$1,'Key Metrics'!$E$16:$M$16,0)),0)</f>
        <v>0</v>
      </c>
      <c r="AA817" s="9">
        <f t="shared" si="129"/>
        <v>123186.5</v>
      </c>
      <c r="AB817" s="9">
        <f t="shared" si="131"/>
        <v>123187.79124333334</v>
      </c>
    </row>
    <row r="818" spans="1:28" x14ac:dyDescent="0.55000000000000004">
      <c r="A818" t="str">
        <f t="shared" si="122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COUNTIF(deals_closed!$D$2:$D$20001,Calculations!B926)</f>
        <v>14</v>
      </c>
      <c r="H818" s="7">
        <f>SUMIF(deals_closed!$D:$D,Calculations!B926,deals_closed!$C:$C)</f>
        <v>440900</v>
      </c>
      <c r="I818" s="5">
        <f>VLOOKUP(E818,'2018_commission_structure'!$A$1:$I$4,9,FALSE)</f>
        <v>500000</v>
      </c>
      <c r="J818" s="9">
        <f t="shared" si="123"/>
        <v>625000</v>
      </c>
      <c r="K818" s="10">
        <f t="shared" si="124"/>
        <v>750000</v>
      </c>
      <c r="L818" s="9">
        <f t="shared" si="125"/>
        <v>1000000</v>
      </c>
      <c r="M818" s="8">
        <f t="shared" si="126"/>
        <v>0.88180000000000003</v>
      </c>
      <c r="N818" t="str">
        <f t="shared" si="127"/>
        <v>0-100%</v>
      </c>
      <c r="O818" s="9">
        <f>MIN($H818,$I818)*INDEX('2018_commission_structure'!$A$1:$I$4,MATCH($E818,'2018_commission_structure'!$A$1:$A$4,0),MATCH(O$1,'2018_commission_structure'!$A$1:$I$1,0))</f>
        <v>44090</v>
      </c>
      <c r="P818" s="9">
        <f>IF(H818&gt;I818, MIN(H818-I818, J818-I818)*INDEX('2018_commission_structure'!$A$1:$I$4,MATCH($E818,'2018_commission_structure'!$A$1:$A$4,0),MATCH(P$1,'2018_commission_structure'!$A$1:$I$1,0)),0)</f>
        <v>0</v>
      </c>
      <c r="Q818" s="9">
        <f>IF($H818&gt;J818, MIN($H818-J818, K818-J818)*INDEX('2018_commission_structure'!$A$1:$I$4,MATCH($E818,'2018_commission_structure'!$A$1:$A$4,0),MATCH(Q$1,'2018_commission_structure'!$A$1:$I$1,0)),0)</f>
        <v>0</v>
      </c>
      <c r="R818" s="9">
        <f>IF($H818&gt;K818, MIN($H818-K818, L818-K818)*INDEX('2018_commission_structure'!$A$1:$I$4,MATCH($E818,'2018_commission_structure'!$A$1:$A$4,0),MATCH(R$1,'2018_commission_structure'!$A$1:$I$1,0)),0)</f>
        <v>0</v>
      </c>
      <c r="S818" s="9">
        <f>IF(H818&gt;L818,(H818-L818)*INDEX('2018_commission_structure'!$A$1:$I$4,MATCH($E818,'2018_commission_structure'!$A$1:$A$4,0),MATCH(S$1,'2018_commission_structure'!$A$1:$I$1,0)),0)</f>
        <v>0</v>
      </c>
      <c r="T818" s="9">
        <f t="shared" si="128"/>
        <v>44090</v>
      </c>
      <c r="U818" s="9">
        <f t="shared" si="130"/>
        <v>76755</v>
      </c>
      <c r="V818" s="9">
        <f>MIN($I818,$H818)*INDEX('Key Metrics'!$E$16:$N$19,MATCH($E818,'Key Metrics'!$E$16:$E$19,0),MATCH(V$1,'Key Metrics'!$E$16:$M$16,0))</f>
        <v>52908</v>
      </c>
      <c r="W818" s="9">
        <f>IF($H818&gt;I818, MIN($H818-I818, J818-I818)*INDEX('Key Metrics'!$E$16:$N$19,MATCH($E818,'Key Metrics'!$E$16:$E$19,0),MATCH(W$1,'Key Metrics'!$E$16:$M$16,0)),0)</f>
        <v>0</v>
      </c>
      <c r="X818" s="9">
        <f>IF($H818&gt;J818, MIN($H818-J818, K818-J818)*INDEX('Key Metrics'!$E$16:$N$19,MATCH($E818,'Key Metrics'!$E$16:$E$19,0),MATCH(X$1,'Key Metrics'!$E$16:$M$16,0)),0)</f>
        <v>0</v>
      </c>
      <c r="Y818" s="9">
        <f>IF($H818&gt;K818, MIN($H818-K818, L818-K818)*INDEX('Key Metrics'!$E$16:$N$19,MATCH($E818,'Key Metrics'!$E$16:$E$19,0),MATCH(Y$1,'Key Metrics'!$E$16:$M$16,0)),0)</f>
        <v>0</v>
      </c>
      <c r="Z818" s="9">
        <f>IF($H818&gt;L818,($H818-L818)*INDEX('Key Metrics'!$E$16:$N$19,MATCH($E818,'Key Metrics'!$E$16:$E$19,0),MATCH(Z$1,'Key Metrics'!$E$16:$M$16,0)),0)</f>
        <v>0</v>
      </c>
      <c r="AA818" s="9">
        <f t="shared" si="129"/>
        <v>52908</v>
      </c>
      <c r="AB818" s="9">
        <f t="shared" si="131"/>
        <v>52908.881800000003</v>
      </c>
    </row>
    <row r="819" spans="1:28" x14ac:dyDescent="0.55000000000000004">
      <c r="A819" t="str">
        <f t="shared" si="122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COUNTIF(deals_closed!$D$2:$D$20001,Calculations!B668)</f>
        <v>19</v>
      </c>
      <c r="H819" s="7">
        <f>SUMIF(deals_closed!$D:$D,Calculations!B668,deals_closed!$C:$C)</f>
        <v>588834</v>
      </c>
      <c r="I819" s="5">
        <f>VLOOKUP(E819,'2018_commission_structure'!$A$1:$I$4,9,FALSE)</f>
        <v>750000</v>
      </c>
      <c r="J819" s="9">
        <f t="shared" si="123"/>
        <v>937500</v>
      </c>
      <c r="K819" s="10">
        <f t="shared" si="124"/>
        <v>1125000</v>
      </c>
      <c r="L819" s="9">
        <f t="shared" si="125"/>
        <v>1500000</v>
      </c>
      <c r="M819" s="8">
        <f t="shared" si="126"/>
        <v>0.78511200000000003</v>
      </c>
      <c r="N819" t="str">
        <f t="shared" si="127"/>
        <v>0-100%</v>
      </c>
      <c r="O819" s="9">
        <f>MIN($H819,$I819)*INDEX('2018_commission_structure'!$A$1:$I$4,MATCH($E819,'2018_commission_structure'!$A$1:$A$4,0),MATCH(O$1,'2018_commission_structure'!$A$1:$I$1,0))</f>
        <v>88325.099999999991</v>
      </c>
      <c r="P819" s="9">
        <f>IF(H819&gt;I819, MIN(H819-I819, J819-I819)*INDEX('2018_commission_structure'!$A$1:$I$4,MATCH($E819,'2018_commission_structure'!$A$1:$A$4,0),MATCH(P$1,'2018_commission_structure'!$A$1:$I$1,0)),0)</f>
        <v>0</v>
      </c>
      <c r="Q819" s="9">
        <f>IF($H819&gt;J819, MIN($H819-J819, K819-J819)*INDEX('2018_commission_structure'!$A$1:$I$4,MATCH($E819,'2018_commission_structure'!$A$1:$A$4,0),MATCH(Q$1,'2018_commission_structure'!$A$1:$I$1,0)),0)</f>
        <v>0</v>
      </c>
      <c r="R819" s="9">
        <f>IF($H819&gt;K819, MIN($H819-K819, L819-K819)*INDEX('2018_commission_structure'!$A$1:$I$4,MATCH($E819,'2018_commission_structure'!$A$1:$A$4,0),MATCH(R$1,'2018_commission_structure'!$A$1:$I$1,0)),0)</f>
        <v>0</v>
      </c>
      <c r="S819" s="9">
        <f>IF(H819&gt;L819,(H819-L819)*INDEX('2018_commission_structure'!$A$1:$I$4,MATCH($E819,'2018_commission_structure'!$A$1:$A$4,0),MATCH(S$1,'2018_commission_structure'!$A$1:$I$1,0)),0)</f>
        <v>0</v>
      </c>
      <c r="T819" s="9">
        <f t="shared" si="128"/>
        <v>88325.099999999991</v>
      </c>
      <c r="U819" s="9">
        <f t="shared" si="130"/>
        <v>186237.09999999998</v>
      </c>
      <c r="V819" s="9">
        <f>MIN($I819,$H819)*INDEX('Key Metrics'!$E$16:$N$19,MATCH($E819,'Key Metrics'!$E$16:$E$19,0),MATCH(V$1,'Key Metrics'!$E$16:$M$16,0))</f>
        <v>88325.099999999991</v>
      </c>
      <c r="W819" s="9">
        <f>IF($H819&gt;I819, MIN($H819-I819, J819-I819)*INDEX('Key Metrics'!$E$16:$N$19,MATCH($E819,'Key Metrics'!$E$16:$E$19,0),MATCH(W$1,'Key Metrics'!$E$16:$M$16,0)),0)</f>
        <v>0</v>
      </c>
      <c r="X819" s="9">
        <f>IF($H819&gt;J819, MIN($H819-J819, K819-J819)*INDEX('Key Metrics'!$E$16:$N$19,MATCH($E819,'Key Metrics'!$E$16:$E$19,0),MATCH(X$1,'Key Metrics'!$E$16:$M$16,0)),0)</f>
        <v>0</v>
      </c>
      <c r="Y819" s="9">
        <f>IF($H819&gt;K819, MIN($H819-K819, L819-K819)*INDEX('Key Metrics'!$E$16:$N$19,MATCH($E819,'Key Metrics'!$E$16:$E$19,0),MATCH(Y$1,'Key Metrics'!$E$16:$M$16,0)),0)</f>
        <v>0</v>
      </c>
      <c r="Z819" s="9">
        <f>IF($H819&gt;L819,($H819-L819)*INDEX('Key Metrics'!$E$16:$N$19,MATCH($E819,'Key Metrics'!$E$16:$E$19,0),MATCH(Z$1,'Key Metrics'!$E$16:$M$16,0)),0)</f>
        <v>0</v>
      </c>
      <c r="AA819" s="9">
        <f t="shared" si="129"/>
        <v>88325.099999999991</v>
      </c>
      <c r="AB819" s="9">
        <f t="shared" si="131"/>
        <v>88325.885111999989</v>
      </c>
    </row>
    <row r="820" spans="1:28" x14ac:dyDescent="0.55000000000000004">
      <c r="A820" t="str">
        <f t="shared" si="122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COUNTIF(deals_closed!$D$2:$D$20001,Calculations!B451)</f>
        <v>23</v>
      </c>
      <c r="H820" s="7">
        <f>SUMIF(deals_closed!$D:$D,Calculations!B451,deals_closed!$C:$C)</f>
        <v>754953</v>
      </c>
      <c r="I820" s="5">
        <f>VLOOKUP(E820,'2018_commission_structure'!$A$1:$I$4,9,FALSE)</f>
        <v>750000</v>
      </c>
      <c r="J820" s="9">
        <f t="shared" si="123"/>
        <v>937500</v>
      </c>
      <c r="K820" s="10">
        <f t="shared" si="124"/>
        <v>1125000</v>
      </c>
      <c r="L820" s="9">
        <f t="shared" si="125"/>
        <v>1500000</v>
      </c>
      <c r="M820" s="8">
        <f t="shared" si="126"/>
        <v>1.0066040000000001</v>
      </c>
      <c r="N820" t="str">
        <f t="shared" si="127"/>
        <v>100-125%</v>
      </c>
      <c r="O820" s="9">
        <f>MIN($H820,$I820)*INDEX('2018_commission_structure'!$A$1:$I$4,MATCH($E820,'2018_commission_structure'!$A$1:$A$4,0),MATCH(O$1,'2018_commission_structure'!$A$1:$I$1,0))</f>
        <v>112500</v>
      </c>
      <c r="P820" s="9">
        <f>IF(H820&gt;I820, MIN(H820-I820, J820-I820)*INDEX('2018_commission_structure'!$A$1:$I$4,MATCH($E820,'2018_commission_structure'!$A$1:$A$4,0),MATCH(P$1,'2018_commission_structure'!$A$1:$I$1,0)),0)</f>
        <v>941.07</v>
      </c>
      <c r="Q820" s="9">
        <f>IF($H820&gt;J820, MIN($H820-J820, K820-J820)*INDEX('2018_commission_structure'!$A$1:$I$4,MATCH($E820,'2018_commission_structure'!$A$1:$A$4,0),MATCH(Q$1,'2018_commission_structure'!$A$1:$I$1,0)),0)</f>
        <v>0</v>
      </c>
      <c r="R820" s="9">
        <f>IF($H820&gt;K820, MIN($H820-K820, L820-K820)*INDEX('2018_commission_structure'!$A$1:$I$4,MATCH($E820,'2018_commission_structure'!$A$1:$A$4,0),MATCH(R$1,'2018_commission_structure'!$A$1:$I$1,0)),0)</f>
        <v>0</v>
      </c>
      <c r="S820" s="9">
        <f>IF(H820&gt;L820,(H820-L820)*INDEX('2018_commission_structure'!$A$1:$I$4,MATCH($E820,'2018_commission_structure'!$A$1:$A$4,0),MATCH(S$1,'2018_commission_structure'!$A$1:$I$1,0)),0)</f>
        <v>0</v>
      </c>
      <c r="T820" s="9">
        <f t="shared" si="128"/>
        <v>113441.07</v>
      </c>
      <c r="U820" s="9">
        <f t="shared" si="130"/>
        <v>214460.07</v>
      </c>
      <c r="V820" s="9">
        <f>MIN($I820,$H820)*INDEX('Key Metrics'!$E$16:$N$19,MATCH($E820,'Key Metrics'!$E$16:$E$19,0),MATCH(V$1,'Key Metrics'!$E$16:$M$16,0))</f>
        <v>112500</v>
      </c>
      <c r="W820" s="9">
        <f>IF($H820&gt;I820, MIN($H820-I820, J820-I820)*INDEX('Key Metrics'!$E$16:$N$19,MATCH($E820,'Key Metrics'!$E$16:$E$19,0),MATCH(W$1,'Key Metrics'!$E$16:$M$16,0)),0)</f>
        <v>1089.6600000000001</v>
      </c>
      <c r="X820" s="9">
        <f>IF($H820&gt;J820, MIN($H820-J820, K820-J820)*INDEX('Key Metrics'!$E$16:$N$19,MATCH($E820,'Key Metrics'!$E$16:$E$19,0),MATCH(X$1,'Key Metrics'!$E$16:$M$16,0)),0)</f>
        <v>0</v>
      </c>
      <c r="Y820" s="9">
        <f>IF($H820&gt;K820, MIN($H820-K820, L820-K820)*INDEX('Key Metrics'!$E$16:$N$19,MATCH($E820,'Key Metrics'!$E$16:$E$19,0),MATCH(Y$1,'Key Metrics'!$E$16:$M$16,0)),0)</f>
        <v>0</v>
      </c>
      <c r="Z820" s="9">
        <f>IF($H820&gt;L820,($H820-L820)*INDEX('Key Metrics'!$E$16:$N$19,MATCH($E820,'Key Metrics'!$E$16:$E$19,0),MATCH(Z$1,'Key Metrics'!$E$16:$M$16,0)),0)</f>
        <v>0</v>
      </c>
      <c r="AA820" s="9">
        <f t="shared" si="129"/>
        <v>113589.66</v>
      </c>
      <c r="AB820" s="9">
        <f t="shared" si="131"/>
        <v>113590.666604</v>
      </c>
    </row>
    <row r="821" spans="1:28" x14ac:dyDescent="0.55000000000000004">
      <c r="A821" t="str">
        <f t="shared" si="122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COUNTIF(deals_closed!$D$2:$D$20001,Calculations!B211)</f>
        <v>23</v>
      </c>
      <c r="H821" s="7">
        <f>SUMIF(deals_closed!$D:$D,Calculations!B211,deals_closed!$C:$C)</f>
        <v>834584</v>
      </c>
      <c r="I821" s="5">
        <f>VLOOKUP(E821,'2018_commission_structure'!$A$1:$I$4,9,FALSE)</f>
        <v>600000</v>
      </c>
      <c r="J821" s="9">
        <f t="shared" si="123"/>
        <v>750000</v>
      </c>
      <c r="K821" s="10">
        <f t="shared" si="124"/>
        <v>900000</v>
      </c>
      <c r="L821" s="9">
        <f t="shared" si="125"/>
        <v>1200000</v>
      </c>
      <c r="M821" s="8">
        <f t="shared" si="126"/>
        <v>1.3909733333333334</v>
      </c>
      <c r="N821" t="str">
        <f t="shared" si="127"/>
        <v>125-150%</v>
      </c>
      <c r="O821" s="9">
        <f>MIN($H821,$I821)*INDEX('2018_commission_structure'!$A$1:$I$4,MATCH($E821,'2018_commission_structure'!$A$1:$A$4,0),MATCH(O$1,'2018_commission_structure'!$A$1:$I$1,0))</f>
        <v>78000</v>
      </c>
      <c r="P821" s="9">
        <f>IF(H821&gt;I821, MIN(H821-I821, J821-I821)*INDEX('2018_commission_structure'!$A$1:$I$4,MATCH($E821,'2018_commission_structure'!$A$1:$A$4,0),MATCH(P$1,'2018_commission_structure'!$A$1:$I$1,0)),0)</f>
        <v>25500.000000000004</v>
      </c>
      <c r="Q821" s="9">
        <f>IF($H821&gt;J821, MIN($H821-J821, K821-J821)*INDEX('2018_commission_structure'!$A$1:$I$4,MATCH($E821,'2018_commission_structure'!$A$1:$A$4,0),MATCH(Q$1,'2018_commission_structure'!$A$1:$I$1,0)),0)</f>
        <v>17762.64</v>
      </c>
      <c r="R821" s="9">
        <f>IF($H821&gt;K821, MIN($H821-K821, L821-K821)*INDEX('2018_commission_structure'!$A$1:$I$4,MATCH($E821,'2018_commission_structure'!$A$1:$A$4,0),MATCH(R$1,'2018_commission_structure'!$A$1:$I$1,0)),0)</f>
        <v>0</v>
      </c>
      <c r="S821" s="9">
        <f>IF(H821&gt;L821,(H821-L821)*INDEX('2018_commission_structure'!$A$1:$I$4,MATCH($E821,'2018_commission_structure'!$A$1:$A$4,0),MATCH(S$1,'2018_commission_structure'!$A$1:$I$1,0)),0)</f>
        <v>0</v>
      </c>
      <c r="T821" s="9">
        <f t="shared" si="128"/>
        <v>121262.64</v>
      </c>
      <c r="U821" s="9">
        <f t="shared" si="130"/>
        <v>198669.64</v>
      </c>
      <c r="V821" s="9">
        <f>MIN($I821,$H821)*INDEX('Key Metrics'!$E$16:$N$19,MATCH($E821,'Key Metrics'!$E$16:$E$19,0),MATCH(V$1,'Key Metrics'!$E$16:$M$16,0))</f>
        <v>90000</v>
      </c>
      <c r="W821" s="9">
        <f>IF($H821&gt;I821, MIN($H821-I821, J821-I821)*INDEX('Key Metrics'!$E$16:$N$19,MATCH($E821,'Key Metrics'!$E$16:$E$19,0),MATCH(W$1,'Key Metrics'!$E$16:$M$16,0)),0)</f>
        <v>27000</v>
      </c>
      <c r="X821" s="9">
        <f>IF($H821&gt;J821, MIN($H821-J821, K821-J821)*INDEX('Key Metrics'!$E$16:$N$19,MATCH($E821,'Key Metrics'!$E$16:$E$19,0),MATCH(X$1,'Key Metrics'!$E$16:$M$16,0)),0)</f>
        <v>21146</v>
      </c>
      <c r="Y821" s="9">
        <f>IF($H821&gt;K821, MIN($H821-K821, L821-K821)*INDEX('Key Metrics'!$E$16:$N$19,MATCH($E821,'Key Metrics'!$E$16:$E$19,0),MATCH(Y$1,'Key Metrics'!$E$16:$M$16,0)),0)</f>
        <v>0</v>
      </c>
      <c r="Z821" s="9">
        <f>IF($H821&gt;L821,($H821-L821)*INDEX('Key Metrics'!$E$16:$N$19,MATCH($E821,'Key Metrics'!$E$16:$E$19,0),MATCH(Z$1,'Key Metrics'!$E$16:$M$16,0)),0)</f>
        <v>0</v>
      </c>
      <c r="AA821" s="9">
        <f t="shared" si="129"/>
        <v>138146</v>
      </c>
      <c r="AB821" s="9">
        <f t="shared" si="131"/>
        <v>138147.39097333333</v>
      </c>
    </row>
    <row r="822" spans="1:28" x14ac:dyDescent="0.55000000000000004">
      <c r="A822" t="str">
        <f t="shared" si="122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COUNTIF(deals_closed!$D$2:$D$20001,Calculations!B454)</f>
        <v>19</v>
      </c>
      <c r="H822" s="7">
        <f>SUMIF(deals_closed!$D:$D,Calculations!B454,deals_closed!$C:$C)</f>
        <v>676232</v>
      </c>
      <c r="I822" s="5">
        <f>VLOOKUP(E822,'2018_commission_structure'!$A$1:$I$4,9,FALSE)</f>
        <v>750000</v>
      </c>
      <c r="J822" s="9">
        <f t="shared" si="123"/>
        <v>937500</v>
      </c>
      <c r="K822" s="10">
        <f t="shared" si="124"/>
        <v>1125000</v>
      </c>
      <c r="L822" s="9">
        <f t="shared" si="125"/>
        <v>1500000</v>
      </c>
      <c r="M822" s="8">
        <f t="shared" si="126"/>
        <v>0.9016426666666667</v>
      </c>
      <c r="N822" t="str">
        <f t="shared" si="127"/>
        <v>0-100%</v>
      </c>
      <c r="O822" s="9">
        <f>MIN($H822,$I822)*INDEX('2018_commission_structure'!$A$1:$I$4,MATCH($E822,'2018_commission_structure'!$A$1:$A$4,0),MATCH(O$1,'2018_commission_structure'!$A$1:$I$1,0))</f>
        <v>101434.8</v>
      </c>
      <c r="P822" s="9">
        <f>IF(H822&gt;I822, MIN(H822-I822, J822-I822)*INDEX('2018_commission_structure'!$A$1:$I$4,MATCH($E822,'2018_commission_structure'!$A$1:$A$4,0),MATCH(P$1,'2018_commission_structure'!$A$1:$I$1,0)),0)</f>
        <v>0</v>
      </c>
      <c r="Q822" s="9">
        <f>IF($H822&gt;J822, MIN($H822-J822, K822-J822)*INDEX('2018_commission_structure'!$A$1:$I$4,MATCH($E822,'2018_commission_structure'!$A$1:$A$4,0),MATCH(Q$1,'2018_commission_structure'!$A$1:$I$1,0)),0)</f>
        <v>0</v>
      </c>
      <c r="R822" s="9">
        <f>IF($H822&gt;K822, MIN($H822-K822, L822-K822)*INDEX('2018_commission_structure'!$A$1:$I$4,MATCH($E822,'2018_commission_structure'!$A$1:$A$4,0),MATCH(R$1,'2018_commission_structure'!$A$1:$I$1,0)),0)</f>
        <v>0</v>
      </c>
      <c r="S822" s="9">
        <f>IF(H822&gt;L822,(H822-L822)*INDEX('2018_commission_structure'!$A$1:$I$4,MATCH($E822,'2018_commission_structure'!$A$1:$A$4,0),MATCH(S$1,'2018_commission_structure'!$A$1:$I$1,0)),0)</f>
        <v>0</v>
      </c>
      <c r="T822" s="9">
        <f t="shared" si="128"/>
        <v>101434.8</v>
      </c>
      <c r="U822" s="9">
        <f t="shared" si="130"/>
        <v>188657.8</v>
      </c>
      <c r="V822" s="9">
        <f>MIN($I822,$H822)*INDEX('Key Metrics'!$E$16:$N$19,MATCH($E822,'Key Metrics'!$E$16:$E$19,0),MATCH(V$1,'Key Metrics'!$E$16:$M$16,0))</f>
        <v>101434.8</v>
      </c>
      <c r="W822" s="9">
        <f>IF($H822&gt;I822, MIN($H822-I822, J822-I822)*INDEX('Key Metrics'!$E$16:$N$19,MATCH($E822,'Key Metrics'!$E$16:$E$19,0),MATCH(W$1,'Key Metrics'!$E$16:$M$16,0)),0)</f>
        <v>0</v>
      </c>
      <c r="X822" s="9">
        <f>IF($H822&gt;J822, MIN($H822-J822, K822-J822)*INDEX('Key Metrics'!$E$16:$N$19,MATCH($E822,'Key Metrics'!$E$16:$E$19,0),MATCH(X$1,'Key Metrics'!$E$16:$M$16,0)),0)</f>
        <v>0</v>
      </c>
      <c r="Y822" s="9">
        <f>IF($H822&gt;K822, MIN($H822-K822, L822-K822)*INDEX('Key Metrics'!$E$16:$N$19,MATCH($E822,'Key Metrics'!$E$16:$E$19,0),MATCH(Y$1,'Key Metrics'!$E$16:$M$16,0)),0)</f>
        <v>0</v>
      </c>
      <c r="Z822" s="9">
        <f>IF($H822&gt;L822,($H822-L822)*INDEX('Key Metrics'!$E$16:$N$19,MATCH($E822,'Key Metrics'!$E$16:$E$19,0),MATCH(Z$1,'Key Metrics'!$E$16:$M$16,0)),0)</f>
        <v>0</v>
      </c>
      <c r="AA822" s="9">
        <f t="shared" si="129"/>
        <v>101434.8</v>
      </c>
      <c r="AB822" s="9">
        <f t="shared" si="131"/>
        <v>101435.70164266667</v>
      </c>
    </row>
    <row r="823" spans="1:28" x14ac:dyDescent="0.55000000000000004">
      <c r="A823" t="str">
        <f t="shared" si="122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COUNTIF(deals_closed!$D$2:$D$20001,Calculations!B696)</f>
        <v>19</v>
      </c>
      <c r="H823" s="7">
        <f>SUMIF(deals_closed!$D:$D,Calculations!B696,deals_closed!$C:$C)</f>
        <v>681071</v>
      </c>
      <c r="I823" s="5">
        <f>VLOOKUP(E823,'2018_commission_structure'!$A$1:$I$4,9,FALSE)</f>
        <v>600000</v>
      </c>
      <c r="J823" s="9">
        <f t="shared" si="123"/>
        <v>750000</v>
      </c>
      <c r="K823" s="10">
        <f t="shared" si="124"/>
        <v>900000</v>
      </c>
      <c r="L823" s="9">
        <f t="shared" si="125"/>
        <v>1200000</v>
      </c>
      <c r="M823" s="8">
        <f t="shared" si="126"/>
        <v>1.1351183333333332</v>
      </c>
      <c r="N823" t="str">
        <f t="shared" si="127"/>
        <v>100-125%</v>
      </c>
      <c r="O823" s="9">
        <f>MIN($H823,$I823)*INDEX('2018_commission_structure'!$A$1:$I$4,MATCH($E823,'2018_commission_structure'!$A$1:$A$4,0),MATCH(O$1,'2018_commission_structure'!$A$1:$I$1,0))</f>
        <v>78000</v>
      </c>
      <c r="P823" s="9">
        <f>IF(H823&gt;I823, MIN(H823-I823, J823-I823)*INDEX('2018_commission_structure'!$A$1:$I$4,MATCH($E823,'2018_commission_structure'!$A$1:$A$4,0),MATCH(P$1,'2018_commission_structure'!$A$1:$I$1,0)),0)</f>
        <v>13782.070000000002</v>
      </c>
      <c r="Q823" s="9">
        <f>IF($H823&gt;J823, MIN($H823-J823, K823-J823)*INDEX('2018_commission_structure'!$A$1:$I$4,MATCH($E823,'2018_commission_structure'!$A$1:$A$4,0),MATCH(Q$1,'2018_commission_structure'!$A$1:$I$1,0)),0)</f>
        <v>0</v>
      </c>
      <c r="R823" s="9">
        <f>IF($H823&gt;K823, MIN($H823-K823, L823-K823)*INDEX('2018_commission_structure'!$A$1:$I$4,MATCH($E823,'2018_commission_structure'!$A$1:$A$4,0),MATCH(R$1,'2018_commission_structure'!$A$1:$I$1,0)),0)</f>
        <v>0</v>
      </c>
      <c r="S823" s="9">
        <f>IF(H823&gt;L823,(H823-L823)*INDEX('2018_commission_structure'!$A$1:$I$4,MATCH($E823,'2018_commission_structure'!$A$1:$A$4,0),MATCH(S$1,'2018_commission_structure'!$A$1:$I$1,0)),0)</f>
        <v>0</v>
      </c>
      <c r="T823" s="9">
        <f t="shared" si="128"/>
        <v>91782.07</v>
      </c>
      <c r="U823" s="9">
        <f t="shared" si="130"/>
        <v>152666.07</v>
      </c>
      <c r="V823" s="9">
        <f>MIN($I823,$H823)*INDEX('Key Metrics'!$E$16:$N$19,MATCH($E823,'Key Metrics'!$E$16:$E$19,0),MATCH(V$1,'Key Metrics'!$E$16:$M$16,0))</f>
        <v>90000</v>
      </c>
      <c r="W823" s="9">
        <f>IF($H823&gt;I823, MIN($H823-I823, J823-I823)*INDEX('Key Metrics'!$E$16:$N$19,MATCH($E823,'Key Metrics'!$E$16:$E$19,0),MATCH(W$1,'Key Metrics'!$E$16:$M$16,0)),0)</f>
        <v>14592.779999999999</v>
      </c>
      <c r="X823" s="9">
        <f>IF($H823&gt;J823, MIN($H823-J823, K823-J823)*INDEX('Key Metrics'!$E$16:$N$19,MATCH($E823,'Key Metrics'!$E$16:$E$19,0),MATCH(X$1,'Key Metrics'!$E$16:$M$16,0)),0)</f>
        <v>0</v>
      </c>
      <c r="Y823" s="9">
        <f>IF($H823&gt;K823, MIN($H823-K823, L823-K823)*INDEX('Key Metrics'!$E$16:$N$19,MATCH($E823,'Key Metrics'!$E$16:$E$19,0),MATCH(Y$1,'Key Metrics'!$E$16:$M$16,0)),0)</f>
        <v>0</v>
      </c>
      <c r="Z823" s="9">
        <f>IF($H823&gt;L823,($H823-L823)*INDEX('Key Metrics'!$E$16:$N$19,MATCH($E823,'Key Metrics'!$E$16:$E$19,0),MATCH(Z$1,'Key Metrics'!$E$16:$M$16,0)),0)</f>
        <v>0</v>
      </c>
      <c r="AA823" s="9">
        <f t="shared" si="129"/>
        <v>104592.78</v>
      </c>
      <c r="AB823" s="9">
        <f t="shared" si="131"/>
        <v>104593.91511833333</v>
      </c>
    </row>
    <row r="824" spans="1:28" x14ac:dyDescent="0.55000000000000004">
      <c r="A824" t="str">
        <f t="shared" si="122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COUNTIF(deals_closed!$D$2:$D$20001,Calculations!B658)</f>
        <v>24</v>
      </c>
      <c r="H824" s="7">
        <f>SUMIF(deals_closed!$D:$D,Calculations!B658,deals_closed!$C:$C)</f>
        <v>780877</v>
      </c>
      <c r="I824" s="5">
        <f>VLOOKUP(E824,'2018_commission_structure'!$A$1:$I$4,9,FALSE)</f>
        <v>600000</v>
      </c>
      <c r="J824" s="9">
        <f t="shared" si="123"/>
        <v>750000</v>
      </c>
      <c r="K824" s="10">
        <f t="shared" si="124"/>
        <v>900000</v>
      </c>
      <c r="L824" s="9">
        <f t="shared" si="125"/>
        <v>1200000</v>
      </c>
      <c r="M824" s="8">
        <f t="shared" si="126"/>
        <v>1.3014616666666667</v>
      </c>
      <c r="N824" t="str">
        <f t="shared" si="127"/>
        <v>125-150%</v>
      </c>
      <c r="O824" s="9">
        <f>MIN($H824,$I824)*INDEX('2018_commission_structure'!$A$1:$I$4,MATCH($E824,'2018_commission_structure'!$A$1:$A$4,0),MATCH(O$1,'2018_commission_structure'!$A$1:$I$1,0))</f>
        <v>78000</v>
      </c>
      <c r="P824" s="9">
        <f>IF(H824&gt;I824, MIN(H824-I824, J824-I824)*INDEX('2018_commission_structure'!$A$1:$I$4,MATCH($E824,'2018_commission_structure'!$A$1:$A$4,0),MATCH(P$1,'2018_commission_structure'!$A$1:$I$1,0)),0)</f>
        <v>25500.000000000004</v>
      </c>
      <c r="Q824" s="9">
        <f>IF($H824&gt;J824, MIN($H824-J824, K824-J824)*INDEX('2018_commission_structure'!$A$1:$I$4,MATCH($E824,'2018_commission_structure'!$A$1:$A$4,0),MATCH(Q$1,'2018_commission_structure'!$A$1:$I$1,0)),0)</f>
        <v>6484.17</v>
      </c>
      <c r="R824" s="9">
        <f>IF($H824&gt;K824, MIN($H824-K824, L824-K824)*INDEX('2018_commission_structure'!$A$1:$I$4,MATCH($E824,'2018_commission_structure'!$A$1:$A$4,0),MATCH(R$1,'2018_commission_structure'!$A$1:$I$1,0)),0)</f>
        <v>0</v>
      </c>
      <c r="S824" s="9">
        <f>IF(H824&gt;L824,(H824-L824)*INDEX('2018_commission_structure'!$A$1:$I$4,MATCH($E824,'2018_commission_structure'!$A$1:$A$4,0),MATCH(S$1,'2018_commission_structure'!$A$1:$I$1,0)),0)</f>
        <v>0</v>
      </c>
      <c r="T824" s="9">
        <f t="shared" si="128"/>
        <v>109984.17</v>
      </c>
      <c r="U824" s="9">
        <f t="shared" si="130"/>
        <v>176940.16999999998</v>
      </c>
      <c r="V824" s="9">
        <f>MIN($I824,$H824)*INDEX('Key Metrics'!$E$16:$N$19,MATCH($E824,'Key Metrics'!$E$16:$E$19,0),MATCH(V$1,'Key Metrics'!$E$16:$M$16,0))</f>
        <v>90000</v>
      </c>
      <c r="W824" s="9">
        <f>IF($H824&gt;I824, MIN($H824-I824, J824-I824)*INDEX('Key Metrics'!$E$16:$N$19,MATCH($E824,'Key Metrics'!$E$16:$E$19,0),MATCH(W$1,'Key Metrics'!$E$16:$M$16,0)),0)</f>
        <v>27000</v>
      </c>
      <c r="X824" s="9">
        <f>IF($H824&gt;J824, MIN($H824-J824, K824-J824)*INDEX('Key Metrics'!$E$16:$N$19,MATCH($E824,'Key Metrics'!$E$16:$E$19,0),MATCH(X$1,'Key Metrics'!$E$16:$M$16,0)),0)</f>
        <v>7719.25</v>
      </c>
      <c r="Y824" s="9">
        <f>IF($H824&gt;K824, MIN($H824-K824, L824-K824)*INDEX('Key Metrics'!$E$16:$N$19,MATCH($E824,'Key Metrics'!$E$16:$E$19,0),MATCH(Y$1,'Key Metrics'!$E$16:$M$16,0)),0)</f>
        <v>0</v>
      </c>
      <c r="Z824" s="9">
        <f>IF($H824&gt;L824,($H824-L824)*INDEX('Key Metrics'!$E$16:$N$19,MATCH($E824,'Key Metrics'!$E$16:$E$19,0),MATCH(Z$1,'Key Metrics'!$E$16:$M$16,0)),0)</f>
        <v>0</v>
      </c>
      <c r="AA824" s="9">
        <f t="shared" si="129"/>
        <v>124719.25</v>
      </c>
      <c r="AB824" s="9">
        <f t="shared" si="131"/>
        <v>124720.55146166666</v>
      </c>
    </row>
    <row r="825" spans="1:28" x14ac:dyDescent="0.55000000000000004">
      <c r="A825" t="str">
        <f t="shared" si="122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COUNTIF(deals_closed!$D$2:$D$20001,Calculations!B617)</f>
        <v>24</v>
      </c>
      <c r="H825" s="7">
        <f>SUMIF(deals_closed!$D:$D,Calculations!B617,deals_closed!$C:$C)</f>
        <v>843239</v>
      </c>
      <c r="I825" s="5">
        <f>VLOOKUP(E825,'2018_commission_structure'!$A$1:$I$4,9,FALSE)</f>
        <v>750000</v>
      </c>
      <c r="J825" s="9">
        <f t="shared" si="123"/>
        <v>937500</v>
      </c>
      <c r="K825" s="10">
        <f t="shared" si="124"/>
        <v>1125000</v>
      </c>
      <c r="L825" s="9">
        <f t="shared" si="125"/>
        <v>1500000</v>
      </c>
      <c r="M825" s="8">
        <f t="shared" si="126"/>
        <v>1.1243186666666667</v>
      </c>
      <c r="N825" t="str">
        <f t="shared" si="127"/>
        <v>100-125%</v>
      </c>
      <c r="O825" s="9">
        <f>MIN($H825,$I825)*INDEX('2018_commission_structure'!$A$1:$I$4,MATCH($E825,'2018_commission_structure'!$A$1:$A$4,0),MATCH(O$1,'2018_commission_structure'!$A$1:$I$1,0))</f>
        <v>112500</v>
      </c>
      <c r="P825" s="9">
        <f>IF(H825&gt;I825, MIN(H825-I825, J825-I825)*INDEX('2018_commission_structure'!$A$1:$I$4,MATCH($E825,'2018_commission_structure'!$A$1:$A$4,0),MATCH(P$1,'2018_commission_structure'!$A$1:$I$1,0)),0)</f>
        <v>17715.41</v>
      </c>
      <c r="Q825" s="9">
        <f>IF($H825&gt;J825, MIN($H825-J825, K825-J825)*INDEX('2018_commission_structure'!$A$1:$I$4,MATCH($E825,'2018_commission_structure'!$A$1:$A$4,0),MATCH(Q$1,'2018_commission_structure'!$A$1:$I$1,0)),0)</f>
        <v>0</v>
      </c>
      <c r="R825" s="9">
        <f>IF($H825&gt;K825, MIN($H825-K825, L825-K825)*INDEX('2018_commission_structure'!$A$1:$I$4,MATCH($E825,'2018_commission_structure'!$A$1:$A$4,0),MATCH(R$1,'2018_commission_structure'!$A$1:$I$1,0)),0)</f>
        <v>0</v>
      </c>
      <c r="S825" s="9">
        <f>IF(H825&gt;L825,(H825-L825)*INDEX('2018_commission_structure'!$A$1:$I$4,MATCH($E825,'2018_commission_structure'!$A$1:$A$4,0),MATCH(S$1,'2018_commission_structure'!$A$1:$I$1,0)),0)</f>
        <v>0</v>
      </c>
      <c r="T825" s="9">
        <f t="shared" si="128"/>
        <v>130215.41</v>
      </c>
      <c r="U825" s="9">
        <f t="shared" si="130"/>
        <v>220088.41</v>
      </c>
      <c r="V825" s="9">
        <f>MIN($I825,$H825)*INDEX('Key Metrics'!$E$16:$N$19,MATCH($E825,'Key Metrics'!$E$16:$E$19,0),MATCH(V$1,'Key Metrics'!$E$16:$M$16,0))</f>
        <v>112500</v>
      </c>
      <c r="W825" s="9">
        <f>IF($H825&gt;I825, MIN($H825-I825, J825-I825)*INDEX('Key Metrics'!$E$16:$N$19,MATCH($E825,'Key Metrics'!$E$16:$E$19,0),MATCH(W$1,'Key Metrics'!$E$16:$M$16,0)),0)</f>
        <v>20512.580000000002</v>
      </c>
      <c r="X825" s="9">
        <f>IF($H825&gt;J825, MIN($H825-J825, K825-J825)*INDEX('Key Metrics'!$E$16:$N$19,MATCH($E825,'Key Metrics'!$E$16:$E$19,0),MATCH(X$1,'Key Metrics'!$E$16:$M$16,0)),0)</f>
        <v>0</v>
      </c>
      <c r="Y825" s="9">
        <f>IF($H825&gt;K825, MIN($H825-K825, L825-K825)*INDEX('Key Metrics'!$E$16:$N$19,MATCH($E825,'Key Metrics'!$E$16:$E$19,0),MATCH(Y$1,'Key Metrics'!$E$16:$M$16,0)),0)</f>
        <v>0</v>
      </c>
      <c r="Z825" s="9">
        <f>IF($H825&gt;L825,($H825-L825)*INDEX('Key Metrics'!$E$16:$N$19,MATCH($E825,'Key Metrics'!$E$16:$E$19,0),MATCH(Z$1,'Key Metrics'!$E$16:$M$16,0)),0)</f>
        <v>0</v>
      </c>
      <c r="AA825" s="9">
        <f t="shared" si="129"/>
        <v>133012.58000000002</v>
      </c>
      <c r="AB825" s="9">
        <f t="shared" si="131"/>
        <v>133013.70431866669</v>
      </c>
    </row>
    <row r="826" spans="1:28" x14ac:dyDescent="0.55000000000000004">
      <c r="A826" t="str">
        <f t="shared" si="122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COUNTIF(deals_closed!$D$2:$D$20001,Calculations!B659)</f>
        <v>11</v>
      </c>
      <c r="H826" s="7">
        <f>SUMIF(deals_closed!$D:$D,Calculations!B659,deals_closed!$C:$C)</f>
        <v>313642</v>
      </c>
      <c r="I826" s="5">
        <f>VLOOKUP(E826,'2018_commission_structure'!$A$1:$I$4,9,FALSE)</f>
        <v>500000</v>
      </c>
      <c r="J826" s="9">
        <f t="shared" si="123"/>
        <v>625000</v>
      </c>
      <c r="K826" s="10">
        <f t="shared" si="124"/>
        <v>750000</v>
      </c>
      <c r="L826" s="9">
        <f t="shared" si="125"/>
        <v>1000000</v>
      </c>
      <c r="M826" s="8">
        <f t="shared" si="126"/>
        <v>0.62728399999999995</v>
      </c>
      <c r="N826" t="str">
        <f t="shared" si="127"/>
        <v>0-100%</v>
      </c>
      <c r="O826" s="9">
        <f>MIN($H826,$I826)*INDEX('2018_commission_structure'!$A$1:$I$4,MATCH($E826,'2018_commission_structure'!$A$1:$A$4,0),MATCH(O$1,'2018_commission_structure'!$A$1:$I$1,0))</f>
        <v>31364.2</v>
      </c>
      <c r="P826" s="9">
        <f>IF(H826&gt;I826, MIN(H826-I826, J826-I826)*INDEX('2018_commission_structure'!$A$1:$I$4,MATCH($E826,'2018_commission_structure'!$A$1:$A$4,0),MATCH(P$1,'2018_commission_structure'!$A$1:$I$1,0)),0)</f>
        <v>0</v>
      </c>
      <c r="Q826" s="9">
        <f>IF($H826&gt;J826, MIN($H826-J826, K826-J826)*INDEX('2018_commission_structure'!$A$1:$I$4,MATCH($E826,'2018_commission_structure'!$A$1:$A$4,0),MATCH(Q$1,'2018_commission_structure'!$A$1:$I$1,0)),0)</f>
        <v>0</v>
      </c>
      <c r="R826" s="9">
        <f>IF($H826&gt;K826, MIN($H826-K826, L826-K826)*INDEX('2018_commission_structure'!$A$1:$I$4,MATCH($E826,'2018_commission_structure'!$A$1:$A$4,0),MATCH(R$1,'2018_commission_structure'!$A$1:$I$1,0)),0)</f>
        <v>0</v>
      </c>
      <c r="S826" s="9">
        <f>IF(H826&gt;L826,(H826-L826)*INDEX('2018_commission_structure'!$A$1:$I$4,MATCH($E826,'2018_commission_structure'!$A$1:$A$4,0),MATCH(S$1,'2018_commission_structure'!$A$1:$I$1,0)),0)</f>
        <v>0</v>
      </c>
      <c r="T826" s="9">
        <f t="shared" si="128"/>
        <v>31364.2</v>
      </c>
      <c r="U826" s="9">
        <f t="shared" si="130"/>
        <v>87897.2</v>
      </c>
      <c r="V826" s="9">
        <f>MIN($I826,$H826)*INDEX('Key Metrics'!$E$16:$N$19,MATCH($E826,'Key Metrics'!$E$16:$E$19,0),MATCH(V$1,'Key Metrics'!$E$16:$M$16,0))</f>
        <v>37637.040000000001</v>
      </c>
      <c r="W826" s="9">
        <f>IF($H826&gt;I826, MIN($H826-I826, J826-I826)*INDEX('Key Metrics'!$E$16:$N$19,MATCH($E826,'Key Metrics'!$E$16:$E$19,0),MATCH(W$1,'Key Metrics'!$E$16:$M$16,0)),0)</f>
        <v>0</v>
      </c>
      <c r="X826" s="9">
        <f>IF($H826&gt;J826, MIN($H826-J826, K826-J826)*INDEX('Key Metrics'!$E$16:$N$19,MATCH($E826,'Key Metrics'!$E$16:$E$19,0),MATCH(X$1,'Key Metrics'!$E$16:$M$16,0)),0)</f>
        <v>0</v>
      </c>
      <c r="Y826" s="9">
        <f>IF($H826&gt;K826, MIN($H826-K826, L826-K826)*INDEX('Key Metrics'!$E$16:$N$19,MATCH($E826,'Key Metrics'!$E$16:$E$19,0),MATCH(Y$1,'Key Metrics'!$E$16:$M$16,0)),0)</f>
        <v>0</v>
      </c>
      <c r="Z826" s="9">
        <f>IF($H826&gt;L826,($H826-L826)*INDEX('Key Metrics'!$E$16:$N$19,MATCH($E826,'Key Metrics'!$E$16:$E$19,0),MATCH(Z$1,'Key Metrics'!$E$16:$M$16,0)),0)</f>
        <v>0</v>
      </c>
      <c r="AA826" s="9">
        <f t="shared" si="129"/>
        <v>37637.040000000001</v>
      </c>
      <c r="AB826" s="9">
        <f t="shared" si="131"/>
        <v>37637.667284000003</v>
      </c>
    </row>
    <row r="827" spans="1:28" x14ac:dyDescent="0.55000000000000004">
      <c r="A827" t="str">
        <f t="shared" si="122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COUNTIF(deals_closed!$D$2:$D$20001,Calculations!B869)</f>
        <v>24</v>
      </c>
      <c r="H827" s="7">
        <f>SUMIF(deals_closed!$D:$D,Calculations!B869,deals_closed!$C:$C)</f>
        <v>820444</v>
      </c>
      <c r="I827" s="5">
        <f>VLOOKUP(E827,'2018_commission_structure'!$A$1:$I$4,9,FALSE)</f>
        <v>500000</v>
      </c>
      <c r="J827" s="9">
        <f t="shared" si="123"/>
        <v>625000</v>
      </c>
      <c r="K827" s="10">
        <f t="shared" si="124"/>
        <v>750000</v>
      </c>
      <c r="L827" s="9">
        <f t="shared" si="125"/>
        <v>1000000</v>
      </c>
      <c r="M827" s="8">
        <f t="shared" si="126"/>
        <v>1.6408879999999999</v>
      </c>
      <c r="N827" t="str">
        <f t="shared" si="127"/>
        <v>150-200%</v>
      </c>
      <c r="O827" s="9">
        <f>MIN($H827,$I827)*INDEX('2018_commission_structure'!$A$1:$I$4,MATCH($E827,'2018_commission_structure'!$A$1:$A$4,0),MATCH(O$1,'2018_commission_structure'!$A$1:$I$1,0))</f>
        <v>50000</v>
      </c>
      <c r="P827" s="9">
        <f>IF(H827&gt;I827, MIN(H827-I827, J827-I827)*INDEX('2018_commission_structure'!$A$1:$I$4,MATCH($E827,'2018_commission_structure'!$A$1:$A$4,0),MATCH(P$1,'2018_commission_structure'!$A$1:$I$1,0)),0)</f>
        <v>18750</v>
      </c>
      <c r="Q827" s="9">
        <f>IF($H827&gt;J827, MIN($H827-J827, K827-J827)*INDEX('2018_commission_structure'!$A$1:$I$4,MATCH($E827,'2018_commission_structure'!$A$1:$A$4,0),MATCH(Q$1,'2018_commission_structure'!$A$1:$I$1,0)),0)</f>
        <v>22500</v>
      </c>
      <c r="R827" s="9">
        <f>IF($H827&gt;K827, MIN($H827-K827, L827-K827)*INDEX('2018_commission_structure'!$A$1:$I$4,MATCH($E827,'2018_commission_structure'!$A$1:$A$4,0),MATCH(R$1,'2018_commission_structure'!$A$1:$I$1,0)),0)</f>
        <v>15497.68</v>
      </c>
      <c r="S827" s="9">
        <f>IF(H827&gt;L827,(H827-L827)*INDEX('2018_commission_structure'!$A$1:$I$4,MATCH($E827,'2018_commission_structure'!$A$1:$A$4,0),MATCH(S$1,'2018_commission_structure'!$A$1:$I$1,0)),0)</f>
        <v>0</v>
      </c>
      <c r="T827" s="9">
        <f t="shared" si="128"/>
        <v>106747.68</v>
      </c>
      <c r="U827" s="9">
        <f t="shared" si="130"/>
        <v>138234.68</v>
      </c>
      <c r="V827" s="9">
        <f>MIN($I827,$H827)*INDEX('Key Metrics'!$E$16:$N$19,MATCH($E827,'Key Metrics'!$E$16:$E$19,0),MATCH(V$1,'Key Metrics'!$E$16:$M$16,0))</f>
        <v>60000</v>
      </c>
      <c r="W827" s="9">
        <f>IF($H827&gt;I827, MIN($H827-I827, J827-I827)*INDEX('Key Metrics'!$E$16:$N$19,MATCH($E827,'Key Metrics'!$E$16:$E$19,0),MATCH(W$1,'Key Metrics'!$E$16:$M$16,0)),0)</f>
        <v>21250</v>
      </c>
      <c r="X827" s="9">
        <f>IF($H827&gt;J827, MIN($H827-J827, K827-J827)*INDEX('Key Metrics'!$E$16:$N$19,MATCH($E827,'Key Metrics'!$E$16:$E$19,0),MATCH(X$1,'Key Metrics'!$E$16:$M$16,0)),0)</f>
        <v>25000</v>
      </c>
      <c r="Y827" s="9">
        <f>IF($H827&gt;K827, MIN($H827-K827, L827-K827)*INDEX('Key Metrics'!$E$16:$N$19,MATCH($E827,'Key Metrics'!$E$16:$E$19,0),MATCH(Y$1,'Key Metrics'!$E$16:$M$16,0)),0)</f>
        <v>15497.68</v>
      </c>
      <c r="Z827" s="9">
        <f>IF($H827&gt;L827,($H827-L827)*INDEX('Key Metrics'!$E$16:$N$19,MATCH($E827,'Key Metrics'!$E$16:$E$19,0),MATCH(Z$1,'Key Metrics'!$E$16:$M$16,0)),0)</f>
        <v>0</v>
      </c>
      <c r="AA827" s="9">
        <f t="shared" si="129"/>
        <v>121747.68</v>
      </c>
      <c r="AB827" s="9">
        <f t="shared" si="131"/>
        <v>121749.32088799999</v>
      </c>
    </row>
    <row r="828" spans="1:28" x14ac:dyDescent="0.55000000000000004">
      <c r="A828" t="str">
        <f t="shared" si="122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COUNTIF(deals_closed!$D$2:$D$20001,Calculations!B511)</f>
        <v>23</v>
      </c>
      <c r="H828" s="7">
        <f>SUMIF(deals_closed!$D:$D,Calculations!B511,deals_closed!$C:$C)</f>
        <v>769342</v>
      </c>
      <c r="I828" s="5">
        <f>VLOOKUP(E828,'2018_commission_structure'!$A$1:$I$4,9,FALSE)</f>
        <v>600000</v>
      </c>
      <c r="J828" s="9">
        <f t="shared" si="123"/>
        <v>750000</v>
      </c>
      <c r="K828" s="10">
        <f t="shared" si="124"/>
        <v>900000</v>
      </c>
      <c r="L828" s="9">
        <f t="shared" si="125"/>
        <v>1200000</v>
      </c>
      <c r="M828" s="8">
        <f t="shared" si="126"/>
        <v>1.2822366666666667</v>
      </c>
      <c r="N828" t="str">
        <f t="shared" si="127"/>
        <v>125-150%</v>
      </c>
      <c r="O828" s="9">
        <f>MIN($H828,$I828)*INDEX('2018_commission_structure'!$A$1:$I$4,MATCH($E828,'2018_commission_structure'!$A$1:$A$4,0),MATCH(O$1,'2018_commission_structure'!$A$1:$I$1,0))</f>
        <v>78000</v>
      </c>
      <c r="P828" s="9">
        <f>IF(H828&gt;I828, MIN(H828-I828, J828-I828)*INDEX('2018_commission_structure'!$A$1:$I$4,MATCH($E828,'2018_commission_structure'!$A$1:$A$4,0),MATCH(P$1,'2018_commission_structure'!$A$1:$I$1,0)),0)</f>
        <v>25500.000000000004</v>
      </c>
      <c r="Q828" s="9">
        <f>IF($H828&gt;J828, MIN($H828-J828, K828-J828)*INDEX('2018_commission_structure'!$A$1:$I$4,MATCH($E828,'2018_commission_structure'!$A$1:$A$4,0),MATCH(Q$1,'2018_commission_structure'!$A$1:$I$1,0)),0)</f>
        <v>4061.8199999999997</v>
      </c>
      <c r="R828" s="9">
        <f>IF($H828&gt;K828, MIN($H828-K828, L828-K828)*INDEX('2018_commission_structure'!$A$1:$I$4,MATCH($E828,'2018_commission_structure'!$A$1:$A$4,0),MATCH(R$1,'2018_commission_structure'!$A$1:$I$1,0)),0)</f>
        <v>0</v>
      </c>
      <c r="S828" s="9">
        <f>IF(H828&gt;L828,(H828-L828)*INDEX('2018_commission_structure'!$A$1:$I$4,MATCH($E828,'2018_commission_structure'!$A$1:$A$4,0),MATCH(S$1,'2018_commission_structure'!$A$1:$I$1,0)),0)</f>
        <v>0</v>
      </c>
      <c r="T828" s="9">
        <f t="shared" si="128"/>
        <v>107561.82</v>
      </c>
      <c r="U828" s="9">
        <f t="shared" si="130"/>
        <v>157938.82</v>
      </c>
      <c r="V828" s="9">
        <f>MIN($I828,$H828)*INDEX('Key Metrics'!$E$16:$N$19,MATCH($E828,'Key Metrics'!$E$16:$E$19,0),MATCH(V$1,'Key Metrics'!$E$16:$M$16,0))</f>
        <v>90000</v>
      </c>
      <c r="W828" s="9">
        <f>IF($H828&gt;I828, MIN($H828-I828, J828-I828)*INDEX('Key Metrics'!$E$16:$N$19,MATCH($E828,'Key Metrics'!$E$16:$E$19,0),MATCH(W$1,'Key Metrics'!$E$16:$M$16,0)),0)</f>
        <v>27000</v>
      </c>
      <c r="X828" s="9">
        <f>IF($H828&gt;J828, MIN($H828-J828, K828-J828)*INDEX('Key Metrics'!$E$16:$N$19,MATCH($E828,'Key Metrics'!$E$16:$E$19,0),MATCH(X$1,'Key Metrics'!$E$16:$M$16,0)),0)</f>
        <v>4835.5</v>
      </c>
      <c r="Y828" s="9">
        <f>IF($H828&gt;K828, MIN($H828-K828, L828-K828)*INDEX('Key Metrics'!$E$16:$N$19,MATCH($E828,'Key Metrics'!$E$16:$E$19,0),MATCH(Y$1,'Key Metrics'!$E$16:$M$16,0)),0)</f>
        <v>0</v>
      </c>
      <c r="Z828" s="9">
        <f>IF($H828&gt;L828,($H828-L828)*INDEX('Key Metrics'!$E$16:$N$19,MATCH($E828,'Key Metrics'!$E$16:$E$19,0),MATCH(Z$1,'Key Metrics'!$E$16:$M$16,0)),0)</f>
        <v>0</v>
      </c>
      <c r="AA828" s="9">
        <f t="shared" si="129"/>
        <v>121835.5</v>
      </c>
      <c r="AB828" s="9">
        <f t="shared" si="131"/>
        <v>121836.78223666667</v>
      </c>
    </row>
    <row r="829" spans="1:28" x14ac:dyDescent="0.55000000000000004">
      <c r="A829" t="str">
        <f t="shared" si="122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COUNTIF(deals_closed!$D$2:$D$20001,Calculations!B781)</f>
        <v>14</v>
      </c>
      <c r="H829" s="7">
        <f>SUMIF(deals_closed!$D:$D,Calculations!B781,deals_closed!$C:$C)</f>
        <v>564088</v>
      </c>
      <c r="I829" s="5">
        <f>VLOOKUP(E829,'2018_commission_structure'!$A$1:$I$4,9,FALSE)</f>
        <v>500000</v>
      </c>
      <c r="J829" s="9">
        <f t="shared" si="123"/>
        <v>625000</v>
      </c>
      <c r="K829" s="10">
        <f t="shared" si="124"/>
        <v>750000</v>
      </c>
      <c r="L829" s="9">
        <f t="shared" si="125"/>
        <v>1000000</v>
      </c>
      <c r="M829" s="8">
        <f t="shared" si="126"/>
        <v>1.1281760000000001</v>
      </c>
      <c r="N829" t="str">
        <f t="shared" si="127"/>
        <v>100-125%</v>
      </c>
      <c r="O829" s="9">
        <f>MIN($H829,$I829)*INDEX('2018_commission_structure'!$A$1:$I$4,MATCH($E829,'2018_commission_structure'!$A$1:$A$4,0),MATCH(O$1,'2018_commission_structure'!$A$1:$I$1,0))</f>
        <v>50000</v>
      </c>
      <c r="P829" s="9">
        <f>IF(H829&gt;I829, MIN(H829-I829, J829-I829)*INDEX('2018_commission_structure'!$A$1:$I$4,MATCH($E829,'2018_commission_structure'!$A$1:$A$4,0),MATCH(P$1,'2018_commission_structure'!$A$1:$I$1,0)),0)</f>
        <v>9613.1999999999989</v>
      </c>
      <c r="Q829" s="9">
        <f>IF($H829&gt;J829, MIN($H829-J829, K829-J829)*INDEX('2018_commission_structure'!$A$1:$I$4,MATCH($E829,'2018_commission_structure'!$A$1:$A$4,0),MATCH(Q$1,'2018_commission_structure'!$A$1:$I$1,0)),0)</f>
        <v>0</v>
      </c>
      <c r="R829" s="9">
        <f>IF($H829&gt;K829, MIN($H829-K829, L829-K829)*INDEX('2018_commission_structure'!$A$1:$I$4,MATCH($E829,'2018_commission_structure'!$A$1:$A$4,0),MATCH(R$1,'2018_commission_structure'!$A$1:$I$1,0)),0)</f>
        <v>0</v>
      </c>
      <c r="S829" s="9">
        <f>IF(H829&gt;L829,(H829-L829)*INDEX('2018_commission_structure'!$A$1:$I$4,MATCH($E829,'2018_commission_structure'!$A$1:$A$4,0),MATCH(S$1,'2018_commission_structure'!$A$1:$I$1,0)),0)</f>
        <v>0</v>
      </c>
      <c r="T829" s="9">
        <f t="shared" si="128"/>
        <v>59613.2</v>
      </c>
      <c r="U829" s="9">
        <f t="shared" si="130"/>
        <v>117874.2</v>
      </c>
      <c r="V829" s="9">
        <f>MIN($I829,$H829)*INDEX('Key Metrics'!$E$16:$N$19,MATCH($E829,'Key Metrics'!$E$16:$E$19,0),MATCH(V$1,'Key Metrics'!$E$16:$M$16,0))</f>
        <v>60000</v>
      </c>
      <c r="W829" s="9">
        <f>IF($H829&gt;I829, MIN($H829-I829, J829-I829)*INDEX('Key Metrics'!$E$16:$N$19,MATCH($E829,'Key Metrics'!$E$16:$E$19,0),MATCH(W$1,'Key Metrics'!$E$16:$M$16,0)),0)</f>
        <v>10894.960000000001</v>
      </c>
      <c r="X829" s="9">
        <f>IF($H829&gt;J829, MIN($H829-J829, K829-J829)*INDEX('Key Metrics'!$E$16:$N$19,MATCH($E829,'Key Metrics'!$E$16:$E$19,0),MATCH(X$1,'Key Metrics'!$E$16:$M$16,0)),0)</f>
        <v>0</v>
      </c>
      <c r="Y829" s="9">
        <f>IF($H829&gt;K829, MIN($H829-K829, L829-K829)*INDEX('Key Metrics'!$E$16:$N$19,MATCH($E829,'Key Metrics'!$E$16:$E$19,0),MATCH(Y$1,'Key Metrics'!$E$16:$M$16,0)),0)</f>
        <v>0</v>
      </c>
      <c r="Z829" s="9">
        <f>IF($H829&gt;L829,($H829-L829)*INDEX('Key Metrics'!$E$16:$N$19,MATCH($E829,'Key Metrics'!$E$16:$E$19,0),MATCH(Z$1,'Key Metrics'!$E$16:$M$16,0)),0)</f>
        <v>0</v>
      </c>
      <c r="AA829" s="9">
        <f t="shared" si="129"/>
        <v>70894.960000000006</v>
      </c>
      <c r="AB829" s="9">
        <f t="shared" si="131"/>
        <v>70896.088176000005</v>
      </c>
    </row>
    <row r="830" spans="1:28" x14ac:dyDescent="0.55000000000000004">
      <c r="A830" t="str">
        <f t="shared" si="122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COUNTIF(deals_closed!$D$2:$D$20001,Calculations!B885)</f>
        <v>25</v>
      </c>
      <c r="H830" s="7">
        <f>SUMIF(deals_closed!$D:$D,Calculations!B885,deals_closed!$C:$C)</f>
        <v>1019541</v>
      </c>
      <c r="I830" s="5">
        <f>VLOOKUP(E830,'2018_commission_structure'!$A$1:$I$4,9,FALSE)</f>
        <v>750000</v>
      </c>
      <c r="J830" s="9">
        <f t="shared" si="123"/>
        <v>937500</v>
      </c>
      <c r="K830" s="10">
        <f t="shared" si="124"/>
        <v>1125000</v>
      </c>
      <c r="L830" s="9">
        <f t="shared" si="125"/>
        <v>1500000</v>
      </c>
      <c r="M830" s="8">
        <f t="shared" si="126"/>
        <v>1.359388</v>
      </c>
      <c r="N830" t="str">
        <f t="shared" si="127"/>
        <v>125-150%</v>
      </c>
      <c r="O830" s="9">
        <f>MIN($H830,$I830)*INDEX('2018_commission_structure'!$A$1:$I$4,MATCH($E830,'2018_commission_structure'!$A$1:$A$4,0),MATCH(O$1,'2018_commission_structure'!$A$1:$I$1,0))</f>
        <v>112500</v>
      </c>
      <c r="P830" s="9">
        <f>IF(H830&gt;I830, MIN(H830-I830, J830-I830)*INDEX('2018_commission_structure'!$A$1:$I$4,MATCH($E830,'2018_commission_structure'!$A$1:$A$4,0),MATCH(P$1,'2018_commission_structure'!$A$1:$I$1,0)),0)</f>
        <v>35625</v>
      </c>
      <c r="Q830" s="9">
        <f>IF($H830&gt;J830, MIN($H830-J830, K830-J830)*INDEX('2018_commission_structure'!$A$1:$I$4,MATCH($E830,'2018_commission_structure'!$A$1:$A$4,0),MATCH(Q$1,'2018_commission_structure'!$A$1:$I$1,0)),0)</f>
        <v>18869.43</v>
      </c>
      <c r="R830" s="9">
        <f>IF($H830&gt;K830, MIN($H830-K830, L830-K830)*INDEX('2018_commission_structure'!$A$1:$I$4,MATCH($E830,'2018_commission_structure'!$A$1:$A$4,0),MATCH(R$1,'2018_commission_structure'!$A$1:$I$1,0)),0)</f>
        <v>0</v>
      </c>
      <c r="S830" s="9">
        <f>IF(H830&gt;L830,(H830-L830)*INDEX('2018_commission_structure'!$A$1:$I$4,MATCH($E830,'2018_commission_structure'!$A$1:$A$4,0),MATCH(S$1,'2018_commission_structure'!$A$1:$I$1,0)),0)</f>
        <v>0</v>
      </c>
      <c r="T830" s="9">
        <f t="shared" si="128"/>
        <v>166994.43</v>
      </c>
      <c r="U830" s="9">
        <f t="shared" si="130"/>
        <v>282092.43</v>
      </c>
      <c r="V830" s="9">
        <f>MIN($I830,$H830)*INDEX('Key Metrics'!$E$16:$N$19,MATCH($E830,'Key Metrics'!$E$16:$E$19,0),MATCH(V$1,'Key Metrics'!$E$16:$M$16,0))</f>
        <v>112500</v>
      </c>
      <c r="W830" s="9">
        <f>IF($H830&gt;I830, MIN($H830-I830, J830-I830)*INDEX('Key Metrics'!$E$16:$N$19,MATCH($E830,'Key Metrics'!$E$16:$E$19,0),MATCH(W$1,'Key Metrics'!$E$16:$M$16,0)),0)</f>
        <v>41250</v>
      </c>
      <c r="X830" s="9">
        <f>IF($H830&gt;J830, MIN($H830-J830, K830-J830)*INDEX('Key Metrics'!$E$16:$N$19,MATCH($E830,'Key Metrics'!$E$16:$E$19,0),MATCH(X$1,'Key Metrics'!$E$16:$M$16,0)),0)</f>
        <v>20510.25</v>
      </c>
      <c r="Y830" s="9">
        <f>IF($H830&gt;K830, MIN($H830-K830, L830-K830)*INDEX('Key Metrics'!$E$16:$N$19,MATCH($E830,'Key Metrics'!$E$16:$E$19,0),MATCH(Y$1,'Key Metrics'!$E$16:$M$16,0)),0)</f>
        <v>0</v>
      </c>
      <c r="Z830" s="9">
        <f>IF($H830&gt;L830,($H830-L830)*INDEX('Key Metrics'!$E$16:$N$19,MATCH($E830,'Key Metrics'!$E$16:$E$19,0),MATCH(Z$1,'Key Metrics'!$E$16:$M$16,0)),0)</f>
        <v>0</v>
      </c>
      <c r="AA830" s="9">
        <f t="shared" si="129"/>
        <v>174260.25</v>
      </c>
      <c r="AB830" s="9">
        <f t="shared" si="131"/>
        <v>174261.60938800001</v>
      </c>
    </row>
    <row r="831" spans="1:28" x14ac:dyDescent="0.55000000000000004">
      <c r="A831" t="str">
        <f t="shared" si="122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COUNTIF(deals_closed!$D$2:$D$20001,Calculations!B632)</f>
        <v>15</v>
      </c>
      <c r="H831" s="7">
        <f>SUMIF(deals_closed!$D:$D,Calculations!B632,deals_closed!$C:$C)</f>
        <v>499440</v>
      </c>
      <c r="I831" s="5">
        <f>VLOOKUP(E831,'2018_commission_structure'!$A$1:$I$4,9,FALSE)</f>
        <v>600000</v>
      </c>
      <c r="J831" s="9">
        <f t="shared" si="123"/>
        <v>750000</v>
      </c>
      <c r="K831" s="10">
        <f t="shared" si="124"/>
        <v>900000</v>
      </c>
      <c r="L831" s="9">
        <f t="shared" si="125"/>
        <v>1200000</v>
      </c>
      <c r="M831" s="8">
        <f t="shared" si="126"/>
        <v>0.83240000000000003</v>
      </c>
      <c r="N831" t="str">
        <f t="shared" si="127"/>
        <v>0-100%</v>
      </c>
      <c r="O831" s="9">
        <f>MIN($H831,$I831)*INDEX('2018_commission_structure'!$A$1:$I$4,MATCH($E831,'2018_commission_structure'!$A$1:$A$4,0),MATCH(O$1,'2018_commission_structure'!$A$1:$I$1,0))</f>
        <v>64927.200000000004</v>
      </c>
      <c r="P831" s="9">
        <f>IF(H831&gt;I831, MIN(H831-I831, J831-I831)*INDEX('2018_commission_structure'!$A$1:$I$4,MATCH($E831,'2018_commission_structure'!$A$1:$A$4,0),MATCH(P$1,'2018_commission_structure'!$A$1:$I$1,0)),0)</f>
        <v>0</v>
      </c>
      <c r="Q831" s="9">
        <f>IF($H831&gt;J831, MIN($H831-J831, K831-J831)*INDEX('2018_commission_structure'!$A$1:$I$4,MATCH($E831,'2018_commission_structure'!$A$1:$A$4,0),MATCH(Q$1,'2018_commission_structure'!$A$1:$I$1,0)),0)</f>
        <v>0</v>
      </c>
      <c r="R831" s="9">
        <f>IF($H831&gt;K831, MIN($H831-K831, L831-K831)*INDEX('2018_commission_structure'!$A$1:$I$4,MATCH($E831,'2018_commission_structure'!$A$1:$A$4,0),MATCH(R$1,'2018_commission_structure'!$A$1:$I$1,0)),0)</f>
        <v>0</v>
      </c>
      <c r="S831" s="9">
        <f>IF(H831&gt;L831,(H831-L831)*INDEX('2018_commission_structure'!$A$1:$I$4,MATCH($E831,'2018_commission_structure'!$A$1:$A$4,0),MATCH(S$1,'2018_commission_structure'!$A$1:$I$1,0)),0)</f>
        <v>0</v>
      </c>
      <c r="T831" s="9">
        <f t="shared" si="128"/>
        <v>64927.200000000004</v>
      </c>
      <c r="U831" s="9">
        <f t="shared" si="130"/>
        <v>122561.20000000001</v>
      </c>
      <c r="V831" s="9">
        <f>MIN($I831,$H831)*INDEX('Key Metrics'!$E$16:$N$19,MATCH($E831,'Key Metrics'!$E$16:$E$19,0),MATCH(V$1,'Key Metrics'!$E$16:$M$16,0))</f>
        <v>74916</v>
      </c>
      <c r="W831" s="9">
        <f>IF($H831&gt;I831, MIN($H831-I831, J831-I831)*INDEX('Key Metrics'!$E$16:$N$19,MATCH($E831,'Key Metrics'!$E$16:$E$19,0),MATCH(W$1,'Key Metrics'!$E$16:$M$16,0)),0)</f>
        <v>0</v>
      </c>
      <c r="X831" s="9">
        <f>IF($H831&gt;J831, MIN($H831-J831, K831-J831)*INDEX('Key Metrics'!$E$16:$N$19,MATCH($E831,'Key Metrics'!$E$16:$E$19,0),MATCH(X$1,'Key Metrics'!$E$16:$M$16,0)),0)</f>
        <v>0</v>
      </c>
      <c r="Y831" s="9">
        <f>IF($H831&gt;K831, MIN($H831-K831, L831-K831)*INDEX('Key Metrics'!$E$16:$N$19,MATCH($E831,'Key Metrics'!$E$16:$E$19,0),MATCH(Y$1,'Key Metrics'!$E$16:$M$16,0)),0)</f>
        <v>0</v>
      </c>
      <c r="Z831" s="9">
        <f>IF($H831&gt;L831,($H831-L831)*INDEX('Key Metrics'!$E$16:$N$19,MATCH($E831,'Key Metrics'!$E$16:$E$19,0),MATCH(Z$1,'Key Metrics'!$E$16:$M$16,0)),0)</f>
        <v>0</v>
      </c>
      <c r="AA831" s="9">
        <f t="shared" si="129"/>
        <v>74916</v>
      </c>
      <c r="AB831" s="9">
        <f t="shared" si="131"/>
        <v>74916.832399999999</v>
      </c>
    </row>
    <row r="832" spans="1:28" x14ac:dyDescent="0.55000000000000004">
      <c r="A832" t="str">
        <f t="shared" si="122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COUNTIF(deals_closed!$D$2:$D$20001,Calculations!B102)</f>
        <v>21</v>
      </c>
      <c r="H832" s="7">
        <f>SUMIF(deals_closed!$D:$D,Calculations!B102,deals_closed!$C:$C)</f>
        <v>788532</v>
      </c>
      <c r="I832" s="5">
        <f>VLOOKUP(E832,'2018_commission_structure'!$A$1:$I$4,9,FALSE)</f>
        <v>500000</v>
      </c>
      <c r="J832" s="9">
        <f t="shared" si="123"/>
        <v>625000</v>
      </c>
      <c r="K832" s="10">
        <f t="shared" si="124"/>
        <v>750000</v>
      </c>
      <c r="L832" s="9">
        <f t="shared" si="125"/>
        <v>1000000</v>
      </c>
      <c r="M832" s="8">
        <f t="shared" si="126"/>
        <v>1.577064</v>
      </c>
      <c r="N832" t="str">
        <f t="shared" si="127"/>
        <v>150-200%</v>
      </c>
      <c r="O832" s="9">
        <f>MIN($H832,$I832)*INDEX('2018_commission_structure'!$A$1:$I$4,MATCH($E832,'2018_commission_structure'!$A$1:$A$4,0),MATCH(O$1,'2018_commission_structure'!$A$1:$I$1,0))</f>
        <v>50000</v>
      </c>
      <c r="P832" s="9">
        <f>IF(H832&gt;I832, MIN(H832-I832, J832-I832)*INDEX('2018_commission_structure'!$A$1:$I$4,MATCH($E832,'2018_commission_structure'!$A$1:$A$4,0),MATCH(P$1,'2018_commission_structure'!$A$1:$I$1,0)),0)</f>
        <v>18750</v>
      </c>
      <c r="Q832" s="9">
        <f>IF($H832&gt;J832, MIN($H832-J832, K832-J832)*INDEX('2018_commission_structure'!$A$1:$I$4,MATCH($E832,'2018_commission_structure'!$A$1:$A$4,0),MATCH(Q$1,'2018_commission_structure'!$A$1:$I$1,0)),0)</f>
        <v>22500</v>
      </c>
      <c r="R832" s="9">
        <f>IF($H832&gt;K832, MIN($H832-K832, L832-K832)*INDEX('2018_commission_structure'!$A$1:$I$4,MATCH($E832,'2018_commission_structure'!$A$1:$A$4,0),MATCH(R$1,'2018_commission_structure'!$A$1:$I$1,0)),0)</f>
        <v>8477.0400000000009</v>
      </c>
      <c r="S832" s="9">
        <f>IF(H832&gt;L832,(H832-L832)*INDEX('2018_commission_structure'!$A$1:$I$4,MATCH($E832,'2018_commission_structure'!$A$1:$A$4,0),MATCH(S$1,'2018_commission_structure'!$A$1:$I$1,0)),0)</f>
        <v>0</v>
      </c>
      <c r="T832" s="9">
        <f t="shared" si="128"/>
        <v>99727.040000000008</v>
      </c>
      <c r="U832" s="9">
        <f t="shared" si="130"/>
        <v>146810.04</v>
      </c>
      <c r="V832" s="9">
        <f>MIN($I832,$H832)*INDEX('Key Metrics'!$E$16:$N$19,MATCH($E832,'Key Metrics'!$E$16:$E$19,0),MATCH(V$1,'Key Metrics'!$E$16:$M$16,0))</f>
        <v>60000</v>
      </c>
      <c r="W832" s="9">
        <f>IF($H832&gt;I832, MIN($H832-I832, J832-I832)*INDEX('Key Metrics'!$E$16:$N$19,MATCH($E832,'Key Metrics'!$E$16:$E$19,0),MATCH(W$1,'Key Metrics'!$E$16:$M$16,0)),0)</f>
        <v>21250</v>
      </c>
      <c r="X832" s="9">
        <f>IF($H832&gt;J832, MIN($H832-J832, K832-J832)*INDEX('Key Metrics'!$E$16:$N$19,MATCH($E832,'Key Metrics'!$E$16:$E$19,0),MATCH(X$1,'Key Metrics'!$E$16:$M$16,0)),0)</f>
        <v>25000</v>
      </c>
      <c r="Y832" s="9">
        <f>IF($H832&gt;K832, MIN($H832-K832, L832-K832)*INDEX('Key Metrics'!$E$16:$N$19,MATCH($E832,'Key Metrics'!$E$16:$E$19,0),MATCH(Y$1,'Key Metrics'!$E$16:$M$16,0)),0)</f>
        <v>8477.0400000000009</v>
      </c>
      <c r="Z832" s="9">
        <f>IF($H832&gt;L832,($H832-L832)*INDEX('Key Metrics'!$E$16:$N$19,MATCH($E832,'Key Metrics'!$E$16:$E$19,0),MATCH(Z$1,'Key Metrics'!$E$16:$M$16,0)),0)</f>
        <v>0</v>
      </c>
      <c r="AA832" s="9">
        <f t="shared" si="129"/>
        <v>114727.04000000001</v>
      </c>
      <c r="AB832" s="9">
        <f t="shared" si="131"/>
        <v>114728.61706400001</v>
      </c>
    </row>
    <row r="833" spans="1:28" x14ac:dyDescent="0.55000000000000004">
      <c r="A833" t="str">
        <f t="shared" si="122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COUNTIF(deals_closed!$D$2:$D$20001,Calculations!B431)</f>
        <v>18</v>
      </c>
      <c r="H833" s="7">
        <f>SUMIF(deals_closed!$D:$D,Calculations!B431,deals_closed!$C:$C)</f>
        <v>577677</v>
      </c>
      <c r="I833" s="5">
        <f>VLOOKUP(E833,'2018_commission_structure'!$A$1:$I$4,9,FALSE)</f>
        <v>600000</v>
      </c>
      <c r="J833" s="9">
        <f t="shared" si="123"/>
        <v>750000</v>
      </c>
      <c r="K833" s="10">
        <f t="shared" si="124"/>
        <v>900000</v>
      </c>
      <c r="L833" s="9">
        <f t="shared" si="125"/>
        <v>1200000</v>
      </c>
      <c r="M833" s="8">
        <f t="shared" si="126"/>
        <v>0.96279499999999996</v>
      </c>
      <c r="N833" t="str">
        <f t="shared" si="127"/>
        <v>0-100%</v>
      </c>
      <c r="O833" s="9">
        <f>MIN($H833,$I833)*INDEX('2018_commission_structure'!$A$1:$I$4,MATCH($E833,'2018_commission_structure'!$A$1:$A$4,0),MATCH(O$1,'2018_commission_structure'!$A$1:$I$1,0))</f>
        <v>75098.010000000009</v>
      </c>
      <c r="P833" s="9">
        <f>IF(H833&gt;I833, MIN(H833-I833, J833-I833)*INDEX('2018_commission_structure'!$A$1:$I$4,MATCH($E833,'2018_commission_structure'!$A$1:$A$4,0),MATCH(P$1,'2018_commission_structure'!$A$1:$I$1,0)),0)</f>
        <v>0</v>
      </c>
      <c r="Q833" s="9">
        <f>IF($H833&gt;J833, MIN($H833-J833, K833-J833)*INDEX('2018_commission_structure'!$A$1:$I$4,MATCH($E833,'2018_commission_structure'!$A$1:$A$4,0),MATCH(Q$1,'2018_commission_structure'!$A$1:$I$1,0)),0)</f>
        <v>0</v>
      </c>
      <c r="R833" s="9">
        <f>IF($H833&gt;K833, MIN($H833-K833, L833-K833)*INDEX('2018_commission_structure'!$A$1:$I$4,MATCH($E833,'2018_commission_structure'!$A$1:$A$4,0),MATCH(R$1,'2018_commission_structure'!$A$1:$I$1,0)),0)</f>
        <v>0</v>
      </c>
      <c r="S833" s="9">
        <f>IF(H833&gt;L833,(H833-L833)*INDEX('2018_commission_structure'!$A$1:$I$4,MATCH($E833,'2018_commission_structure'!$A$1:$A$4,0),MATCH(S$1,'2018_commission_structure'!$A$1:$I$1,0)),0)</f>
        <v>0</v>
      </c>
      <c r="T833" s="9">
        <f t="shared" si="128"/>
        <v>75098.010000000009</v>
      </c>
      <c r="U833" s="9">
        <f t="shared" si="130"/>
        <v>150031.01</v>
      </c>
      <c r="V833" s="9">
        <f>MIN($I833,$H833)*INDEX('Key Metrics'!$E$16:$N$19,MATCH($E833,'Key Metrics'!$E$16:$E$19,0),MATCH(V$1,'Key Metrics'!$E$16:$M$16,0))</f>
        <v>86651.55</v>
      </c>
      <c r="W833" s="9">
        <f>IF($H833&gt;I833, MIN($H833-I833, J833-I833)*INDEX('Key Metrics'!$E$16:$N$19,MATCH($E833,'Key Metrics'!$E$16:$E$19,0),MATCH(W$1,'Key Metrics'!$E$16:$M$16,0)),0)</f>
        <v>0</v>
      </c>
      <c r="X833" s="9">
        <f>IF($H833&gt;J833, MIN($H833-J833, K833-J833)*INDEX('Key Metrics'!$E$16:$N$19,MATCH($E833,'Key Metrics'!$E$16:$E$19,0),MATCH(X$1,'Key Metrics'!$E$16:$M$16,0)),0)</f>
        <v>0</v>
      </c>
      <c r="Y833" s="9">
        <f>IF($H833&gt;K833, MIN($H833-K833, L833-K833)*INDEX('Key Metrics'!$E$16:$N$19,MATCH($E833,'Key Metrics'!$E$16:$E$19,0),MATCH(Y$1,'Key Metrics'!$E$16:$M$16,0)),0)</f>
        <v>0</v>
      </c>
      <c r="Z833" s="9">
        <f>IF($H833&gt;L833,($H833-L833)*INDEX('Key Metrics'!$E$16:$N$19,MATCH($E833,'Key Metrics'!$E$16:$E$19,0),MATCH(Z$1,'Key Metrics'!$E$16:$M$16,0)),0)</f>
        <v>0</v>
      </c>
      <c r="AA833" s="9">
        <f t="shared" si="129"/>
        <v>86651.55</v>
      </c>
      <c r="AB833" s="9">
        <f t="shared" si="131"/>
        <v>86652.512795000002</v>
      </c>
    </row>
    <row r="834" spans="1:28" x14ac:dyDescent="0.55000000000000004">
      <c r="A834" t="str">
        <f t="shared" ref="A834:A897" si="132">CONCATENATE(C834," ",D834)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COUNTIF(deals_closed!$D$2:$D$20001,Calculations!B533)</f>
        <v>11</v>
      </c>
      <c r="H834" s="7">
        <f>SUMIF(deals_closed!$D:$D,Calculations!B533,deals_closed!$C:$C)</f>
        <v>423642</v>
      </c>
      <c r="I834" s="5">
        <f>VLOOKUP(E834,'2018_commission_structure'!$A$1:$I$4,9,FALSE)</f>
        <v>600000</v>
      </c>
      <c r="J834" s="9">
        <f t="shared" ref="J834:J897" si="133">I834*1.25</f>
        <v>750000</v>
      </c>
      <c r="K834" s="10">
        <f t="shared" ref="K834:K897" si="134">I834*1.5</f>
        <v>900000</v>
      </c>
      <c r="L834" s="9">
        <f t="shared" ref="L834:L897" si="135">I834*2</f>
        <v>1200000</v>
      </c>
      <c r="M834" s="8">
        <f t="shared" ref="M834:M897" si="136">H834/I834</f>
        <v>0.70606999999999998</v>
      </c>
      <c r="N834" t="str">
        <f t="shared" ref="N834:N897" si="137">IF(M834&lt;=100%,"0-100%",IF(M834&lt;=125%,"100-125%",IF(M834&lt;=150%,"125-150%",IF(M834&lt;=200%,"150-200%","&gt;200%"))))</f>
        <v>0-100%</v>
      </c>
      <c r="O834" s="9">
        <f>MIN($H834,$I834)*INDEX('2018_commission_structure'!$A$1:$I$4,MATCH($E834,'2018_commission_structure'!$A$1:$A$4,0),MATCH(O$1,'2018_commission_structure'!$A$1:$I$1,0))</f>
        <v>55073.46</v>
      </c>
      <c r="P834" s="9">
        <f>IF(H834&gt;I834, MIN(H834-I834, J834-I834)*INDEX('2018_commission_structure'!$A$1:$I$4,MATCH($E834,'2018_commission_structure'!$A$1:$A$4,0),MATCH(P$1,'2018_commission_structure'!$A$1:$I$1,0)),0)</f>
        <v>0</v>
      </c>
      <c r="Q834" s="9">
        <f>IF($H834&gt;J834, MIN($H834-J834, K834-J834)*INDEX('2018_commission_structure'!$A$1:$I$4,MATCH($E834,'2018_commission_structure'!$A$1:$A$4,0),MATCH(Q$1,'2018_commission_structure'!$A$1:$I$1,0)),0)</f>
        <v>0</v>
      </c>
      <c r="R834" s="9">
        <f>IF($H834&gt;K834, MIN($H834-K834, L834-K834)*INDEX('2018_commission_structure'!$A$1:$I$4,MATCH($E834,'2018_commission_structure'!$A$1:$A$4,0),MATCH(R$1,'2018_commission_structure'!$A$1:$I$1,0)),0)</f>
        <v>0</v>
      </c>
      <c r="S834" s="9">
        <f>IF(H834&gt;L834,(H834-L834)*INDEX('2018_commission_structure'!$A$1:$I$4,MATCH($E834,'2018_commission_structure'!$A$1:$A$4,0),MATCH(S$1,'2018_commission_structure'!$A$1:$I$1,0)),0)</f>
        <v>0</v>
      </c>
      <c r="T834" s="9">
        <f t="shared" ref="T834:T897" si="138">SUM(O834:S834)</f>
        <v>55073.46</v>
      </c>
      <c r="U834" s="9">
        <f t="shared" si="130"/>
        <v>112123.45999999999</v>
      </c>
      <c r="V834" s="9">
        <f>MIN($I834,$H834)*INDEX('Key Metrics'!$E$16:$N$19,MATCH($E834,'Key Metrics'!$E$16:$E$19,0),MATCH(V$1,'Key Metrics'!$E$16:$M$16,0))</f>
        <v>63546.299999999996</v>
      </c>
      <c r="W834" s="9">
        <f>IF($H834&gt;I834, MIN($H834-I834, J834-I834)*INDEX('Key Metrics'!$E$16:$N$19,MATCH($E834,'Key Metrics'!$E$16:$E$19,0),MATCH(W$1,'Key Metrics'!$E$16:$M$16,0)),0)</f>
        <v>0</v>
      </c>
      <c r="X834" s="9">
        <f>IF($H834&gt;J834, MIN($H834-J834, K834-J834)*INDEX('Key Metrics'!$E$16:$N$19,MATCH($E834,'Key Metrics'!$E$16:$E$19,0),MATCH(X$1,'Key Metrics'!$E$16:$M$16,0)),0)</f>
        <v>0</v>
      </c>
      <c r="Y834" s="9">
        <f>IF($H834&gt;K834, MIN($H834-K834, L834-K834)*INDEX('Key Metrics'!$E$16:$N$19,MATCH($E834,'Key Metrics'!$E$16:$E$19,0),MATCH(Y$1,'Key Metrics'!$E$16:$M$16,0)),0)</f>
        <v>0</v>
      </c>
      <c r="Z834" s="9">
        <f>IF($H834&gt;L834,($H834-L834)*INDEX('Key Metrics'!$E$16:$N$19,MATCH($E834,'Key Metrics'!$E$16:$E$19,0),MATCH(Z$1,'Key Metrics'!$E$16:$M$16,0)),0)</f>
        <v>0</v>
      </c>
      <c r="AA834" s="9">
        <f t="shared" ref="AA834:AA897" si="139">SUM(V834:Z834)</f>
        <v>63546.299999999996</v>
      </c>
      <c r="AB834" s="9">
        <f t="shared" si="131"/>
        <v>63547.006069999996</v>
      </c>
    </row>
    <row r="835" spans="1:28" x14ac:dyDescent="0.55000000000000004">
      <c r="A835" t="str">
        <f t="shared" si="132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COUNTIF(deals_closed!$D$2:$D$20001,Calculations!B626)</f>
        <v>11</v>
      </c>
      <c r="H835" s="7">
        <f>SUMIF(deals_closed!$D:$D,Calculations!B626,deals_closed!$C:$C)</f>
        <v>456999</v>
      </c>
      <c r="I835" s="5">
        <f>VLOOKUP(E835,'2018_commission_structure'!$A$1:$I$4,9,FALSE)</f>
        <v>600000</v>
      </c>
      <c r="J835" s="9">
        <f t="shared" si="133"/>
        <v>750000</v>
      </c>
      <c r="K835" s="10">
        <f t="shared" si="134"/>
        <v>900000</v>
      </c>
      <c r="L835" s="9">
        <f t="shared" si="135"/>
        <v>1200000</v>
      </c>
      <c r="M835" s="8">
        <f t="shared" si="136"/>
        <v>0.76166500000000004</v>
      </c>
      <c r="N835" t="str">
        <f t="shared" si="137"/>
        <v>0-100%</v>
      </c>
      <c r="O835" s="9">
        <f>MIN($H835,$I835)*INDEX('2018_commission_structure'!$A$1:$I$4,MATCH($E835,'2018_commission_structure'!$A$1:$A$4,0),MATCH(O$1,'2018_commission_structure'!$A$1:$I$1,0))</f>
        <v>59409.87</v>
      </c>
      <c r="P835" s="9">
        <f>IF(H835&gt;I835, MIN(H835-I835, J835-I835)*INDEX('2018_commission_structure'!$A$1:$I$4,MATCH($E835,'2018_commission_structure'!$A$1:$A$4,0),MATCH(P$1,'2018_commission_structure'!$A$1:$I$1,0)),0)</f>
        <v>0</v>
      </c>
      <c r="Q835" s="9">
        <f>IF($H835&gt;J835, MIN($H835-J835, K835-J835)*INDEX('2018_commission_structure'!$A$1:$I$4,MATCH($E835,'2018_commission_structure'!$A$1:$A$4,0),MATCH(Q$1,'2018_commission_structure'!$A$1:$I$1,0)),0)</f>
        <v>0</v>
      </c>
      <c r="R835" s="9">
        <f>IF($H835&gt;K835, MIN($H835-K835, L835-K835)*INDEX('2018_commission_structure'!$A$1:$I$4,MATCH($E835,'2018_commission_structure'!$A$1:$A$4,0),MATCH(R$1,'2018_commission_structure'!$A$1:$I$1,0)),0)</f>
        <v>0</v>
      </c>
      <c r="S835" s="9">
        <f>IF(H835&gt;L835,(H835-L835)*INDEX('2018_commission_structure'!$A$1:$I$4,MATCH($E835,'2018_commission_structure'!$A$1:$A$4,0),MATCH(S$1,'2018_commission_structure'!$A$1:$I$1,0)),0)</f>
        <v>0</v>
      </c>
      <c r="T835" s="9">
        <f t="shared" si="138"/>
        <v>59409.87</v>
      </c>
      <c r="U835" s="9">
        <f t="shared" si="130"/>
        <v>121535.87</v>
      </c>
      <c r="V835" s="9">
        <f>MIN($I835,$H835)*INDEX('Key Metrics'!$E$16:$N$19,MATCH($E835,'Key Metrics'!$E$16:$E$19,0),MATCH(V$1,'Key Metrics'!$E$16:$M$16,0))</f>
        <v>68549.849999999991</v>
      </c>
      <c r="W835" s="9">
        <f>IF($H835&gt;I835, MIN($H835-I835, J835-I835)*INDEX('Key Metrics'!$E$16:$N$19,MATCH($E835,'Key Metrics'!$E$16:$E$19,0),MATCH(W$1,'Key Metrics'!$E$16:$M$16,0)),0)</f>
        <v>0</v>
      </c>
      <c r="X835" s="9">
        <f>IF($H835&gt;J835, MIN($H835-J835, K835-J835)*INDEX('Key Metrics'!$E$16:$N$19,MATCH($E835,'Key Metrics'!$E$16:$E$19,0),MATCH(X$1,'Key Metrics'!$E$16:$M$16,0)),0)</f>
        <v>0</v>
      </c>
      <c r="Y835" s="9">
        <f>IF($H835&gt;K835, MIN($H835-K835, L835-K835)*INDEX('Key Metrics'!$E$16:$N$19,MATCH($E835,'Key Metrics'!$E$16:$E$19,0),MATCH(Y$1,'Key Metrics'!$E$16:$M$16,0)),0)</f>
        <v>0</v>
      </c>
      <c r="Z835" s="9">
        <f>IF($H835&gt;L835,($H835-L835)*INDEX('Key Metrics'!$E$16:$N$19,MATCH($E835,'Key Metrics'!$E$16:$E$19,0),MATCH(Z$1,'Key Metrics'!$E$16:$M$16,0)),0)</f>
        <v>0</v>
      </c>
      <c r="AA835" s="9">
        <f t="shared" si="139"/>
        <v>68549.849999999991</v>
      </c>
      <c r="AB835" s="9">
        <f t="shared" si="131"/>
        <v>68550.611664999989</v>
      </c>
    </row>
    <row r="836" spans="1:28" x14ac:dyDescent="0.55000000000000004">
      <c r="A836" t="str">
        <f t="shared" si="132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COUNTIF(deals_closed!$D$2:$D$20001,Calculations!B72)</f>
        <v>15</v>
      </c>
      <c r="H836" s="7">
        <f>SUMIF(deals_closed!$D:$D,Calculations!B72,deals_closed!$C:$C)</f>
        <v>450892</v>
      </c>
      <c r="I836" s="5">
        <f>VLOOKUP(E836,'2018_commission_structure'!$A$1:$I$4,9,FALSE)</f>
        <v>750000</v>
      </c>
      <c r="J836" s="9">
        <f t="shared" si="133"/>
        <v>937500</v>
      </c>
      <c r="K836" s="10">
        <f t="shared" si="134"/>
        <v>1125000</v>
      </c>
      <c r="L836" s="9">
        <f t="shared" si="135"/>
        <v>1500000</v>
      </c>
      <c r="M836" s="8">
        <f t="shared" si="136"/>
        <v>0.60118933333333335</v>
      </c>
      <c r="N836" t="str">
        <f t="shared" si="137"/>
        <v>0-100%</v>
      </c>
      <c r="O836" s="9">
        <f>MIN($H836,$I836)*INDEX('2018_commission_structure'!$A$1:$I$4,MATCH($E836,'2018_commission_structure'!$A$1:$A$4,0),MATCH(O$1,'2018_commission_structure'!$A$1:$I$1,0))</f>
        <v>67633.8</v>
      </c>
      <c r="P836" s="9">
        <f>IF(H836&gt;I836, MIN(H836-I836, J836-I836)*INDEX('2018_commission_structure'!$A$1:$I$4,MATCH($E836,'2018_commission_structure'!$A$1:$A$4,0),MATCH(P$1,'2018_commission_structure'!$A$1:$I$1,0)),0)</f>
        <v>0</v>
      </c>
      <c r="Q836" s="9">
        <f>IF($H836&gt;J836, MIN($H836-J836, K836-J836)*INDEX('2018_commission_structure'!$A$1:$I$4,MATCH($E836,'2018_commission_structure'!$A$1:$A$4,0),MATCH(Q$1,'2018_commission_structure'!$A$1:$I$1,0)),0)</f>
        <v>0</v>
      </c>
      <c r="R836" s="9">
        <f>IF($H836&gt;K836, MIN($H836-K836, L836-K836)*INDEX('2018_commission_structure'!$A$1:$I$4,MATCH($E836,'2018_commission_structure'!$A$1:$A$4,0),MATCH(R$1,'2018_commission_structure'!$A$1:$I$1,0)),0)</f>
        <v>0</v>
      </c>
      <c r="S836" s="9">
        <f>IF(H836&gt;L836,(H836-L836)*INDEX('2018_commission_structure'!$A$1:$I$4,MATCH($E836,'2018_commission_structure'!$A$1:$A$4,0),MATCH(S$1,'2018_commission_structure'!$A$1:$I$1,0)),0)</f>
        <v>0</v>
      </c>
      <c r="T836" s="9">
        <f t="shared" si="138"/>
        <v>67633.8</v>
      </c>
      <c r="U836" s="9">
        <f t="shared" si="130"/>
        <v>157127.79999999999</v>
      </c>
      <c r="V836" s="9">
        <f>MIN($I836,$H836)*INDEX('Key Metrics'!$E$16:$N$19,MATCH($E836,'Key Metrics'!$E$16:$E$19,0),MATCH(V$1,'Key Metrics'!$E$16:$M$16,0))</f>
        <v>67633.8</v>
      </c>
      <c r="W836" s="9">
        <f>IF($H836&gt;I836, MIN($H836-I836, J836-I836)*INDEX('Key Metrics'!$E$16:$N$19,MATCH($E836,'Key Metrics'!$E$16:$E$19,0),MATCH(W$1,'Key Metrics'!$E$16:$M$16,0)),0)</f>
        <v>0</v>
      </c>
      <c r="X836" s="9">
        <f>IF($H836&gt;J836, MIN($H836-J836, K836-J836)*INDEX('Key Metrics'!$E$16:$N$19,MATCH($E836,'Key Metrics'!$E$16:$E$19,0),MATCH(X$1,'Key Metrics'!$E$16:$M$16,0)),0)</f>
        <v>0</v>
      </c>
      <c r="Y836" s="9">
        <f>IF($H836&gt;K836, MIN($H836-K836, L836-K836)*INDEX('Key Metrics'!$E$16:$N$19,MATCH($E836,'Key Metrics'!$E$16:$E$19,0),MATCH(Y$1,'Key Metrics'!$E$16:$M$16,0)),0)</f>
        <v>0</v>
      </c>
      <c r="Z836" s="9">
        <f>IF($H836&gt;L836,($H836-L836)*INDEX('Key Metrics'!$E$16:$N$19,MATCH($E836,'Key Metrics'!$E$16:$E$19,0),MATCH(Z$1,'Key Metrics'!$E$16:$M$16,0)),0)</f>
        <v>0</v>
      </c>
      <c r="AA836" s="9">
        <f t="shared" si="139"/>
        <v>67633.8</v>
      </c>
      <c r="AB836" s="9">
        <f t="shared" si="131"/>
        <v>67634.401189333337</v>
      </c>
    </row>
    <row r="837" spans="1:28" x14ac:dyDescent="0.55000000000000004">
      <c r="A837" t="str">
        <f t="shared" si="132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COUNTIF(deals_closed!$D$2:$D$20001,Calculations!B859)</f>
        <v>12</v>
      </c>
      <c r="H837" s="7">
        <f>SUMIF(deals_closed!$D:$D,Calculations!B859,deals_closed!$C:$C)</f>
        <v>480183</v>
      </c>
      <c r="I837" s="5">
        <f>VLOOKUP(E837,'2018_commission_structure'!$A$1:$I$4,9,FALSE)</f>
        <v>500000</v>
      </c>
      <c r="J837" s="9">
        <f t="shared" si="133"/>
        <v>625000</v>
      </c>
      <c r="K837" s="10">
        <f t="shared" si="134"/>
        <v>750000</v>
      </c>
      <c r="L837" s="9">
        <f t="shared" si="135"/>
        <v>1000000</v>
      </c>
      <c r="M837" s="8">
        <f t="shared" si="136"/>
        <v>0.96036600000000005</v>
      </c>
      <c r="N837" t="str">
        <f t="shared" si="137"/>
        <v>0-100%</v>
      </c>
      <c r="O837" s="9">
        <f>MIN($H837,$I837)*INDEX('2018_commission_structure'!$A$1:$I$4,MATCH($E837,'2018_commission_structure'!$A$1:$A$4,0),MATCH(O$1,'2018_commission_structure'!$A$1:$I$1,0))</f>
        <v>48018.3</v>
      </c>
      <c r="P837" s="9">
        <f>IF(H837&gt;I837, MIN(H837-I837, J837-I837)*INDEX('2018_commission_structure'!$A$1:$I$4,MATCH($E837,'2018_commission_structure'!$A$1:$A$4,0),MATCH(P$1,'2018_commission_structure'!$A$1:$I$1,0)),0)</f>
        <v>0</v>
      </c>
      <c r="Q837" s="9">
        <f>IF($H837&gt;J837, MIN($H837-J837, K837-J837)*INDEX('2018_commission_structure'!$A$1:$I$4,MATCH($E837,'2018_commission_structure'!$A$1:$A$4,0),MATCH(Q$1,'2018_commission_structure'!$A$1:$I$1,0)),0)</f>
        <v>0</v>
      </c>
      <c r="R837" s="9">
        <f>IF($H837&gt;K837, MIN($H837-K837, L837-K837)*INDEX('2018_commission_structure'!$A$1:$I$4,MATCH($E837,'2018_commission_structure'!$A$1:$A$4,0),MATCH(R$1,'2018_commission_structure'!$A$1:$I$1,0)),0)</f>
        <v>0</v>
      </c>
      <c r="S837" s="9">
        <f>IF(H837&gt;L837,(H837-L837)*INDEX('2018_commission_structure'!$A$1:$I$4,MATCH($E837,'2018_commission_structure'!$A$1:$A$4,0),MATCH(S$1,'2018_commission_structure'!$A$1:$I$1,0)),0)</f>
        <v>0</v>
      </c>
      <c r="T837" s="9">
        <f t="shared" si="138"/>
        <v>48018.3</v>
      </c>
      <c r="U837" s="9">
        <f t="shared" si="130"/>
        <v>84039.3</v>
      </c>
      <c r="V837" s="9">
        <f>MIN($I837,$H837)*INDEX('Key Metrics'!$E$16:$N$19,MATCH($E837,'Key Metrics'!$E$16:$E$19,0),MATCH(V$1,'Key Metrics'!$E$16:$M$16,0))</f>
        <v>57621.96</v>
      </c>
      <c r="W837" s="9">
        <f>IF($H837&gt;I837, MIN($H837-I837, J837-I837)*INDEX('Key Metrics'!$E$16:$N$19,MATCH($E837,'Key Metrics'!$E$16:$E$19,0),MATCH(W$1,'Key Metrics'!$E$16:$M$16,0)),0)</f>
        <v>0</v>
      </c>
      <c r="X837" s="9">
        <f>IF($H837&gt;J837, MIN($H837-J837, K837-J837)*INDEX('Key Metrics'!$E$16:$N$19,MATCH($E837,'Key Metrics'!$E$16:$E$19,0),MATCH(X$1,'Key Metrics'!$E$16:$M$16,0)),0)</f>
        <v>0</v>
      </c>
      <c r="Y837" s="9">
        <f>IF($H837&gt;K837, MIN($H837-K837, L837-K837)*INDEX('Key Metrics'!$E$16:$N$19,MATCH($E837,'Key Metrics'!$E$16:$E$19,0),MATCH(Y$1,'Key Metrics'!$E$16:$M$16,0)),0)</f>
        <v>0</v>
      </c>
      <c r="Z837" s="9">
        <f>IF($H837&gt;L837,($H837-L837)*INDEX('Key Metrics'!$E$16:$N$19,MATCH($E837,'Key Metrics'!$E$16:$E$19,0),MATCH(Z$1,'Key Metrics'!$E$16:$M$16,0)),0)</f>
        <v>0</v>
      </c>
      <c r="AA837" s="9">
        <f t="shared" si="139"/>
        <v>57621.96</v>
      </c>
      <c r="AB837" s="9">
        <f t="shared" si="131"/>
        <v>57622.920365999998</v>
      </c>
    </row>
    <row r="838" spans="1:28" x14ac:dyDescent="0.55000000000000004">
      <c r="A838" t="str">
        <f t="shared" si="132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COUNTIF(deals_closed!$D$2:$D$20001,Calculations!B41)</f>
        <v>22</v>
      </c>
      <c r="H838" s="7">
        <f>SUMIF(deals_closed!$D:$D,Calculations!B41,deals_closed!$C:$C)</f>
        <v>976276</v>
      </c>
      <c r="I838" s="5">
        <f>VLOOKUP(E838,'2018_commission_structure'!$A$1:$I$4,9,FALSE)</f>
        <v>750000</v>
      </c>
      <c r="J838" s="9">
        <f t="shared" si="133"/>
        <v>937500</v>
      </c>
      <c r="K838" s="10">
        <f t="shared" si="134"/>
        <v>1125000</v>
      </c>
      <c r="L838" s="9">
        <f t="shared" si="135"/>
        <v>1500000</v>
      </c>
      <c r="M838" s="8">
        <f t="shared" si="136"/>
        <v>1.3017013333333334</v>
      </c>
      <c r="N838" t="str">
        <f t="shared" si="137"/>
        <v>125-150%</v>
      </c>
      <c r="O838" s="9">
        <f>MIN($H838,$I838)*INDEX('2018_commission_structure'!$A$1:$I$4,MATCH($E838,'2018_commission_structure'!$A$1:$A$4,0),MATCH(O$1,'2018_commission_structure'!$A$1:$I$1,0))</f>
        <v>112500</v>
      </c>
      <c r="P838" s="9">
        <f>IF(H838&gt;I838, MIN(H838-I838, J838-I838)*INDEX('2018_commission_structure'!$A$1:$I$4,MATCH($E838,'2018_commission_structure'!$A$1:$A$4,0),MATCH(P$1,'2018_commission_structure'!$A$1:$I$1,0)),0)</f>
        <v>35625</v>
      </c>
      <c r="Q838" s="9">
        <f>IF($H838&gt;J838, MIN($H838-J838, K838-J838)*INDEX('2018_commission_structure'!$A$1:$I$4,MATCH($E838,'2018_commission_structure'!$A$1:$A$4,0),MATCH(Q$1,'2018_commission_structure'!$A$1:$I$1,0)),0)</f>
        <v>8918.48</v>
      </c>
      <c r="R838" s="9">
        <f>IF($H838&gt;K838, MIN($H838-K838, L838-K838)*INDEX('2018_commission_structure'!$A$1:$I$4,MATCH($E838,'2018_commission_structure'!$A$1:$A$4,0),MATCH(R$1,'2018_commission_structure'!$A$1:$I$1,0)),0)</f>
        <v>0</v>
      </c>
      <c r="S838" s="9">
        <f>IF(H838&gt;L838,(H838-L838)*INDEX('2018_commission_structure'!$A$1:$I$4,MATCH($E838,'2018_commission_structure'!$A$1:$A$4,0),MATCH(S$1,'2018_commission_structure'!$A$1:$I$1,0)),0)</f>
        <v>0</v>
      </c>
      <c r="T838" s="9">
        <f t="shared" si="138"/>
        <v>157043.48000000001</v>
      </c>
      <c r="U838" s="9">
        <f t="shared" si="130"/>
        <v>256066.48</v>
      </c>
      <c r="V838" s="9">
        <f>MIN($I838,$H838)*INDEX('Key Metrics'!$E$16:$N$19,MATCH($E838,'Key Metrics'!$E$16:$E$19,0),MATCH(V$1,'Key Metrics'!$E$16:$M$16,0))</f>
        <v>112500</v>
      </c>
      <c r="W838" s="9">
        <f>IF($H838&gt;I838, MIN($H838-I838, J838-I838)*INDEX('Key Metrics'!$E$16:$N$19,MATCH($E838,'Key Metrics'!$E$16:$E$19,0),MATCH(W$1,'Key Metrics'!$E$16:$M$16,0)),0)</f>
        <v>41250</v>
      </c>
      <c r="X838" s="9">
        <f>IF($H838&gt;J838, MIN($H838-J838, K838-J838)*INDEX('Key Metrics'!$E$16:$N$19,MATCH($E838,'Key Metrics'!$E$16:$E$19,0),MATCH(X$1,'Key Metrics'!$E$16:$M$16,0)),0)</f>
        <v>9694</v>
      </c>
      <c r="Y838" s="9">
        <f>IF($H838&gt;K838, MIN($H838-K838, L838-K838)*INDEX('Key Metrics'!$E$16:$N$19,MATCH($E838,'Key Metrics'!$E$16:$E$19,0),MATCH(Y$1,'Key Metrics'!$E$16:$M$16,0)),0)</f>
        <v>0</v>
      </c>
      <c r="Z838" s="9">
        <f>IF($H838&gt;L838,($H838-L838)*INDEX('Key Metrics'!$E$16:$N$19,MATCH($E838,'Key Metrics'!$E$16:$E$19,0),MATCH(Z$1,'Key Metrics'!$E$16:$M$16,0)),0)</f>
        <v>0</v>
      </c>
      <c r="AA838" s="9">
        <f t="shared" si="139"/>
        <v>163444</v>
      </c>
      <c r="AB838" s="9">
        <f t="shared" si="131"/>
        <v>163445.30170133334</v>
      </c>
    </row>
    <row r="839" spans="1:28" x14ac:dyDescent="0.55000000000000004">
      <c r="A839" t="str">
        <f t="shared" si="132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COUNTIF(deals_closed!$D$2:$D$20001,Calculations!B411)</f>
        <v>17</v>
      </c>
      <c r="H839" s="7">
        <f>SUMIF(deals_closed!$D:$D,Calculations!B411,deals_closed!$C:$C)</f>
        <v>658453</v>
      </c>
      <c r="I839" s="5">
        <f>VLOOKUP(E839,'2018_commission_structure'!$A$1:$I$4,9,FALSE)</f>
        <v>750000</v>
      </c>
      <c r="J839" s="9">
        <f t="shared" si="133"/>
        <v>937500</v>
      </c>
      <c r="K839" s="10">
        <f t="shared" si="134"/>
        <v>1125000</v>
      </c>
      <c r="L839" s="9">
        <f t="shared" si="135"/>
        <v>1500000</v>
      </c>
      <c r="M839" s="8">
        <f t="shared" si="136"/>
        <v>0.87793733333333335</v>
      </c>
      <c r="N839" t="str">
        <f t="shared" si="137"/>
        <v>0-100%</v>
      </c>
      <c r="O839" s="9">
        <f>MIN($H839,$I839)*INDEX('2018_commission_structure'!$A$1:$I$4,MATCH($E839,'2018_commission_structure'!$A$1:$A$4,0),MATCH(O$1,'2018_commission_structure'!$A$1:$I$1,0))</f>
        <v>98767.95</v>
      </c>
      <c r="P839" s="9">
        <f>IF(H839&gt;I839, MIN(H839-I839, J839-I839)*INDEX('2018_commission_structure'!$A$1:$I$4,MATCH($E839,'2018_commission_structure'!$A$1:$A$4,0),MATCH(P$1,'2018_commission_structure'!$A$1:$I$1,0)),0)</f>
        <v>0</v>
      </c>
      <c r="Q839" s="9">
        <f>IF($H839&gt;J839, MIN($H839-J839, K839-J839)*INDEX('2018_commission_structure'!$A$1:$I$4,MATCH($E839,'2018_commission_structure'!$A$1:$A$4,0),MATCH(Q$1,'2018_commission_structure'!$A$1:$I$1,0)),0)</f>
        <v>0</v>
      </c>
      <c r="R839" s="9">
        <f>IF($H839&gt;K839, MIN($H839-K839, L839-K839)*INDEX('2018_commission_structure'!$A$1:$I$4,MATCH($E839,'2018_commission_structure'!$A$1:$A$4,0),MATCH(R$1,'2018_commission_structure'!$A$1:$I$1,0)),0)</f>
        <v>0</v>
      </c>
      <c r="S839" s="9">
        <f>IF(H839&gt;L839,(H839-L839)*INDEX('2018_commission_structure'!$A$1:$I$4,MATCH($E839,'2018_commission_structure'!$A$1:$A$4,0),MATCH(S$1,'2018_commission_structure'!$A$1:$I$1,0)),0)</f>
        <v>0</v>
      </c>
      <c r="T839" s="9">
        <f t="shared" si="138"/>
        <v>98767.95</v>
      </c>
      <c r="U839" s="9">
        <f t="shared" si="130"/>
        <v>221201.95</v>
      </c>
      <c r="V839" s="9">
        <f>MIN($I839,$H839)*INDEX('Key Metrics'!$E$16:$N$19,MATCH($E839,'Key Metrics'!$E$16:$E$19,0),MATCH(V$1,'Key Metrics'!$E$16:$M$16,0))</f>
        <v>98767.95</v>
      </c>
      <c r="W839" s="9">
        <f>IF($H839&gt;I839, MIN($H839-I839, J839-I839)*INDEX('Key Metrics'!$E$16:$N$19,MATCH($E839,'Key Metrics'!$E$16:$E$19,0),MATCH(W$1,'Key Metrics'!$E$16:$M$16,0)),0)</f>
        <v>0</v>
      </c>
      <c r="X839" s="9">
        <f>IF($H839&gt;J839, MIN($H839-J839, K839-J839)*INDEX('Key Metrics'!$E$16:$N$19,MATCH($E839,'Key Metrics'!$E$16:$E$19,0),MATCH(X$1,'Key Metrics'!$E$16:$M$16,0)),0)</f>
        <v>0</v>
      </c>
      <c r="Y839" s="9">
        <f>IF($H839&gt;K839, MIN($H839-K839, L839-K839)*INDEX('Key Metrics'!$E$16:$N$19,MATCH($E839,'Key Metrics'!$E$16:$E$19,0),MATCH(Y$1,'Key Metrics'!$E$16:$M$16,0)),0)</f>
        <v>0</v>
      </c>
      <c r="Z839" s="9">
        <f>IF($H839&gt;L839,($H839-L839)*INDEX('Key Metrics'!$E$16:$N$19,MATCH($E839,'Key Metrics'!$E$16:$E$19,0),MATCH(Z$1,'Key Metrics'!$E$16:$M$16,0)),0)</f>
        <v>0</v>
      </c>
      <c r="AA839" s="9">
        <f t="shared" si="139"/>
        <v>98767.95</v>
      </c>
      <c r="AB839" s="9">
        <f t="shared" si="131"/>
        <v>98768.827937333335</v>
      </c>
    </row>
    <row r="840" spans="1:28" x14ac:dyDescent="0.55000000000000004">
      <c r="A840" t="str">
        <f t="shared" si="132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COUNTIF(deals_closed!$D$2:$D$20001,Calculations!B581)</f>
        <v>16</v>
      </c>
      <c r="H840" s="7">
        <f>SUMIF(deals_closed!$D:$D,Calculations!B581,deals_closed!$C:$C)</f>
        <v>575747</v>
      </c>
      <c r="I840" s="5">
        <f>VLOOKUP(E840,'2018_commission_structure'!$A$1:$I$4,9,FALSE)</f>
        <v>500000</v>
      </c>
      <c r="J840" s="9">
        <f t="shared" si="133"/>
        <v>625000</v>
      </c>
      <c r="K840" s="10">
        <f t="shared" si="134"/>
        <v>750000</v>
      </c>
      <c r="L840" s="9">
        <f t="shared" si="135"/>
        <v>1000000</v>
      </c>
      <c r="M840" s="8">
        <f t="shared" si="136"/>
        <v>1.151494</v>
      </c>
      <c r="N840" t="str">
        <f t="shared" si="137"/>
        <v>100-125%</v>
      </c>
      <c r="O840" s="9">
        <f>MIN($H840,$I840)*INDEX('2018_commission_structure'!$A$1:$I$4,MATCH($E840,'2018_commission_structure'!$A$1:$A$4,0),MATCH(O$1,'2018_commission_structure'!$A$1:$I$1,0))</f>
        <v>50000</v>
      </c>
      <c r="P840" s="9">
        <f>IF(H840&gt;I840, MIN(H840-I840, J840-I840)*INDEX('2018_commission_structure'!$A$1:$I$4,MATCH($E840,'2018_commission_structure'!$A$1:$A$4,0),MATCH(P$1,'2018_commission_structure'!$A$1:$I$1,0)),0)</f>
        <v>11362.05</v>
      </c>
      <c r="Q840" s="9">
        <f>IF($H840&gt;J840, MIN($H840-J840, K840-J840)*INDEX('2018_commission_structure'!$A$1:$I$4,MATCH($E840,'2018_commission_structure'!$A$1:$A$4,0),MATCH(Q$1,'2018_commission_structure'!$A$1:$I$1,0)),0)</f>
        <v>0</v>
      </c>
      <c r="R840" s="9">
        <f>IF($H840&gt;K840, MIN($H840-K840, L840-K840)*INDEX('2018_commission_structure'!$A$1:$I$4,MATCH($E840,'2018_commission_structure'!$A$1:$A$4,0),MATCH(R$1,'2018_commission_structure'!$A$1:$I$1,0)),0)</f>
        <v>0</v>
      </c>
      <c r="S840" s="9">
        <f>IF(H840&gt;L840,(H840-L840)*INDEX('2018_commission_structure'!$A$1:$I$4,MATCH($E840,'2018_commission_structure'!$A$1:$A$4,0),MATCH(S$1,'2018_commission_structure'!$A$1:$I$1,0)),0)</f>
        <v>0</v>
      </c>
      <c r="T840" s="9">
        <f t="shared" si="138"/>
        <v>61362.05</v>
      </c>
      <c r="U840" s="9">
        <f t="shared" si="130"/>
        <v>113915.05</v>
      </c>
      <c r="V840" s="9">
        <f>MIN($I840,$H840)*INDEX('Key Metrics'!$E$16:$N$19,MATCH($E840,'Key Metrics'!$E$16:$E$19,0),MATCH(V$1,'Key Metrics'!$E$16:$M$16,0))</f>
        <v>60000</v>
      </c>
      <c r="W840" s="9">
        <f>IF($H840&gt;I840, MIN($H840-I840, J840-I840)*INDEX('Key Metrics'!$E$16:$N$19,MATCH($E840,'Key Metrics'!$E$16:$E$19,0),MATCH(W$1,'Key Metrics'!$E$16:$M$16,0)),0)</f>
        <v>12876.990000000002</v>
      </c>
      <c r="X840" s="9">
        <f>IF($H840&gt;J840, MIN($H840-J840, K840-J840)*INDEX('Key Metrics'!$E$16:$N$19,MATCH($E840,'Key Metrics'!$E$16:$E$19,0),MATCH(X$1,'Key Metrics'!$E$16:$M$16,0)),0)</f>
        <v>0</v>
      </c>
      <c r="Y840" s="9">
        <f>IF($H840&gt;K840, MIN($H840-K840, L840-K840)*INDEX('Key Metrics'!$E$16:$N$19,MATCH($E840,'Key Metrics'!$E$16:$E$19,0),MATCH(Y$1,'Key Metrics'!$E$16:$M$16,0)),0)</f>
        <v>0</v>
      </c>
      <c r="Z840" s="9">
        <f>IF($H840&gt;L840,($H840-L840)*INDEX('Key Metrics'!$E$16:$N$19,MATCH($E840,'Key Metrics'!$E$16:$E$19,0),MATCH(Z$1,'Key Metrics'!$E$16:$M$16,0)),0)</f>
        <v>0</v>
      </c>
      <c r="AA840" s="9">
        <f t="shared" si="139"/>
        <v>72876.990000000005</v>
      </c>
      <c r="AB840" s="9">
        <f t="shared" si="131"/>
        <v>72878.14149400001</v>
      </c>
    </row>
    <row r="841" spans="1:28" x14ac:dyDescent="0.55000000000000004">
      <c r="A841" t="str">
        <f t="shared" si="132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COUNTIF(deals_closed!$D$2:$D$20001,Calculations!B652)</f>
        <v>25</v>
      </c>
      <c r="H841" s="7">
        <f>SUMIF(deals_closed!$D:$D,Calculations!B652,deals_closed!$C:$C)</f>
        <v>775801</v>
      </c>
      <c r="I841" s="5">
        <f>VLOOKUP(E841,'2018_commission_structure'!$A$1:$I$4,9,FALSE)</f>
        <v>600000</v>
      </c>
      <c r="J841" s="9">
        <f t="shared" si="133"/>
        <v>750000</v>
      </c>
      <c r="K841" s="10">
        <f t="shared" si="134"/>
        <v>900000</v>
      </c>
      <c r="L841" s="9">
        <f t="shared" si="135"/>
        <v>1200000</v>
      </c>
      <c r="M841" s="8">
        <f t="shared" si="136"/>
        <v>1.2930016666666666</v>
      </c>
      <c r="N841" t="str">
        <f t="shared" si="137"/>
        <v>125-150%</v>
      </c>
      <c r="O841" s="9">
        <f>MIN($H841,$I841)*INDEX('2018_commission_structure'!$A$1:$I$4,MATCH($E841,'2018_commission_structure'!$A$1:$A$4,0),MATCH(O$1,'2018_commission_structure'!$A$1:$I$1,0))</f>
        <v>78000</v>
      </c>
      <c r="P841" s="9">
        <f>IF(H841&gt;I841, MIN(H841-I841, J841-I841)*INDEX('2018_commission_structure'!$A$1:$I$4,MATCH($E841,'2018_commission_structure'!$A$1:$A$4,0),MATCH(P$1,'2018_commission_structure'!$A$1:$I$1,0)),0)</f>
        <v>25500.000000000004</v>
      </c>
      <c r="Q841" s="9">
        <f>IF($H841&gt;J841, MIN($H841-J841, K841-J841)*INDEX('2018_commission_structure'!$A$1:$I$4,MATCH($E841,'2018_commission_structure'!$A$1:$A$4,0),MATCH(Q$1,'2018_commission_structure'!$A$1:$I$1,0)),0)</f>
        <v>5418.21</v>
      </c>
      <c r="R841" s="9">
        <f>IF($H841&gt;K841, MIN($H841-K841, L841-K841)*INDEX('2018_commission_structure'!$A$1:$I$4,MATCH($E841,'2018_commission_structure'!$A$1:$A$4,0),MATCH(R$1,'2018_commission_structure'!$A$1:$I$1,0)),0)</f>
        <v>0</v>
      </c>
      <c r="S841" s="9">
        <f>IF(H841&gt;L841,(H841-L841)*INDEX('2018_commission_structure'!$A$1:$I$4,MATCH($E841,'2018_commission_structure'!$A$1:$A$4,0),MATCH(S$1,'2018_commission_structure'!$A$1:$I$1,0)),0)</f>
        <v>0</v>
      </c>
      <c r="T841" s="9">
        <f t="shared" si="138"/>
        <v>108918.21</v>
      </c>
      <c r="U841" s="9">
        <f t="shared" si="130"/>
        <v>187256.21000000002</v>
      </c>
      <c r="V841" s="9">
        <f>MIN($I841,$H841)*INDEX('Key Metrics'!$E$16:$N$19,MATCH($E841,'Key Metrics'!$E$16:$E$19,0),MATCH(V$1,'Key Metrics'!$E$16:$M$16,0))</f>
        <v>90000</v>
      </c>
      <c r="W841" s="9">
        <f>IF($H841&gt;I841, MIN($H841-I841, J841-I841)*INDEX('Key Metrics'!$E$16:$N$19,MATCH($E841,'Key Metrics'!$E$16:$E$19,0),MATCH(W$1,'Key Metrics'!$E$16:$M$16,0)),0)</f>
        <v>27000</v>
      </c>
      <c r="X841" s="9">
        <f>IF($H841&gt;J841, MIN($H841-J841, K841-J841)*INDEX('Key Metrics'!$E$16:$N$19,MATCH($E841,'Key Metrics'!$E$16:$E$19,0),MATCH(X$1,'Key Metrics'!$E$16:$M$16,0)),0)</f>
        <v>6450.25</v>
      </c>
      <c r="Y841" s="9">
        <f>IF($H841&gt;K841, MIN($H841-K841, L841-K841)*INDEX('Key Metrics'!$E$16:$N$19,MATCH($E841,'Key Metrics'!$E$16:$E$19,0),MATCH(Y$1,'Key Metrics'!$E$16:$M$16,0)),0)</f>
        <v>0</v>
      </c>
      <c r="Z841" s="9">
        <f>IF($H841&gt;L841,($H841-L841)*INDEX('Key Metrics'!$E$16:$N$19,MATCH($E841,'Key Metrics'!$E$16:$E$19,0),MATCH(Z$1,'Key Metrics'!$E$16:$M$16,0)),0)</f>
        <v>0</v>
      </c>
      <c r="AA841" s="9">
        <f t="shared" si="139"/>
        <v>123450.25</v>
      </c>
      <c r="AB841" s="9">
        <f t="shared" si="131"/>
        <v>123451.54300166667</v>
      </c>
    </row>
    <row r="842" spans="1:28" x14ac:dyDescent="0.55000000000000004">
      <c r="A842" t="str">
        <f t="shared" si="132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COUNTIF(deals_closed!$D$2:$D$20001,Calculations!B82)</f>
        <v>17</v>
      </c>
      <c r="H842" s="7">
        <f>SUMIF(deals_closed!$D:$D,Calculations!B82,deals_closed!$C:$C)</f>
        <v>456453</v>
      </c>
      <c r="I842" s="5">
        <f>VLOOKUP(E842,'2018_commission_structure'!$A$1:$I$4,9,FALSE)</f>
        <v>750000</v>
      </c>
      <c r="J842" s="9">
        <f t="shared" si="133"/>
        <v>937500</v>
      </c>
      <c r="K842" s="10">
        <f t="shared" si="134"/>
        <v>1125000</v>
      </c>
      <c r="L842" s="9">
        <f t="shared" si="135"/>
        <v>1500000</v>
      </c>
      <c r="M842" s="8">
        <f t="shared" si="136"/>
        <v>0.60860400000000003</v>
      </c>
      <c r="N842" t="str">
        <f t="shared" si="137"/>
        <v>0-100%</v>
      </c>
      <c r="O842" s="9">
        <f>MIN($H842,$I842)*INDEX('2018_commission_structure'!$A$1:$I$4,MATCH($E842,'2018_commission_structure'!$A$1:$A$4,0),MATCH(O$1,'2018_commission_structure'!$A$1:$I$1,0))</f>
        <v>68467.95</v>
      </c>
      <c r="P842" s="9">
        <f>IF(H842&gt;I842, MIN(H842-I842, J842-I842)*INDEX('2018_commission_structure'!$A$1:$I$4,MATCH($E842,'2018_commission_structure'!$A$1:$A$4,0),MATCH(P$1,'2018_commission_structure'!$A$1:$I$1,0)),0)</f>
        <v>0</v>
      </c>
      <c r="Q842" s="9">
        <f>IF($H842&gt;J842, MIN($H842-J842, K842-J842)*INDEX('2018_commission_structure'!$A$1:$I$4,MATCH($E842,'2018_commission_structure'!$A$1:$A$4,0),MATCH(Q$1,'2018_commission_structure'!$A$1:$I$1,0)),0)</f>
        <v>0</v>
      </c>
      <c r="R842" s="9">
        <f>IF($H842&gt;K842, MIN($H842-K842, L842-K842)*INDEX('2018_commission_structure'!$A$1:$I$4,MATCH($E842,'2018_commission_structure'!$A$1:$A$4,0),MATCH(R$1,'2018_commission_structure'!$A$1:$I$1,0)),0)</f>
        <v>0</v>
      </c>
      <c r="S842" s="9">
        <f>IF(H842&gt;L842,(H842-L842)*INDEX('2018_commission_structure'!$A$1:$I$4,MATCH($E842,'2018_commission_structure'!$A$1:$A$4,0),MATCH(S$1,'2018_commission_structure'!$A$1:$I$1,0)),0)</f>
        <v>0</v>
      </c>
      <c r="T842" s="9">
        <f t="shared" si="138"/>
        <v>68467.95</v>
      </c>
      <c r="U842" s="9">
        <f t="shared" si="130"/>
        <v>182651.95</v>
      </c>
      <c r="V842" s="9">
        <f>MIN($I842,$H842)*INDEX('Key Metrics'!$E$16:$N$19,MATCH($E842,'Key Metrics'!$E$16:$E$19,0),MATCH(V$1,'Key Metrics'!$E$16:$M$16,0))</f>
        <v>68467.95</v>
      </c>
      <c r="W842" s="9">
        <f>IF($H842&gt;I842, MIN($H842-I842, J842-I842)*INDEX('Key Metrics'!$E$16:$N$19,MATCH($E842,'Key Metrics'!$E$16:$E$19,0),MATCH(W$1,'Key Metrics'!$E$16:$M$16,0)),0)</f>
        <v>0</v>
      </c>
      <c r="X842" s="9">
        <f>IF($H842&gt;J842, MIN($H842-J842, K842-J842)*INDEX('Key Metrics'!$E$16:$N$19,MATCH($E842,'Key Metrics'!$E$16:$E$19,0),MATCH(X$1,'Key Metrics'!$E$16:$M$16,0)),0)</f>
        <v>0</v>
      </c>
      <c r="Y842" s="9">
        <f>IF($H842&gt;K842, MIN($H842-K842, L842-K842)*INDEX('Key Metrics'!$E$16:$N$19,MATCH($E842,'Key Metrics'!$E$16:$E$19,0),MATCH(Y$1,'Key Metrics'!$E$16:$M$16,0)),0)</f>
        <v>0</v>
      </c>
      <c r="Z842" s="9">
        <f>IF($H842&gt;L842,($H842-L842)*INDEX('Key Metrics'!$E$16:$N$19,MATCH($E842,'Key Metrics'!$E$16:$E$19,0),MATCH(Z$1,'Key Metrics'!$E$16:$M$16,0)),0)</f>
        <v>0</v>
      </c>
      <c r="AA842" s="9">
        <f t="shared" si="139"/>
        <v>68467.95</v>
      </c>
      <c r="AB842" s="9">
        <f t="shared" si="131"/>
        <v>68468.558603999991</v>
      </c>
    </row>
    <row r="843" spans="1:28" x14ac:dyDescent="0.55000000000000004">
      <c r="A843" t="str">
        <f t="shared" si="132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COUNTIF(deals_closed!$D$2:$D$20001,Calculations!B637)</f>
        <v>22</v>
      </c>
      <c r="H843" s="7">
        <f>SUMIF(deals_closed!$D:$D,Calculations!B637,deals_closed!$C:$C)</f>
        <v>800141</v>
      </c>
      <c r="I843" s="5">
        <f>VLOOKUP(E843,'2018_commission_structure'!$A$1:$I$4,9,FALSE)</f>
        <v>500000</v>
      </c>
      <c r="J843" s="9">
        <f t="shared" si="133"/>
        <v>625000</v>
      </c>
      <c r="K843" s="10">
        <f t="shared" si="134"/>
        <v>750000</v>
      </c>
      <c r="L843" s="9">
        <f t="shared" si="135"/>
        <v>1000000</v>
      </c>
      <c r="M843" s="8">
        <f t="shared" si="136"/>
        <v>1.600282</v>
      </c>
      <c r="N843" t="str">
        <f t="shared" si="137"/>
        <v>150-200%</v>
      </c>
      <c r="O843" s="9">
        <f>MIN($H843,$I843)*INDEX('2018_commission_structure'!$A$1:$I$4,MATCH($E843,'2018_commission_structure'!$A$1:$A$4,0),MATCH(O$1,'2018_commission_structure'!$A$1:$I$1,0))</f>
        <v>50000</v>
      </c>
      <c r="P843" s="9">
        <f>IF(H843&gt;I843, MIN(H843-I843, J843-I843)*INDEX('2018_commission_structure'!$A$1:$I$4,MATCH($E843,'2018_commission_structure'!$A$1:$A$4,0),MATCH(P$1,'2018_commission_structure'!$A$1:$I$1,0)),0)</f>
        <v>18750</v>
      </c>
      <c r="Q843" s="9">
        <f>IF($H843&gt;J843, MIN($H843-J843, K843-J843)*INDEX('2018_commission_structure'!$A$1:$I$4,MATCH($E843,'2018_commission_structure'!$A$1:$A$4,0),MATCH(Q$1,'2018_commission_structure'!$A$1:$I$1,0)),0)</f>
        <v>22500</v>
      </c>
      <c r="R843" s="9">
        <f>IF($H843&gt;K843, MIN($H843-K843, L843-K843)*INDEX('2018_commission_structure'!$A$1:$I$4,MATCH($E843,'2018_commission_structure'!$A$1:$A$4,0),MATCH(R$1,'2018_commission_structure'!$A$1:$I$1,0)),0)</f>
        <v>11031.02</v>
      </c>
      <c r="S843" s="9">
        <f>IF(H843&gt;L843,(H843-L843)*INDEX('2018_commission_structure'!$A$1:$I$4,MATCH($E843,'2018_commission_structure'!$A$1:$A$4,0),MATCH(S$1,'2018_commission_structure'!$A$1:$I$1,0)),0)</f>
        <v>0</v>
      </c>
      <c r="T843" s="9">
        <f t="shared" si="138"/>
        <v>102281.02</v>
      </c>
      <c r="U843" s="9">
        <f t="shared" si="130"/>
        <v>138643.02000000002</v>
      </c>
      <c r="V843" s="9">
        <f>MIN($I843,$H843)*INDEX('Key Metrics'!$E$16:$N$19,MATCH($E843,'Key Metrics'!$E$16:$E$19,0),MATCH(V$1,'Key Metrics'!$E$16:$M$16,0))</f>
        <v>60000</v>
      </c>
      <c r="W843" s="9">
        <f>IF($H843&gt;I843, MIN($H843-I843, J843-I843)*INDEX('Key Metrics'!$E$16:$N$19,MATCH($E843,'Key Metrics'!$E$16:$E$19,0),MATCH(W$1,'Key Metrics'!$E$16:$M$16,0)),0)</f>
        <v>21250</v>
      </c>
      <c r="X843" s="9">
        <f>IF($H843&gt;J843, MIN($H843-J843, K843-J843)*INDEX('Key Metrics'!$E$16:$N$19,MATCH($E843,'Key Metrics'!$E$16:$E$19,0),MATCH(X$1,'Key Metrics'!$E$16:$M$16,0)),0)</f>
        <v>25000</v>
      </c>
      <c r="Y843" s="9">
        <f>IF($H843&gt;K843, MIN($H843-K843, L843-K843)*INDEX('Key Metrics'!$E$16:$N$19,MATCH($E843,'Key Metrics'!$E$16:$E$19,0),MATCH(Y$1,'Key Metrics'!$E$16:$M$16,0)),0)</f>
        <v>11031.02</v>
      </c>
      <c r="Z843" s="9">
        <f>IF($H843&gt;L843,($H843-L843)*INDEX('Key Metrics'!$E$16:$N$19,MATCH($E843,'Key Metrics'!$E$16:$E$19,0),MATCH(Z$1,'Key Metrics'!$E$16:$M$16,0)),0)</f>
        <v>0</v>
      </c>
      <c r="AA843" s="9">
        <f t="shared" si="139"/>
        <v>117281.02</v>
      </c>
      <c r="AB843" s="9">
        <f t="shared" si="131"/>
        <v>117282.620282</v>
      </c>
    </row>
    <row r="844" spans="1:28" x14ac:dyDescent="0.55000000000000004">
      <c r="A844" t="str">
        <f t="shared" si="132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COUNTIF(deals_closed!$D$2:$D$20001,Calculations!B545)</f>
        <v>20</v>
      </c>
      <c r="H844" s="7">
        <f>SUMIF(deals_closed!$D:$D,Calculations!B545,deals_closed!$C:$C)</f>
        <v>729765</v>
      </c>
      <c r="I844" s="5">
        <f>VLOOKUP(E844,'2018_commission_structure'!$A$1:$I$4,9,FALSE)</f>
        <v>750000</v>
      </c>
      <c r="J844" s="9">
        <f t="shared" si="133"/>
        <v>937500</v>
      </c>
      <c r="K844" s="10">
        <f t="shared" si="134"/>
        <v>1125000</v>
      </c>
      <c r="L844" s="9">
        <f t="shared" si="135"/>
        <v>1500000</v>
      </c>
      <c r="M844" s="8">
        <f t="shared" si="136"/>
        <v>0.97302</v>
      </c>
      <c r="N844" t="str">
        <f t="shared" si="137"/>
        <v>0-100%</v>
      </c>
      <c r="O844" s="9">
        <f>MIN($H844,$I844)*INDEX('2018_commission_structure'!$A$1:$I$4,MATCH($E844,'2018_commission_structure'!$A$1:$A$4,0),MATCH(O$1,'2018_commission_structure'!$A$1:$I$1,0))</f>
        <v>109464.75</v>
      </c>
      <c r="P844" s="9">
        <f>IF(H844&gt;I844, MIN(H844-I844, J844-I844)*INDEX('2018_commission_structure'!$A$1:$I$4,MATCH($E844,'2018_commission_structure'!$A$1:$A$4,0),MATCH(P$1,'2018_commission_structure'!$A$1:$I$1,0)),0)</f>
        <v>0</v>
      </c>
      <c r="Q844" s="9">
        <f>IF($H844&gt;J844, MIN($H844-J844, K844-J844)*INDEX('2018_commission_structure'!$A$1:$I$4,MATCH($E844,'2018_commission_structure'!$A$1:$A$4,0),MATCH(Q$1,'2018_commission_structure'!$A$1:$I$1,0)),0)</f>
        <v>0</v>
      </c>
      <c r="R844" s="9">
        <f>IF($H844&gt;K844, MIN($H844-K844, L844-K844)*INDEX('2018_commission_structure'!$A$1:$I$4,MATCH($E844,'2018_commission_structure'!$A$1:$A$4,0),MATCH(R$1,'2018_commission_structure'!$A$1:$I$1,0)),0)</f>
        <v>0</v>
      </c>
      <c r="S844" s="9">
        <f>IF(H844&gt;L844,(H844-L844)*INDEX('2018_commission_structure'!$A$1:$I$4,MATCH($E844,'2018_commission_structure'!$A$1:$A$4,0),MATCH(S$1,'2018_commission_structure'!$A$1:$I$1,0)),0)</f>
        <v>0</v>
      </c>
      <c r="T844" s="9">
        <f t="shared" si="138"/>
        <v>109464.75</v>
      </c>
      <c r="U844" s="9">
        <f t="shared" si="130"/>
        <v>196759.75</v>
      </c>
      <c r="V844" s="9">
        <f>MIN($I844,$H844)*INDEX('Key Metrics'!$E$16:$N$19,MATCH($E844,'Key Metrics'!$E$16:$E$19,0),MATCH(V$1,'Key Metrics'!$E$16:$M$16,0))</f>
        <v>109464.75</v>
      </c>
      <c r="W844" s="9">
        <f>IF($H844&gt;I844, MIN($H844-I844, J844-I844)*INDEX('Key Metrics'!$E$16:$N$19,MATCH($E844,'Key Metrics'!$E$16:$E$19,0),MATCH(W$1,'Key Metrics'!$E$16:$M$16,0)),0)</f>
        <v>0</v>
      </c>
      <c r="X844" s="9">
        <f>IF($H844&gt;J844, MIN($H844-J844, K844-J844)*INDEX('Key Metrics'!$E$16:$N$19,MATCH($E844,'Key Metrics'!$E$16:$E$19,0),MATCH(X$1,'Key Metrics'!$E$16:$M$16,0)),0)</f>
        <v>0</v>
      </c>
      <c r="Y844" s="9">
        <f>IF($H844&gt;K844, MIN($H844-K844, L844-K844)*INDEX('Key Metrics'!$E$16:$N$19,MATCH($E844,'Key Metrics'!$E$16:$E$19,0),MATCH(Y$1,'Key Metrics'!$E$16:$M$16,0)),0)</f>
        <v>0</v>
      </c>
      <c r="Z844" s="9">
        <f>IF($H844&gt;L844,($H844-L844)*INDEX('Key Metrics'!$E$16:$N$19,MATCH($E844,'Key Metrics'!$E$16:$E$19,0),MATCH(Z$1,'Key Metrics'!$E$16:$M$16,0)),0)</f>
        <v>0</v>
      </c>
      <c r="AA844" s="9">
        <f t="shared" si="139"/>
        <v>109464.75</v>
      </c>
      <c r="AB844" s="9">
        <f t="shared" si="131"/>
        <v>109465.72302</v>
      </c>
    </row>
    <row r="845" spans="1:28" x14ac:dyDescent="0.55000000000000004">
      <c r="A845" t="str">
        <f t="shared" si="132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COUNTIF(deals_closed!$D$2:$D$20001,Calculations!B771)</f>
        <v>19</v>
      </c>
      <c r="H845" s="7">
        <f>SUMIF(deals_closed!$D:$D,Calculations!B771,deals_closed!$C:$C)</f>
        <v>677823</v>
      </c>
      <c r="I845" s="5">
        <f>VLOOKUP(E845,'2018_commission_structure'!$A$1:$I$4,9,FALSE)</f>
        <v>750000</v>
      </c>
      <c r="J845" s="9">
        <f t="shared" si="133"/>
        <v>937500</v>
      </c>
      <c r="K845" s="10">
        <f t="shared" si="134"/>
        <v>1125000</v>
      </c>
      <c r="L845" s="9">
        <f t="shared" si="135"/>
        <v>1500000</v>
      </c>
      <c r="M845" s="8">
        <f t="shared" si="136"/>
        <v>0.90376400000000001</v>
      </c>
      <c r="N845" t="str">
        <f t="shared" si="137"/>
        <v>0-100%</v>
      </c>
      <c r="O845" s="9">
        <f>MIN($H845,$I845)*INDEX('2018_commission_structure'!$A$1:$I$4,MATCH($E845,'2018_commission_structure'!$A$1:$A$4,0),MATCH(O$1,'2018_commission_structure'!$A$1:$I$1,0))</f>
        <v>101673.45</v>
      </c>
      <c r="P845" s="9">
        <f>IF(H845&gt;I845, MIN(H845-I845, J845-I845)*INDEX('2018_commission_structure'!$A$1:$I$4,MATCH($E845,'2018_commission_structure'!$A$1:$A$4,0),MATCH(P$1,'2018_commission_structure'!$A$1:$I$1,0)),0)</f>
        <v>0</v>
      </c>
      <c r="Q845" s="9">
        <f>IF($H845&gt;J845, MIN($H845-J845, K845-J845)*INDEX('2018_commission_structure'!$A$1:$I$4,MATCH($E845,'2018_commission_structure'!$A$1:$A$4,0),MATCH(Q$1,'2018_commission_structure'!$A$1:$I$1,0)),0)</f>
        <v>0</v>
      </c>
      <c r="R845" s="9">
        <f>IF($H845&gt;K845, MIN($H845-K845, L845-K845)*INDEX('2018_commission_structure'!$A$1:$I$4,MATCH($E845,'2018_commission_structure'!$A$1:$A$4,0),MATCH(R$1,'2018_commission_structure'!$A$1:$I$1,0)),0)</f>
        <v>0</v>
      </c>
      <c r="S845" s="9">
        <f>IF(H845&gt;L845,(H845-L845)*INDEX('2018_commission_structure'!$A$1:$I$4,MATCH($E845,'2018_commission_structure'!$A$1:$A$4,0),MATCH(S$1,'2018_commission_structure'!$A$1:$I$1,0)),0)</f>
        <v>0</v>
      </c>
      <c r="T845" s="9">
        <f t="shared" si="138"/>
        <v>101673.45</v>
      </c>
      <c r="U845" s="9">
        <f t="shared" si="130"/>
        <v>202597.45</v>
      </c>
      <c r="V845" s="9">
        <f>MIN($I845,$H845)*INDEX('Key Metrics'!$E$16:$N$19,MATCH($E845,'Key Metrics'!$E$16:$E$19,0),MATCH(V$1,'Key Metrics'!$E$16:$M$16,0))</f>
        <v>101673.45</v>
      </c>
      <c r="W845" s="9">
        <f>IF($H845&gt;I845, MIN($H845-I845, J845-I845)*INDEX('Key Metrics'!$E$16:$N$19,MATCH($E845,'Key Metrics'!$E$16:$E$19,0),MATCH(W$1,'Key Metrics'!$E$16:$M$16,0)),0)</f>
        <v>0</v>
      </c>
      <c r="X845" s="9">
        <f>IF($H845&gt;J845, MIN($H845-J845, K845-J845)*INDEX('Key Metrics'!$E$16:$N$19,MATCH($E845,'Key Metrics'!$E$16:$E$19,0),MATCH(X$1,'Key Metrics'!$E$16:$M$16,0)),0)</f>
        <v>0</v>
      </c>
      <c r="Y845" s="9">
        <f>IF($H845&gt;K845, MIN($H845-K845, L845-K845)*INDEX('Key Metrics'!$E$16:$N$19,MATCH($E845,'Key Metrics'!$E$16:$E$19,0),MATCH(Y$1,'Key Metrics'!$E$16:$M$16,0)),0)</f>
        <v>0</v>
      </c>
      <c r="Z845" s="9">
        <f>IF($H845&gt;L845,($H845-L845)*INDEX('Key Metrics'!$E$16:$N$19,MATCH($E845,'Key Metrics'!$E$16:$E$19,0),MATCH(Z$1,'Key Metrics'!$E$16:$M$16,0)),0)</f>
        <v>0</v>
      </c>
      <c r="AA845" s="9">
        <f t="shared" si="139"/>
        <v>101673.45</v>
      </c>
      <c r="AB845" s="9">
        <f t="shared" si="131"/>
        <v>101674.353764</v>
      </c>
    </row>
    <row r="846" spans="1:28" x14ac:dyDescent="0.55000000000000004">
      <c r="A846" t="str">
        <f t="shared" si="132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COUNTIF(deals_closed!$D$2:$D$20001,Calculations!B780)</f>
        <v>22</v>
      </c>
      <c r="H846" s="7">
        <f>SUMIF(deals_closed!$D:$D,Calculations!B780,deals_closed!$C:$C)</f>
        <v>661330</v>
      </c>
      <c r="I846" s="5">
        <f>VLOOKUP(E846,'2018_commission_structure'!$A$1:$I$4,9,FALSE)</f>
        <v>600000</v>
      </c>
      <c r="J846" s="9">
        <f t="shared" si="133"/>
        <v>750000</v>
      </c>
      <c r="K846" s="10">
        <f t="shared" si="134"/>
        <v>900000</v>
      </c>
      <c r="L846" s="9">
        <f t="shared" si="135"/>
        <v>1200000</v>
      </c>
      <c r="M846" s="8">
        <f t="shared" si="136"/>
        <v>1.1022166666666666</v>
      </c>
      <c r="N846" t="str">
        <f t="shared" si="137"/>
        <v>100-125%</v>
      </c>
      <c r="O846" s="9">
        <f>MIN($H846,$I846)*INDEX('2018_commission_structure'!$A$1:$I$4,MATCH($E846,'2018_commission_structure'!$A$1:$A$4,0),MATCH(O$1,'2018_commission_structure'!$A$1:$I$1,0))</f>
        <v>78000</v>
      </c>
      <c r="P846" s="9">
        <f>IF(H846&gt;I846, MIN(H846-I846, J846-I846)*INDEX('2018_commission_structure'!$A$1:$I$4,MATCH($E846,'2018_commission_structure'!$A$1:$A$4,0),MATCH(P$1,'2018_commission_structure'!$A$1:$I$1,0)),0)</f>
        <v>10426.1</v>
      </c>
      <c r="Q846" s="9">
        <f>IF($H846&gt;J846, MIN($H846-J846, K846-J846)*INDEX('2018_commission_structure'!$A$1:$I$4,MATCH($E846,'2018_commission_structure'!$A$1:$A$4,0),MATCH(Q$1,'2018_commission_structure'!$A$1:$I$1,0)),0)</f>
        <v>0</v>
      </c>
      <c r="R846" s="9">
        <f>IF($H846&gt;K846, MIN($H846-K846, L846-K846)*INDEX('2018_commission_structure'!$A$1:$I$4,MATCH($E846,'2018_commission_structure'!$A$1:$A$4,0),MATCH(R$1,'2018_commission_structure'!$A$1:$I$1,0)),0)</f>
        <v>0</v>
      </c>
      <c r="S846" s="9">
        <f>IF(H846&gt;L846,(H846-L846)*INDEX('2018_commission_structure'!$A$1:$I$4,MATCH($E846,'2018_commission_structure'!$A$1:$A$4,0),MATCH(S$1,'2018_commission_structure'!$A$1:$I$1,0)),0)</f>
        <v>0</v>
      </c>
      <c r="T846" s="9">
        <f t="shared" si="138"/>
        <v>88426.1</v>
      </c>
      <c r="U846" s="9">
        <f t="shared" si="130"/>
        <v>139114.1</v>
      </c>
      <c r="V846" s="9">
        <f>MIN($I846,$H846)*INDEX('Key Metrics'!$E$16:$N$19,MATCH($E846,'Key Metrics'!$E$16:$E$19,0),MATCH(V$1,'Key Metrics'!$E$16:$M$16,0))</f>
        <v>90000</v>
      </c>
      <c r="W846" s="9">
        <f>IF($H846&gt;I846, MIN($H846-I846, J846-I846)*INDEX('Key Metrics'!$E$16:$N$19,MATCH($E846,'Key Metrics'!$E$16:$E$19,0),MATCH(W$1,'Key Metrics'!$E$16:$M$16,0)),0)</f>
        <v>11039.4</v>
      </c>
      <c r="X846" s="9">
        <f>IF($H846&gt;J846, MIN($H846-J846, K846-J846)*INDEX('Key Metrics'!$E$16:$N$19,MATCH($E846,'Key Metrics'!$E$16:$E$19,0),MATCH(X$1,'Key Metrics'!$E$16:$M$16,0)),0)</f>
        <v>0</v>
      </c>
      <c r="Y846" s="9">
        <f>IF($H846&gt;K846, MIN($H846-K846, L846-K846)*INDEX('Key Metrics'!$E$16:$N$19,MATCH($E846,'Key Metrics'!$E$16:$E$19,0),MATCH(Y$1,'Key Metrics'!$E$16:$M$16,0)),0)</f>
        <v>0</v>
      </c>
      <c r="Z846" s="9">
        <f>IF($H846&gt;L846,($H846-L846)*INDEX('Key Metrics'!$E$16:$N$19,MATCH($E846,'Key Metrics'!$E$16:$E$19,0),MATCH(Z$1,'Key Metrics'!$E$16:$M$16,0)),0)</f>
        <v>0</v>
      </c>
      <c r="AA846" s="9">
        <f t="shared" si="139"/>
        <v>101039.4</v>
      </c>
      <c r="AB846" s="9">
        <f t="shared" si="131"/>
        <v>101040.50221666666</v>
      </c>
    </row>
    <row r="847" spans="1:28" x14ac:dyDescent="0.55000000000000004">
      <c r="A847" t="str">
        <f t="shared" si="132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COUNTIF(deals_closed!$D$2:$D$20001,Calculations!B24)</f>
        <v>15</v>
      </c>
      <c r="H847" s="7">
        <f>SUMIF(deals_closed!$D:$D,Calculations!B24,deals_closed!$C:$C)</f>
        <v>430513</v>
      </c>
      <c r="I847" s="5">
        <f>VLOOKUP(E847,'2018_commission_structure'!$A$1:$I$4,9,FALSE)</f>
        <v>600000</v>
      </c>
      <c r="J847" s="9">
        <f t="shared" si="133"/>
        <v>750000</v>
      </c>
      <c r="K847" s="10">
        <f t="shared" si="134"/>
        <v>900000</v>
      </c>
      <c r="L847" s="9">
        <f t="shared" si="135"/>
        <v>1200000</v>
      </c>
      <c r="M847" s="8">
        <f t="shared" si="136"/>
        <v>0.71752166666666661</v>
      </c>
      <c r="N847" t="str">
        <f t="shared" si="137"/>
        <v>0-100%</v>
      </c>
      <c r="O847" s="9">
        <f>MIN($H847,$I847)*INDEX('2018_commission_structure'!$A$1:$I$4,MATCH($E847,'2018_commission_structure'!$A$1:$A$4,0),MATCH(O$1,'2018_commission_structure'!$A$1:$I$1,0))</f>
        <v>55966.69</v>
      </c>
      <c r="P847" s="9">
        <f>IF(H847&gt;I847, MIN(H847-I847, J847-I847)*INDEX('2018_commission_structure'!$A$1:$I$4,MATCH($E847,'2018_commission_structure'!$A$1:$A$4,0),MATCH(P$1,'2018_commission_structure'!$A$1:$I$1,0)),0)</f>
        <v>0</v>
      </c>
      <c r="Q847" s="9">
        <f>IF($H847&gt;J847, MIN($H847-J847, K847-J847)*INDEX('2018_commission_structure'!$A$1:$I$4,MATCH($E847,'2018_commission_structure'!$A$1:$A$4,0),MATCH(Q$1,'2018_commission_structure'!$A$1:$I$1,0)),0)</f>
        <v>0</v>
      </c>
      <c r="R847" s="9">
        <f>IF($H847&gt;K847, MIN($H847-K847, L847-K847)*INDEX('2018_commission_structure'!$A$1:$I$4,MATCH($E847,'2018_commission_structure'!$A$1:$A$4,0),MATCH(R$1,'2018_commission_structure'!$A$1:$I$1,0)),0)</f>
        <v>0</v>
      </c>
      <c r="S847" s="9">
        <f>IF(H847&gt;L847,(H847-L847)*INDEX('2018_commission_structure'!$A$1:$I$4,MATCH($E847,'2018_commission_structure'!$A$1:$A$4,0),MATCH(S$1,'2018_commission_structure'!$A$1:$I$1,0)),0)</f>
        <v>0</v>
      </c>
      <c r="T847" s="9">
        <f t="shared" si="138"/>
        <v>55966.69</v>
      </c>
      <c r="U847" s="9">
        <f t="shared" si="130"/>
        <v>120805.69</v>
      </c>
      <c r="V847" s="9">
        <f>MIN($I847,$H847)*INDEX('Key Metrics'!$E$16:$N$19,MATCH($E847,'Key Metrics'!$E$16:$E$19,0),MATCH(V$1,'Key Metrics'!$E$16:$M$16,0))</f>
        <v>64576.95</v>
      </c>
      <c r="W847" s="9">
        <f>IF($H847&gt;I847, MIN($H847-I847, J847-I847)*INDEX('Key Metrics'!$E$16:$N$19,MATCH($E847,'Key Metrics'!$E$16:$E$19,0),MATCH(W$1,'Key Metrics'!$E$16:$M$16,0)),0)</f>
        <v>0</v>
      </c>
      <c r="X847" s="9">
        <f>IF($H847&gt;J847, MIN($H847-J847, K847-J847)*INDEX('Key Metrics'!$E$16:$N$19,MATCH($E847,'Key Metrics'!$E$16:$E$19,0),MATCH(X$1,'Key Metrics'!$E$16:$M$16,0)),0)</f>
        <v>0</v>
      </c>
      <c r="Y847" s="9">
        <f>IF($H847&gt;K847, MIN($H847-K847, L847-K847)*INDEX('Key Metrics'!$E$16:$N$19,MATCH($E847,'Key Metrics'!$E$16:$E$19,0),MATCH(Y$1,'Key Metrics'!$E$16:$M$16,0)),0)</f>
        <v>0</v>
      </c>
      <c r="Z847" s="9">
        <f>IF($H847&gt;L847,($H847-L847)*INDEX('Key Metrics'!$E$16:$N$19,MATCH($E847,'Key Metrics'!$E$16:$E$19,0),MATCH(Z$1,'Key Metrics'!$E$16:$M$16,0)),0)</f>
        <v>0</v>
      </c>
      <c r="AA847" s="9">
        <f t="shared" si="139"/>
        <v>64576.95</v>
      </c>
      <c r="AB847" s="9">
        <f t="shared" si="131"/>
        <v>64577.667521666663</v>
      </c>
    </row>
    <row r="848" spans="1:28" x14ac:dyDescent="0.55000000000000004">
      <c r="A848" t="str">
        <f t="shared" si="132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COUNTIF(deals_closed!$D$2:$D$20001,Calculations!B868)</f>
        <v>22</v>
      </c>
      <c r="H848" s="7">
        <f>SUMIF(deals_closed!$D:$D,Calculations!B868,deals_closed!$C:$C)</f>
        <v>703757</v>
      </c>
      <c r="I848" s="5">
        <f>VLOOKUP(E848,'2018_commission_structure'!$A$1:$I$4,9,FALSE)</f>
        <v>600000</v>
      </c>
      <c r="J848" s="9">
        <f t="shared" si="133"/>
        <v>750000</v>
      </c>
      <c r="K848" s="10">
        <f t="shared" si="134"/>
        <v>900000</v>
      </c>
      <c r="L848" s="9">
        <f t="shared" si="135"/>
        <v>1200000</v>
      </c>
      <c r="M848" s="8">
        <f t="shared" si="136"/>
        <v>1.1729283333333334</v>
      </c>
      <c r="N848" t="str">
        <f t="shared" si="137"/>
        <v>100-125%</v>
      </c>
      <c r="O848" s="9">
        <f>MIN($H848,$I848)*INDEX('2018_commission_structure'!$A$1:$I$4,MATCH($E848,'2018_commission_structure'!$A$1:$A$4,0),MATCH(O$1,'2018_commission_structure'!$A$1:$I$1,0))</f>
        <v>78000</v>
      </c>
      <c r="P848" s="9">
        <f>IF(H848&gt;I848, MIN(H848-I848, J848-I848)*INDEX('2018_commission_structure'!$A$1:$I$4,MATCH($E848,'2018_commission_structure'!$A$1:$A$4,0),MATCH(P$1,'2018_commission_structure'!$A$1:$I$1,0)),0)</f>
        <v>17638.690000000002</v>
      </c>
      <c r="Q848" s="9">
        <f>IF($H848&gt;J848, MIN($H848-J848, K848-J848)*INDEX('2018_commission_structure'!$A$1:$I$4,MATCH($E848,'2018_commission_structure'!$A$1:$A$4,0),MATCH(Q$1,'2018_commission_structure'!$A$1:$I$1,0)),0)</f>
        <v>0</v>
      </c>
      <c r="R848" s="9">
        <f>IF($H848&gt;K848, MIN($H848-K848, L848-K848)*INDEX('2018_commission_structure'!$A$1:$I$4,MATCH($E848,'2018_commission_structure'!$A$1:$A$4,0),MATCH(R$1,'2018_commission_structure'!$A$1:$I$1,0)),0)</f>
        <v>0</v>
      </c>
      <c r="S848" s="9">
        <f>IF(H848&gt;L848,(H848-L848)*INDEX('2018_commission_structure'!$A$1:$I$4,MATCH($E848,'2018_commission_structure'!$A$1:$A$4,0),MATCH(S$1,'2018_commission_structure'!$A$1:$I$1,0)),0)</f>
        <v>0</v>
      </c>
      <c r="T848" s="9">
        <f t="shared" si="138"/>
        <v>95638.69</v>
      </c>
      <c r="U848" s="9">
        <f t="shared" si="130"/>
        <v>174218.69</v>
      </c>
      <c r="V848" s="9">
        <f>MIN($I848,$H848)*INDEX('Key Metrics'!$E$16:$N$19,MATCH($E848,'Key Metrics'!$E$16:$E$19,0),MATCH(V$1,'Key Metrics'!$E$16:$M$16,0))</f>
        <v>90000</v>
      </c>
      <c r="W848" s="9">
        <f>IF($H848&gt;I848, MIN($H848-I848, J848-I848)*INDEX('Key Metrics'!$E$16:$N$19,MATCH($E848,'Key Metrics'!$E$16:$E$19,0),MATCH(W$1,'Key Metrics'!$E$16:$M$16,0)),0)</f>
        <v>18676.259999999998</v>
      </c>
      <c r="X848" s="9">
        <f>IF($H848&gt;J848, MIN($H848-J848, K848-J848)*INDEX('Key Metrics'!$E$16:$N$19,MATCH($E848,'Key Metrics'!$E$16:$E$19,0),MATCH(X$1,'Key Metrics'!$E$16:$M$16,0)),0)</f>
        <v>0</v>
      </c>
      <c r="Y848" s="9">
        <f>IF($H848&gt;K848, MIN($H848-K848, L848-K848)*INDEX('Key Metrics'!$E$16:$N$19,MATCH($E848,'Key Metrics'!$E$16:$E$19,0),MATCH(Y$1,'Key Metrics'!$E$16:$M$16,0)),0)</f>
        <v>0</v>
      </c>
      <c r="Z848" s="9">
        <f>IF($H848&gt;L848,($H848-L848)*INDEX('Key Metrics'!$E$16:$N$19,MATCH($E848,'Key Metrics'!$E$16:$E$19,0),MATCH(Z$1,'Key Metrics'!$E$16:$M$16,0)),0)</f>
        <v>0</v>
      </c>
      <c r="AA848" s="9">
        <f t="shared" si="139"/>
        <v>108676.26</v>
      </c>
      <c r="AB848" s="9">
        <f t="shared" si="131"/>
        <v>108677.43292833332</v>
      </c>
    </row>
    <row r="849" spans="1:28" x14ac:dyDescent="0.55000000000000004">
      <c r="A849" t="str">
        <f t="shared" si="132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COUNTIF(deals_closed!$D$2:$D$20001,Calculations!B32)</f>
        <v>18</v>
      </c>
      <c r="H849" s="7">
        <f>SUMIF(deals_closed!$D:$D,Calculations!B32,deals_closed!$C:$C)</f>
        <v>624821</v>
      </c>
      <c r="I849" s="5">
        <f>VLOOKUP(E849,'2018_commission_structure'!$A$1:$I$4,9,FALSE)</f>
        <v>500000</v>
      </c>
      <c r="J849" s="9">
        <f t="shared" si="133"/>
        <v>625000</v>
      </c>
      <c r="K849" s="10">
        <f t="shared" si="134"/>
        <v>750000</v>
      </c>
      <c r="L849" s="9">
        <f t="shared" si="135"/>
        <v>1000000</v>
      </c>
      <c r="M849" s="8">
        <f t="shared" si="136"/>
        <v>1.2496419999999999</v>
      </c>
      <c r="N849" t="str">
        <f t="shared" si="137"/>
        <v>100-125%</v>
      </c>
      <c r="O849" s="9">
        <f>MIN($H849,$I849)*INDEX('2018_commission_structure'!$A$1:$I$4,MATCH($E849,'2018_commission_structure'!$A$1:$A$4,0),MATCH(O$1,'2018_commission_structure'!$A$1:$I$1,0))</f>
        <v>50000</v>
      </c>
      <c r="P849" s="9">
        <f>IF(H849&gt;I849, MIN(H849-I849, J849-I849)*INDEX('2018_commission_structure'!$A$1:$I$4,MATCH($E849,'2018_commission_structure'!$A$1:$A$4,0),MATCH(P$1,'2018_commission_structure'!$A$1:$I$1,0)),0)</f>
        <v>18723.149999999998</v>
      </c>
      <c r="Q849" s="9">
        <f>IF($H849&gt;J849, MIN($H849-J849, K849-J849)*INDEX('2018_commission_structure'!$A$1:$I$4,MATCH($E849,'2018_commission_structure'!$A$1:$A$4,0),MATCH(Q$1,'2018_commission_structure'!$A$1:$I$1,0)),0)</f>
        <v>0</v>
      </c>
      <c r="R849" s="9">
        <f>IF($H849&gt;K849, MIN($H849-K849, L849-K849)*INDEX('2018_commission_structure'!$A$1:$I$4,MATCH($E849,'2018_commission_structure'!$A$1:$A$4,0),MATCH(R$1,'2018_commission_structure'!$A$1:$I$1,0)),0)</f>
        <v>0</v>
      </c>
      <c r="S849" s="9">
        <f>IF(H849&gt;L849,(H849-L849)*INDEX('2018_commission_structure'!$A$1:$I$4,MATCH($E849,'2018_commission_structure'!$A$1:$A$4,0),MATCH(S$1,'2018_commission_structure'!$A$1:$I$1,0)),0)</f>
        <v>0</v>
      </c>
      <c r="T849" s="9">
        <f t="shared" si="138"/>
        <v>68723.149999999994</v>
      </c>
      <c r="U849" s="9">
        <f t="shared" si="130"/>
        <v>114076.15</v>
      </c>
      <c r="V849" s="9">
        <f>MIN($I849,$H849)*INDEX('Key Metrics'!$E$16:$N$19,MATCH($E849,'Key Metrics'!$E$16:$E$19,0),MATCH(V$1,'Key Metrics'!$E$16:$M$16,0))</f>
        <v>60000</v>
      </c>
      <c r="W849" s="9">
        <f>IF($H849&gt;I849, MIN($H849-I849, J849-I849)*INDEX('Key Metrics'!$E$16:$N$19,MATCH($E849,'Key Metrics'!$E$16:$E$19,0),MATCH(W$1,'Key Metrics'!$E$16:$M$16,0)),0)</f>
        <v>21219.57</v>
      </c>
      <c r="X849" s="9">
        <f>IF($H849&gt;J849, MIN($H849-J849, K849-J849)*INDEX('Key Metrics'!$E$16:$N$19,MATCH($E849,'Key Metrics'!$E$16:$E$19,0),MATCH(X$1,'Key Metrics'!$E$16:$M$16,0)),0)</f>
        <v>0</v>
      </c>
      <c r="Y849" s="9">
        <f>IF($H849&gt;K849, MIN($H849-K849, L849-K849)*INDEX('Key Metrics'!$E$16:$N$19,MATCH($E849,'Key Metrics'!$E$16:$E$19,0),MATCH(Y$1,'Key Metrics'!$E$16:$M$16,0)),0)</f>
        <v>0</v>
      </c>
      <c r="Z849" s="9">
        <f>IF($H849&gt;L849,($H849-L849)*INDEX('Key Metrics'!$E$16:$N$19,MATCH($E849,'Key Metrics'!$E$16:$E$19,0),MATCH(Z$1,'Key Metrics'!$E$16:$M$16,0)),0)</f>
        <v>0</v>
      </c>
      <c r="AA849" s="9">
        <f t="shared" si="139"/>
        <v>81219.570000000007</v>
      </c>
      <c r="AB849" s="9">
        <f t="shared" si="131"/>
        <v>81220.819642000002</v>
      </c>
    </row>
    <row r="850" spans="1:28" x14ac:dyDescent="0.55000000000000004">
      <c r="A850" t="str">
        <f t="shared" si="132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COUNTIF(deals_closed!$D$2:$D$20001,Calculations!B417)</f>
        <v>19</v>
      </c>
      <c r="H850" s="7">
        <f>SUMIF(deals_closed!$D:$D,Calculations!B417,deals_closed!$C:$C)</f>
        <v>690078</v>
      </c>
      <c r="I850" s="5">
        <f>VLOOKUP(E850,'2018_commission_structure'!$A$1:$I$4,9,FALSE)</f>
        <v>500000</v>
      </c>
      <c r="J850" s="9">
        <f t="shared" si="133"/>
        <v>625000</v>
      </c>
      <c r="K850" s="10">
        <f t="shared" si="134"/>
        <v>750000</v>
      </c>
      <c r="L850" s="9">
        <f t="shared" si="135"/>
        <v>1000000</v>
      </c>
      <c r="M850" s="8">
        <f t="shared" si="136"/>
        <v>1.3801559999999999</v>
      </c>
      <c r="N850" t="str">
        <f t="shared" si="137"/>
        <v>125-150%</v>
      </c>
      <c r="O850" s="9">
        <f>MIN($H850,$I850)*INDEX('2018_commission_structure'!$A$1:$I$4,MATCH($E850,'2018_commission_structure'!$A$1:$A$4,0),MATCH(O$1,'2018_commission_structure'!$A$1:$I$1,0))</f>
        <v>50000</v>
      </c>
      <c r="P850" s="9">
        <f>IF(H850&gt;I850, MIN(H850-I850, J850-I850)*INDEX('2018_commission_structure'!$A$1:$I$4,MATCH($E850,'2018_commission_structure'!$A$1:$A$4,0),MATCH(P$1,'2018_commission_structure'!$A$1:$I$1,0)),0)</f>
        <v>18750</v>
      </c>
      <c r="Q850" s="9">
        <f>IF($H850&gt;J850, MIN($H850-J850, K850-J850)*INDEX('2018_commission_structure'!$A$1:$I$4,MATCH($E850,'2018_commission_structure'!$A$1:$A$4,0),MATCH(Q$1,'2018_commission_structure'!$A$1:$I$1,0)),0)</f>
        <v>11714.039999999999</v>
      </c>
      <c r="R850" s="9">
        <f>IF($H850&gt;K850, MIN($H850-K850, L850-K850)*INDEX('2018_commission_structure'!$A$1:$I$4,MATCH($E850,'2018_commission_structure'!$A$1:$A$4,0),MATCH(R$1,'2018_commission_structure'!$A$1:$I$1,0)),0)</f>
        <v>0</v>
      </c>
      <c r="S850" s="9">
        <f>IF(H850&gt;L850,(H850-L850)*INDEX('2018_commission_structure'!$A$1:$I$4,MATCH($E850,'2018_commission_structure'!$A$1:$A$4,0),MATCH(S$1,'2018_commission_structure'!$A$1:$I$1,0)),0)</f>
        <v>0</v>
      </c>
      <c r="T850" s="9">
        <f t="shared" si="138"/>
        <v>80464.039999999994</v>
      </c>
      <c r="U850" s="9">
        <f t="shared" si="130"/>
        <v>112211.04</v>
      </c>
      <c r="V850" s="9">
        <f>MIN($I850,$H850)*INDEX('Key Metrics'!$E$16:$N$19,MATCH($E850,'Key Metrics'!$E$16:$E$19,0),MATCH(V$1,'Key Metrics'!$E$16:$M$16,0))</f>
        <v>60000</v>
      </c>
      <c r="W850" s="9">
        <f>IF($H850&gt;I850, MIN($H850-I850, J850-I850)*INDEX('Key Metrics'!$E$16:$N$19,MATCH($E850,'Key Metrics'!$E$16:$E$19,0),MATCH(W$1,'Key Metrics'!$E$16:$M$16,0)),0)</f>
        <v>21250</v>
      </c>
      <c r="X850" s="9">
        <f>IF($H850&gt;J850, MIN($H850-J850, K850-J850)*INDEX('Key Metrics'!$E$16:$N$19,MATCH($E850,'Key Metrics'!$E$16:$E$19,0),MATCH(X$1,'Key Metrics'!$E$16:$M$16,0)),0)</f>
        <v>13015.6</v>
      </c>
      <c r="Y850" s="9">
        <f>IF($H850&gt;K850, MIN($H850-K850, L850-K850)*INDEX('Key Metrics'!$E$16:$N$19,MATCH($E850,'Key Metrics'!$E$16:$E$19,0),MATCH(Y$1,'Key Metrics'!$E$16:$M$16,0)),0)</f>
        <v>0</v>
      </c>
      <c r="Z850" s="9">
        <f>IF($H850&gt;L850,($H850-L850)*INDEX('Key Metrics'!$E$16:$N$19,MATCH($E850,'Key Metrics'!$E$16:$E$19,0),MATCH(Z$1,'Key Metrics'!$E$16:$M$16,0)),0)</f>
        <v>0</v>
      </c>
      <c r="AA850" s="9">
        <f t="shared" si="139"/>
        <v>94265.600000000006</v>
      </c>
      <c r="AB850" s="9">
        <f t="shared" si="131"/>
        <v>94266.980156000005</v>
      </c>
    </row>
    <row r="851" spans="1:28" x14ac:dyDescent="0.55000000000000004">
      <c r="A851" t="str">
        <f t="shared" si="132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COUNTIF(deals_closed!$D$2:$D$20001,Calculations!B714)</f>
        <v>17</v>
      </c>
      <c r="H851" s="7">
        <f>SUMIF(deals_closed!$D:$D,Calculations!B714,deals_closed!$C:$C)</f>
        <v>528218</v>
      </c>
      <c r="I851" s="5">
        <f>VLOOKUP(E851,'2018_commission_structure'!$A$1:$I$4,9,FALSE)</f>
        <v>500000</v>
      </c>
      <c r="J851" s="9">
        <f t="shared" si="133"/>
        <v>625000</v>
      </c>
      <c r="K851" s="10">
        <f t="shared" si="134"/>
        <v>750000</v>
      </c>
      <c r="L851" s="9">
        <f t="shared" si="135"/>
        <v>1000000</v>
      </c>
      <c r="M851" s="8">
        <f t="shared" si="136"/>
        <v>1.0564359999999999</v>
      </c>
      <c r="N851" t="str">
        <f t="shared" si="137"/>
        <v>100-125%</v>
      </c>
      <c r="O851" s="9">
        <f>MIN($H851,$I851)*INDEX('2018_commission_structure'!$A$1:$I$4,MATCH($E851,'2018_commission_structure'!$A$1:$A$4,0),MATCH(O$1,'2018_commission_structure'!$A$1:$I$1,0))</f>
        <v>50000</v>
      </c>
      <c r="P851" s="9">
        <f>IF(H851&gt;I851, MIN(H851-I851, J851-I851)*INDEX('2018_commission_structure'!$A$1:$I$4,MATCH($E851,'2018_commission_structure'!$A$1:$A$4,0),MATCH(P$1,'2018_commission_structure'!$A$1:$I$1,0)),0)</f>
        <v>4232.7</v>
      </c>
      <c r="Q851" s="9">
        <f>IF($H851&gt;J851, MIN($H851-J851, K851-J851)*INDEX('2018_commission_structure'!$A$1:$I$4,MATCH($E851,'2018_commission_structure'!$A$1:$A$4,0),MATCH(Q$1,'2018_commission_structure'!$A$1:$I$1,0)),0)</f>
        <v>0</v>
      </c>
      <c r="R851" s="9">
        <f>IF($H851&gt;K851, MIN($H851-K851, L851-K851)*INDEX('2018_commission_structure'!$A$1:$I$4,MATCH($E851,'2018_commission_structure'!$A$1:$A$4,0),MATCH(R$1,'2018_commission_structure'!$A$1:$I$1,0)),0)</f>
        <v>0</v>
      </c>
      <c r="S851" s="9">
        <f>IF(H851&gt;L851,(H851-L851)*INDEX('2018_commission_structure'!$A$1:$I$4,MATCH($E851,'2018_commission_structure'!$A$1:$A$4,0),MATCH(S$1,'2018_commission_structure'!$A$1:$I$1,0)),0)</f>
        <v>0</v>
      </c>
      <c r="T851" s="9">
        <f t="shared" si="138"/>
        <v>54232.7</v>
      </c>
      <c r="U851" s="9">
        <f t="shared" si="130"/>
        <v>98814.7</v>
      </c>
      <c r="V851" s="9">
        <f>MIN($I851,$H851)*INDEX('Key Metrics'!$E$16:$N$19,MATCH($E851,'Key Metrics'!$E$16:$E$19,0),MATCH(V$1,'Key Metrics'!$E$16:$M$16,0))</f>
        <v>60000</v>
      </c>
      <c r="W851" s="9">
        <f>IF($H851&gt;I851, MIN($H851-I851, J851-I851)*INDEX('Key Metrics'!$E$16:$N$19,MATCH($E851,'Key Metrics'!$E$16:$E$19,0),MATCH(W$1,'Key Metrics'!$E$16:$M$16,0)),0)</f>
        <v>4797.0600000000004</v>
      </c>
      <c r="X851" s="9">
        <f>IF($H851&gt;J851, MIN($H851-J851, K851-J851)*INDEX('Key Metrics'!$E$16:$N$19,MATCH($E851,'Key Metrics'!$E$16:$E$19,0),MATCH(X$1,'Key Metrics'!$E$16:$M$16,0)),0)</f>
        <v>0</v>
      </c>
      <c r="Y851" s="9">
        <f>IF($H851&gt;K851, MIN($H851-K851, L851-K851)*INDEX('Key Metrics'!$E$16:$N$19,MATCH($E851,'Key Metrics'!$E$16:$E$19,0),MATCH(Y$1,'Key Metrics'!$E$16:$M$16,0)),0)</f>
        <v>0</v>
      </c>
      <c r="Z851" s="9">
        <f>IF($H851&gt;L851,($H851-L851)*INDEX('Key Metrics'!$E$16:$N$19,MATCH($E851,'Key Metrics'!$E$16:$E$19,0),MATCH(Z$1,'Key Metrics'!$E$16:$M$16,0)),0)</f>
        <v>0</v>
      </c>
      <c r="AA851" s="9">
        <f t="shared" si="139"/>
        <v>64797.06</v>
      </c>
      <c r="AB851" s="9">
        <f t="shared" si="131"/>
        <v>64798.116435999997</v>
      </c>
    </row>
    <row r="852" spans="1:28" x14ac:dyDescent="0.55000000000000004">
      <c r="A852" t="str">
        <f t="shared" si="132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COUNTIF(deals_closed!$D$2:$D$20001,Calculations!B662)</f>
        <v>25</v>
      </c>
      <c r="H852" s="7">
        <f>SUMIF(deals_closed!$D:$D,Calculations!B662,deals_closed!$C:$C)</f>
        <v>762004</v>
      </c>
      <c r="I852" s="5">
        <f>VLOOKUP(E852,'2018_commission_structure'!$A$1:$I$4,9,FALSE)</f>
        <v>600000</v>
      </c>
      <c r="J852" s="9">
        <f t="shared" si="133"/>
        <v>750000</v>
      </c>
      <c r="K852" s="10">
        <f t="shared" si="134"/>
        <v>900000</v>
      </c>
      <c r="L852" s="9">
        <f t="shared" si="135"/>
        <v>1200000</v>
      </c>
      <c r="M852" s="8">
        <f t="shared" si="136"/>
        <v>1.2700066666666667</v>
      </c>
      <c r="N852" t="str">
        <f t="shared" si="137"/>
        <v>125-150%</v>
      </c>
      <c r="O852" s="9">
        <f>MIN($H852,$I852)*INDEX('2018_commission_structure'!$A$1:$I$4,MATCH($E852,'2018_commission_structure'!$A$1:$A$4,0),MATCH(O$1,'2018_commission_structure'!$A$1:$I$1,0))</f>
        <v>78000</v>
      </c>
      <c r="P852" s="9">
        <f>IF(H852&gt;I852, MIN(H852-I852, J852-I852)*INDEX('2018_commission_structure'!$A$1:$I$4,MATCH($E852,'2018_commission_structure'!$A$1:$A$4,0),MATCH(P$1,'2018_commission_structure'!$A$1:$I$1,0)),0)</f>
        <v>25500.000000000004</v>
      </c>
      <c r="Q852" s="9">
        <f>IF($H852&gt;J852, MIN($H852-J852, K852-J852)*INDEX('2018_commission_structure'!$A$1:$I$4,MATCH($E852,'2018_commission_structure'!$A$1:$A$4,0),MATCH(Q$1,'2018_commission_structure'!$A$1:$I$1,0)),0)</f>
        <v>2520.8399999999997</v>
      </c>
      <c r="R852" s="9">
        <f>IF($H852&gt;K852, MIN($H852-K852, L852-K852)*INDEX('2018_commission_structure'!$A$1:$I$4,MATCH($E852,'2018_commission_structure'!$A$1:$A$4,0),MATCH(R$1,'2018_commission_structure'!$A$1:$I$1,0)),0)</f>
        <v>0</v>
      </c>
      <c r="S852" s="9">
        <f>IF(H852&gt;L852,(H852-L852)*INDEX('2018_commission_structure'!$A$1:$I$4,MATCH($E852,'2018_commission_structure'!$A$1:$A$4,0),MATCH(S$1,'2018_commission_structure'!$A$1:$I$1,0)),0)</f>
        <v>0</v>
      </c>
      <c r="T852" s="9">
        <f t="shared" si="138"/>
        <v>106020.84</v>
      </c>
      <c r="U852" s="9">
        <f t="shared" si="130"/>
        <v>168741.84</v>
      </c>
      <c r="V852" s="9">
        <f>MIN($I852,$H852)*INDEX('Key Metrics'!$E$16:$N$19,MATCH($E852,'Key Metrics'!$E$16:$E$19,0),MATCH(V$1,'Key Metrics'!$E$16:$M$16,0))</f>
        <v>90000</v>
      </c>
      <c r="W852" s="9">
        <f>IF($H852&gt;I852, MIN($H852-I852, J852-I852)*INDEX('Key Metrics'!$E$16:$N$19,MATCH($E852,'Key Metrics'!$E$16:$E$19,0),MATCH(W$1,'Key Metrics'!$E$16:$M$16,0)),0)</f>
        <v>27000</v>
      </c>
      <c r="X852" s="9">
        <f>IF($H852&gt;J852, MIN($H852-J852, K852-J852)*INDEX('Key Metrics'!$E$16:$N$19,MATCH($E852,'Key Metrics'!$E$16:$E$19,0),MATCH(X$1,'Key Metrics'!$E$16:$M$16,0)),0)</f>
        <v>3001</v>
      </c>
      <c r="Y852" s="9">
        <f>IF($H852&gt;K852, MIN($H852-K852, L852-K852)*INDEX('Key Metrics'!$E$16:$N$19,MATCH($E852,'Key Metrics'!$E$16:$E$19,0),MATCH(Y$1,'Key Metrics'!$E$16:$M$16,0)),0)</f>
        <v>0</v>
      </c>
      <c r="Z852" s="9">
        <f>IF($H852&gt;L852,($H852-L852)*INDEX('Key Metrics'!$E$16:$N$19,MATCH($E852,'Key Metrics'!$E$16:$E$19,0),MATCH(Z$1,'Key Metrics'!$E$16:$M$16,0)),0)</f>
        <v>0</v>
      </c>
      <c r="AA852" s="9">
        <f t="shared" si="139"/>
        <v>120001</v>
      </c>
      <c r="AB852" s="9">
        <f t="shared" si="131"/>
        <v>120002.27000666667</v>
      </c>
    </row>
    <row r="853" spans="1:28" x14ac:dyDescent="0.55000000000000004">
      <c r="A853" t="str">
        <f t="shared" si="132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COUNTIF(deals_closed!$D$2:$D$20001,Calculations!B194)</f>
        <v>28</v>
      </c>
      <c r="H853" s="7">
        <f>SUMIF(deals_closed!$D:$D,Calculations!B194,deals_closed!$C:$C)</f>
        <v>982174</v>
      </c>
      <c r="I853" s="5">
        <f>VLOOKUP(E853,'2018_commission_structure'!$A$1:$I$4,9,FALSE)</f>
        <v>600000</v>
      </c>
      <c r="J853" s="9">
        <f t="shared" si="133"/>
        <v>750000</v>
      </c>
      <c r="K853" s="10">
        <f t="shared" si="134"/>
        <v>900000</v>
      </c>
      <c r="L853" s="9">
        <f t="shared" si="135"/>
        <v>1200000</v>
      </c>
      <c r="M853" s="8">
        <f t="shared" si="136"/>
        <v>1.6369566666666666</v>
      </c>
      <c r="N853" t="str">
        <f t="shared" si="137"/>
        <v>150-200%</v>
      </c>
      <c r="O853" s="9">
        <f>MIN($H853,$I853)*INDEX('2018_commission_structure'!$A$1:$I$4,MATCH($E853,'2018_commission_structure'!$A$1:$A$4,0),MATCH(O$1,'2018_commission_structure'!$A$1:$I$1,0))</f>
        <v>78000</v>
      </c>
      <c r="P853" s="9">
        <f>IF(H853&gt;I853, MIN(H853-I853, J853-I853)*INDEX('2018_commission_structure'!$A$1:$I$4,MATCH($E853,'2018_commission_structure'!$A$1:$A$4,0),MATCH(P$1,'2018_commission_structure'!$A$1:$I$1,0)),0)</f>
        <v>25500.000000000004</v>
      </c>
      <c r="Q853" s="9">
        <f>IF($H853&gt;J853, MIN($H853-J853, K853-J853)*INDEX('2018_commission_structure'!$A$1:$I$4,MATCH($E853,'2018_commission_structure'!$A$1:$A$4,0),MATCH(Q$1,'2018_commission_structure'!$A$1:$I$1,0)),0)</f>
        <v>31500</v>
      </c>
      <c r="R853" s="9">
        <f>IF($H853&gt;K853, MIN($H853-K853, L853-K853)*INDEX('2018_commission_structure'!$A$1:$I$4,MATCH($E853,'2018_commission_structure'!$A$1:$A$4,0),MATCH(R$1,'2018_commission_structure'!$A$1:$I$1,0)),0)</f>
        <v>21365.24</v>
      </c>
      <c r="S853" s="9">
        <f>IF(H853&gt;L853,(H853-L853)*INDEX('2018_commission_structure'!$A$1:$I$4,MATCH($E853,'2018_commission_structure'!$A$1:$A$4,0),MATCH(S$1,'2018_commission_structure'!$A$1:$I$1,0)),0)</f>
        <v>0</v>
      </c>
      <c r="T853" s="9">
        <f t="shared" si="138"/>
        <v>156365.24</v>
      </c>
      <c r="U853" s="9">
        <f t="shared" si="130"/>
        <v>223261.24</v>
      </c>
      <c r="V853" s="9">
        <f>MIN($I853,$H853)*INDEX('Key Metrics'!$E$16:$N$19,MATCH($E853,'Key Metrics'!$E$16:$E$19,0),MATCH(V$1,'Key Metrics'!$E$16:$M$16,0))</f>
        <v>90000</v>
      </c>
      <c r="W853" s="9">
        <f>IF($H853&gt;I853, MIN($H853-I853, J853-I853)*INDEX('Key Metrics'!$E$16:$N$19,MATCH($E853,'Key Metrics'!$E$16:$E$19,0),MATCH(W$1,'Key Metrics'!$E$16:$M$16,0)),0)</f>
        <v>27000</v>
      </c>
      <c r="X853" s="9">
        <f>IF($H853&gt;J853, MIN($H853-J853, K853-J853)*INDEX('Key Metrics'!$E$16:$N$19,MATCH($E853,'Key Metrics'!$E$16:$E$19,0),MATCH(X$1,'Key Metrics'!$E$16:$M$16,0)),0)</f>
        <v>37500</v>
      </c>
      <c r="Y853" s="9">
        <f>IF($H853&gt;K853, MIN($H853-K853, L853-K853)*INDEX('Key Metrics'!$E$16:$N$19,MATCH($E853,'Key Metrics'!$E$16:$E$19,0),MATCH(Y$1,'Key Metrics'!$E$16:$M$16,0)),0)</f>
        <v>24652.2</v>
      </c>
      <c r="Z853" s="9">
        <f>IF($H853&gt;L853,($H853-L853)*INDEX('Key Metrics'!$E$16:$N$19,MATCH($E853,'Key Metrics'!$E$16:$E$19,0),MATCH(Z$1,'Key Metrics'!$E$16:$M$16,0)),0)</f>
        <v>0</v>
      </c>
      <c r="AA853" s="9">
        <f t="shared" si="139"/>
        <v>179152.2</v>
      </c>
      <c r="AB853" s="9">
        <f t="shared" si="131"/>
        <v>179153.83695666667</v>
      </c>
    </row>
    <row r="854" spans="1:28" x14ac:dyDescent="0.55000000000000004">
      <c r="A854" t="str">
        <f t="shared" si="132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COUNTIF(deals_closed!$D$2:$D$20001,Calculations!B825)</f>
        <v>28</v>
      </c>
      <c r="H854" s="7">
        <f>SUMIF(deals_closed!$D:$D,Calculations!B825,deals_closed!$C:$C)</f>
        <v>982350</v>
      </c>
      <c r="I854" s="5">
        <f>VLOOKUP(E854,'2018_commission_structure'!$A$1:$I$4,9,FALSE)</f>
        <v>600000</v>
      </c>
      <c r="J854" s="9">
        <f t="shared" si="133"/>
        <v>750000</v>
      </c>
      <c r="K854" s="10">
        <f t="shared" si="134"/>
        <v>900000</v>
      </c>
      <c r="L854" s="9">
        <f t="shared" si="135"/>
        <v>1200000</v>
      </c>
      <c r="M854" s="8">
        <f t="shared" si="136"/>
        <v>1.6372500000000001</v>
      </c>
      <c r="N854" t="str">
        <f t="shared" si="137"/>
        <v>150-200%</v>
      </c>
      <c r="O854" s="9">
        <f>MIN($H854,$I854)*INDEX('2018_commission_structure'!$A$1:$I$4,MATCH($E854,'2018_commission_structure'!$A$1:$A$4,0),MATCH(O$1,'2018_commission_structure'!$A$1:$I$1,0))</f>
        <v>78000</v>
      </c>
      <c r="P854" s="9">
        <f>IF(H854&gt;I854, MIN(H854-I854, J854-I854)*INDEX('2018_commission_structure'!$A$1:$I$4,MATCH($E854,'2018_commission_structure'!$A$1:$A$4,0),MATCH(P$1,'2018_commission_structure'!$A$1:$I$1,0)),0)</f>
        <v>25500.000000000004</v>
      </c>
      <c r="Q854" s="9">
        <f>IF($H854&gt;J854, MIN($H854-J854, K854-J854)*INDEX('2018_commission_structure'!$A$1:$I$4,MATCH($E854,'2018_commission_structure'!$A$1:$A$4,0),MATCH(Q$1,'2018_commission_structure'!$A$1:$I$1,0)),0)</f>
        <v>31500</v>
      </c>
      <c r="R854" s="9">
        <f>IF($H854&gt;K854, MIN($H854-K854, L854-K854)*INDEX('2018_commission_structure'!$A$1:$I$4,MATCH($E854,'2018_commission_structure'!$A$1:$A$4,0),MATCH(R$1,'2018_commission_structure'!$A$1:$I$1,0)),0)</f>
        <v>21411</v>
      </c>
      <c r="S854" s="9">
        <f>IF(H854&gt;L854,(H854-L854)*INDEX('2018_commission_structure'!$A$1:$I$4,MATCH($E854,'2018_commission_structure'!$A$1:$A$4,0),MATCH(S$1,'2018_commission_structure'!$A$1:$I$1,0)),0)</f>
        <v>0</v>
      </c>
      <c r="T854" s="9">
        <f t="shared" si="138"/>
        <v>156411</v>
      </c>
      <c r="U854" s="9">
        <f t="shared" si="130"/>
        <v>223561</v>
      </c>
      <c r="V854" s="9">
        <f>MIN($I854,$H854)*INDEX('Key Metrics'!$E$16:$N$19,MATCH($E854,'Key Metrics'!$E$16:$E$19,0),MATCH(V$1,'Key Metrics'!$E$16:$M$16,0))</f>
        <v>90000</v>
      </c>
      <c r="W854" s="9">
        <f>IF($H854&gt;I854, MIN($H854-I854, J854-I854)*INDEX('Key Metrics'!$E$16:$N$19,MATCH($E854,'Key Metrics'!$E$16:$E$19,0),MATCH(W$1,'Key Metrics'!$E$16:$M$16,0)),0)</f>
        <v>27000</v>
      </c>
      <c r="X854" s="9">
        <f>IF($H854&gt;J854, MIN($H854-J854, K854-J854)*INDEX('Key Metrics'!$E$16:$N$19,MATCH($E854,'Key Metrics'!$E$16:$E$19,0),MATCH(X$1,'Key Metrics'!$E$16:$M$16,0)),0)</f>
        <v>37500</v>
      </c>
      <c r="Y854" s="9">
        <f>IF($H854&gt;K854, MIN($H854-K854, L854-K854)*INDEX('Key Metrics'!$E$16:$N$19,MATCH($E854,'Key Metrics'!$E$16:$E$19,0),MATCH(Y$1,'Key Metrics'!$E$16:$M$16,0)),0)</f>
        <v>24705</v>
      </c>
      <c r="Z854" s="9">
        <f>IF($H854&gt;L854,($H854-L854)*INDEX('Key Metrics'!$E$16:$N$19,MATCH($E854,'Key Metrics'!$E$16:$E$19,0),MATCH(Z$1,'Key Metrics'!$E$16:$M$16,0)),0)</f>
        <v>0</v>
      </c>
      <c r="AA854" s="9">
        <f t="shared" si="139"/>
        <v>179205</v>
      </c>
      <c r="AB854" s="9">
        <f t="shared" si="131"/>
        <v>179206.63725</v>
      </c>
    </row>
    <row r="855" spans="1:28" x14ac:dyDescent="0.55000000000000004">
      <c r="A855" t="str">
        <f t="shared" si="132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COUNTIF(deals_closed!$D$2:$D$20001,Calculations!B438)</f>
        <v>18</v>
      </c>
      <c r="H855" s="7">
        <f>SUMIF(deals_closed!$D:$D,Calculations!B438,deals_closed!$C:$C)</f>
        <v>641225</v>
      </c>
      <c r="I855" s="5">
        <f>VLOOKUP(E855,'2018_commission_structure'!$A$1:$I$4,9,FALSE)</f>
        <v>500000</v>
      </c>
      <c r="J855" s="9">
        <f t="shared" si="133"/>
        <v>625000</v>
      </c>
      <c r="K855" s="10">
        <f t="shared" si="134"/>
        <v>750000</v>
      </c>
      <c r="L855" s="9">
        <f t="shared" si="135"/>
        <v>1000000</v>
      </c>
      <c r="M855" s="8">
        <f t="shared" si="136"/>
        <v>1.2824500000000001</v>
      </c>
      <c r="N855" t="str">
        <f t="shared" si="137"/>
        <v>125-150%</v>
      </c>
      <c r="O855" s="9">
        <f>MIN($H855,$I855)*INDEX('2018_commission_structure'!$A$1:$I$4,MATCH($E855,'2018_commission_structure'!$A$1:$A$4,0),MATCH(O$1,'2018_commission_structure'!$A$1:$I$1,0))</f>
        <v>50000</v>
      </c>
      <c r="P855" s="9">
        <f>IF(H855&gt;I855, MIN(H855-I855, J855-I855)*INDEX('2018_commission_structure'!$A$1:$I$4,MATCH($E855,'2018_commission_structure'!$A$1:$A$4,0),MATCH(P$1,'2018_commission_structure'!$A$1:$I$1,0)),0)</f>
        <v>18750</v>
      </c>
      <c r="Q855" s="9">
        <f>IF($H855&gt;J855, MIN($H855-J855, K855-J855)*INDEX('2018_commission_structure'!$A$1:$I$4,MATCH($E855,'2018_commission_structure'!$A$1:$A$4,0),MATCH(Q$1,'2018_commission_structure'!$A$1:$I$1,0)),0)</f>
        <v>2920.5</v>
      </c>
      <c r="R855" s="9">
        <f>IF($H855&gt;K855, MIN($H855-K855, L855-K855)*INDEX('2018_commission_structure'!$A$1:$I$4,MATCH($E855,'2018_commission_structure'!$A$1:$A$4,0),MATCH(R$1,'2018_commission_structure'!$A$1:$I$1,0)),0)</f>
        <v>0</v>
      </c>
      <c r="S855" s="9">
        <f>IF(H855&gt;L855,(H855-L855)*INDEX('2018_commission_structure'!$A$1:$I$4,MATCH($E855,'2018_commission_structure'!$A$1:$A$4,0),MATCH(S$1,'2018_commission_structure'!$A$1:$I$1,0)),0)</f>
        <v>0</v>
      </c>
      <c r="T855" s="9">
        <f t="shared" si="138"/>
        <v>71670.5</v>
      </c>
      <c r="U855" s="9">
        <f t="shared" si="130"/>
        <v>115339.5</v>
      </c>
      <c r="V855" s="9">
        <f>MIN($I855,$H855)*INDEX('Key Metrics'!$E$16:$N$19,MATCH($E855,'Key Metrics'!$E$16:$E$19,0),MATCH(V$1,'Key Metrics'!$E$16:$M$16,0))</f>
        <v>60000</v>
      </c>
      <c r="W855" s="9">
        <f>IF($H855&gt;I855, MIN($H855-I855, J855-I855)*INDEX('Key Metrics'!$E$16:$N$19,MATCH($E855,'Key Metrics'!$E$16:$E$19,0),MATCH(W$1,'Key Metrics'!$E$16:$M$16,0)),0)</f>
        <v>21250</v>
      </c>
      <c r="X855" s="9">
        <f>IF($H855&gt;J855, MIN($H855-J855, K855-J855)*INDEX('Key Metrics'!$E$16:$N$19,MATCH($E855,'Key Metrics'!$E$16:$E$19,0),MATCH(X$1,'Key Metrics'!$E$16:$M$16,0)),0)</f>
        <v>3245</v>
      </c>
      <c r="Y855" s="9">
        <f>IF($H855&gt;K855, MIN($H855-K855, L855-K855)*INDEX('Key Metrics'!$E$16:$N$19,MATCH($E855,'Key Metrics'!$E$16:$E$19,0),MATCH(Y$1,'Key Metrics'!$E$16:$M$16,0)),0)</f>
        <v>0</v>
      </c>
      <c r="Z855" s="9">
        <f>IF($H855&gt;L855,($H855-L855)*INDEX('Key Metrics'!$E$16:$N$19,MATCH($E855,'Key Metrics'!$E$16:$E$19,0),MATCH(Z$1,'Key Metrics'!$E$16:$M$16,0)),0)</f>
        <v>0</v>
      </c>
      <c r="AA855" s="9">
        <f t="shared" si="139"/>
        <v>84495</v>
      </c>
      <c r="AB855" s="9">
        <f t="shared" si="131"/>
        <v>84496.282449999999</v>
      </c>
    </row>
    <row r="856" spans="1:28" x14ac:dyDescent="0.55000000000000004">
      <c r="A856" t="str">
        <f t="shared" si="132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COUNTIF(deals_closed!$D$2:$D$20001,Calculations!B969)</f>
        <v>19</v>
      </c>
      <c r="H856" s="7">
        <f>SUMIF(deals_closed!$D:$D,Calculations!B969,deals_closed!$C:$C)</f>
        <v>584366</v>
      </c>
      <c r="I856" s="5">
        <f>VLOOKUP(E856,'2018_commission_structure'!$A$1:$I$4,9,FALSE)</f>
        <v>500000</v>
      </c>
      <c r="J856" s="9">
        <f t="shared" si="133"/>
        <v>625000</v>
      </c>
      <c r="K856" s="10">
        <f t="shared" si="134"/>
        <v>750000</v>
      </c>
      <c r="L856" s="9">
        <f t="shared" si="135"/>
        <v>1000000</v>
      </c>
      <c r="M856" s="8">
        <f t="shared" si="136"/>
        <v>1.1687320000000001</v>
      </c>
      <c r="N856" t="str">
        <f t="shared" si="137"/>
        <v>100-125%</v>
      </c>
      <c r="O856" s="9">
        <f>MIN($H856,$I856)*INDEX('2018_commission_structure'!$A$1:$I$4,MATCH($E856,'2018_commission_structure'!$A$1:$A$4,0),MATCH(O$1,'2018_commission_structure'!$A$1:$I$1,0))</f>
        <v>50000</v>
      </c>
      <c r="P856" s="9">
        <f>IF(H856&gt;I856, MIN(H856-I856, J856-I856)*INDEX('2018_commission_structure'!$A$1:$I$4,MATCH($E856,'2018_commission_structure'!$A$1:$A$4,0),MATCH(P$1,'2018_commission_structure'!$A$1:$I$1,0)),0)</f>
        <v>12654.9</v>
      </c>
      <c r="Q856" s="9">
        <f>IF($H856&gt;J856, MIN($H856-J856, K856-J856)*INDEX('2018_commission_structure'!$A$1:$I$4,MATCH($E856,'2018_commission_structure'!$A$1:$A$4,0),MATCH(Q$1,'2018_commission_structure'!$A$1:$I$1,0)),0)</f>
        <v>0</v>
      </c>
      <c r="R856" s="9">
        <f>IF($H856&gt;K856, MIN($H856-K856, L856-K856)*INDEX('2018_commission_structure'!$A$1:$I$4,MATCH($E856,'2018_commission_structure'!$A$1:$A$4,0),MATCH(R$1,'2018_commission_structure'!$A$1:$I$1,0)),0)</f>
        <v>0</v>
      </c>
      <c r="S856" s="9">
        <f>IF(H856&gt;L856,(H856-L856)*INDEX('2018_commission_structure'!$A$1:$I$4,MATCH($E856,'2018_commission_structure'!$A$1:$A$4,0),MATCH(S$1,'2018_commission_structure'!$A$1:$I$1,0)),0)</f>
        <v>0</v>
      </c>
      <c r="T856" s="9">
        <f t="shared" si="138"/>
        <v>62654.9</v>
      </c>
      <c r="U856" s="9">
        <f t="shared" si="130"/>
        <v>97415.9</v>
      </c>
      <c r="V856" s="9">
        <f>MIN($I856,$H856)*INDEX('Key Metrics'!$E$16:$N$19,MATCH($E856,'Key Metrics'!$E$16:$E$19,0),MATCH(V$1,'Key Metrics'!$E$16:$M$16,0))</f>
        <v>60000</v>
      </c>
      <c r="W856" s="9">
        <f>IF($H856&gt;I856, MIN($H856-I856, J856-I856)*INDEX('Key Metrics'!$E$16:$N$19,MATCH($E856,'Key Metrics'!$E$16:$E$19,0),MATCH(W$1,'Key Metrics'!$E$16:$M$16,0)),0)</f>
        <v>14342.220000000001</v>
      </c>
      <c r="X856" s="9">
        <f>IF($H856&gt;J856, MIN($H856-J856, K856-J856)*INDEX('Key Metrics'!$E$16:$N$19,MATCH($E856,'Key Metrics'!$E$16:$E$19,0),MATCH(X$1,'Key Metrics'!$E$16:$M$16,0)),0)</f>
        <v>0</v>
      </c>
      <c r="Y856" s="9">
        <f>IF($H856&gt;K856, MIN($H856-K856, L856-K856)*INDEX('Key Metrics'!$E$16:$N$19,MATCH($E856,'Key Metrics'!$E$16:$E$19,0),MATCH(Y$1,'Key Metrics'!$E$16:$M$16,0)),0)</f>
        <v>0</v>
      </c>
      <c r="Z856" s="9">
        <f>IF($H856&gt;L856,($H856-L856)*INDEX('Key Metrics'!$E$16:$N$19,MATCH($E856,'Key Metrics'!$E$16:$E$19,0),MATCH(Z$1,'Key Metrics'!$E$16:$M$16,0)),0)</f>
        <v>0</v>
      </c>
      <c r="AA856" s="9">
        <f t="shared" si="139"/>
        <v>74342.22</v>
      </c>
      <c r="AB856" s="9">
        <f t="shared" si="131"/>
        <v>74343.388732000007</v>
      </c>
    </row>
    <row r="857" spans="1:28" x14ac:dyDescent="0.55000000000000004">
      <c r="A857" t="str">
        <f t="shared" si="132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COUNTIF(deals_closed!$D$2:$D$20001,Calculations!B399)</f>
        <v>20</v>
      </c>
      <c r="H857" s="7">
        <f>SUMIF(deals_closed!$D:$D,Calculations!B399,deals_closed!$C:$C)</f>
        <v>659415</v>
      </c>
      <c r="I857" s="5">
        <f>VLOOKUP(E857,'2018_commission_structure'!$A$1:$I$4,9,FALSE)</f>
        <v>600000</v>
      </c>
      <c r="J857" s="9">
        <f t="shared" si="133"/>
        <v>750000</v>
      </c>
      <c r="K857" s="10">
        <f t="shared" si="134"/>
        <v>900000</v>
      </c>
      <c r="L857" s="9">
        <f t="shared" si="135"/>
        <v>1200000</v>
      </c>
      <c r="M857" s="8">
        <f t="shared" si="136"/>
        <v>1.0990249999999999</v>
      </c>
      <c r="N857" t="str">
        <f t="shared" si="137"/>
        <v>100-125%</v>
      </c>
      <c r="O857" s="9">
        <f>MIN($H857,$I857)*INDEX('2018_commission_structure'!$A$1:$I$4,MATCH($E857,'2018_commission_structure'!$A$1:$A$4,0),MATCH(O$1,'2018_commission_structure'!$A$1:$I$1,0))</f>
        <v>78000</v>
      </c>
      <c r="P857" s="9">
        <f>IF(H857&gt;I857, MIN(H857-I857, J857-I857)*INDEX('2018_commission_structure'!$A$1:$I$4,MATCH($E857,'2018_commission_structure'!$A$1:$A$4,0),MATCH(P$1,'2018_commission_structure'!$A$1:$I$1,0)),0)</f>
        <v>10100.550000000001</v>
      </c>
      <c r="Q857" s="9">
        <f>IF($H857&gt;J857, MIN($H857-J857, K857-J857)*INDEX('2018_commission_structure'!$A$1:$I$4,MATCH($E857,'2018_commission_structure'!$A$1:$A$4,0),MATCH(Q$1,'2018_commission_structure'!$A$1:$I$1,0)),0)</f>
        <v>0</v>
      </c>
      <c r="R857" s="9">
        <f>IF($H857&gt;K857, MIN($H857-K857, L857-K857)*INDEX('2018_commission_structure'!$A$1:$I$4,MATCH($E857,'2018_commission_structure'!$A$1:$A$4,0),MATCH(R$1,'2018_commission_structure'!$A$1:$I$1,0)),0)</f>
        <v>0</v>
      </c>
      <c r="S857" s="9">
        <f>IF(H857&gt;L857,(H857-L857)*INDEX('2018_commission_structure'!$A$1:$I$4,MATCH($E857,'2018_commission_structure'!$A$1:$A$4,0),MATCH(S$1,'2018_commission_structure'!$A$1:$I$1,0)),0)</f>
        <v>0</v>
      </c>
      <c r="T857" s="9">
        <f t="shared" si="138"/>
        <v>88100.55</v>
      </c>
      <c r="U857" s="9">
        <f t="shared" si="130"/>
        <v>142446.54999999999</v>
      </c>
      <c r="V857" s="9">
        <f>MIN($I857,$H857)*INDEX('Key Metrics'!$E$16:$N$19,MATCH($E857,'Key Metrics'!$E$16:$E$19,0),MATCH(V$1,'Key Metrics'!$E$16:$M$16,0))</f>
        <v>90000</v>
      </c>
      <c r="W857" s="9">
        <f>IF($H857&gt;I857, MIN($H857-I857, J857-I857)*INDEX('Key Metrics'!$E$16:$N$19,MATCH($E857,'Key Metrics'!$E$16:$E$19,0),MATCH(W$1,'Key Metrics'!$E$16:$M$16,0)),0)</f>
        <v>10694.699999999999</v>
      </c>
      <c r="X857" s="9">
        <f>IF($H857&gt;J857, MIN($H857-J857, K857-J857)*INDEX('Key Metrics'!$E$16:$N$19,MATCH($E857,'Key Metrics'!$E$16:$E$19,0),MATCH(X$1,'Key Metrics'!$E$16:$M$16,0)),0)</f>
        <v>0</v>
      </c>
      <c r="Y857" s="9">
        <f>IF($H857&gt;K857, MIN($H857-K857, L857-K857)*INDEX('Key Metrics'!$E$16:$N$19,MATCH($E857,'Key Metrics'!$E$16:$E$19,0),MATCH(Y$1,'Key Metrics'!$E$16:$M$16,0)),0)</f>
        <v>0</v>
      </c>
      <c r="Z857" s="9">
        <f>IF($H857&gt;L857,($H857-L857)*INDEX('Key Metrics'!$E$16:$N$19,MATCH($E857,'Key Metrics'!$E$16:$E$19,0),MATCH(Z$1,'Key Metrics'!$E$16:$M$16,0)),0)</f>
        <v>0</v>
      </c>
      <c r="AA857" s="9">
        <f t="shared" si="139"/>
        <v>100694.7</v>
      </c>
      <c r="AB857" s="9">
        <f t="shared" si="131"/>
        <v>100695.799025</v>
      </c>
    </row>
    <row r="858" spans="1:28" x14ac:dyDescent="0.55000000000000004">
      <c r="A858" t="str">
        <f t="shared" si="132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COUNTIF(deals_closed!$D$2:$D$20001,Calculations!B631)</f>
        <v>22</v>
      </c>
      <c r="H858" s="7">
        <f>SUMIF(deals_closed!$D:$D,Calculations!B631,deals_closed!$C:$C)</f>
        <v>794444</v>
      </c>
      <c r="I858" s="5">
        <f>VLOOKUP(E858,'2018_commission_structure'!$A$1:$I$4,9,FALSE)</f>
        <v>500000</v>
      </c>
      <c r="J858" s="9">
        <f t="shared" si="133"/>
        <v>625000</v>
      </c>
      <c r="K858" s="10">
        <f t="shared" si="134"/>
        <v>750000</v>
      </c>
      <c r="L858" s="9">
        <f t="shared" si="135"/>
        <v>1000000</v>
      </c>
      <c r="M858" s="8">
        <f t="shared" si="136"/>
        <v>1.5888880000000001</v>
      </c>
      <c r="N858" t="str">
        <f t="shared" si="137"/>
        <v>150-200%</v>
      </c>
      <c r="O858" s="9">
        <f>MIN($H858,$I858)*INDEX('2018_commission_structure'!$A$1:$I$4,MATCH($E858,'2018_commission_structure'!$A$1:$A$4,0),MATCH(O$1,'2018_commission_structure'!$A$1:$I$1,0))</f>
        <v>50000</v>
      </c>
      <c r="P858" s="9">
        <f>IF(H858&gt;I858, MIN(H858-I858, J858-I858)*INDEX('2018_commission_structure'!$A$1:$I$4,MATCH($E858,'2018_commission_structure'!$A$1:$A$4,0),MATCH(P$1,'2018_commission_structure'!$A$1:$I$1,0)),0)</f>
        <v>18750</v>
      </c>
      <c r="Q858" s="9">
        <f>IF($H858&gt;J858, MIN($H858-J858, K858-J858)*INDEX('2018_commission_structure'!$A$1:$I$4,MATCH($E858,'2018_commission_structure'!$A$1:$A$4,0),MATCH(Q$1,'2018_commission_structure'!$A$1:$I$1,0)),0)</f>
        <v>22500</v>
      </c>
      <c r="R858" s="9">
        <f>IF($H858&gt;K858, MIN($H858-K858, L858-K858)*INDEX('2018_commission_structure'!$A$1:$I$4,MATCH($E858,'2018_commission_structure'!$A$1:$A$4,0),MATCH(R$1,'2018_commission_structure'!$A$1:$I$1,0)),0)</f>
        <v>9777.68</v>
      </c>
      <c r="S858" s="9">
        <f>IF(H858&gt;L858,(H858-L858)*INDEX('2018_commission_structure'!$A$1:$I$4,MATCH($E858,'2018_commission_structure'!$A$1:$A$4,0),MATCH(S$1,'2018_commission_structure'!$A$1:$I$1,0)),0)</f>
        <v>0</v>
      </c>
      <c r="T858" s="9">
        <f t="shared" si="138"/>
        <v>101027.68</v>
      </c>
      <c r="U858" s="9">
        <f t="shared" si="130"/>
        <v>163859.68</v>
      </c>
      <c r="V858" s="9">
        <f>MIN($I858,$H858)*INDEX('Key Metrics'!$E$16:$N$19,MATCH($E858,'Key Metrics'!$E$16:$E$19,0),MATCH(V$1,'Key Metrics'!$E$16:$M$16,0))</f>
        <v>60000</v>
      </c>
      <c r="W858" s="9">
        <f>IF($H858&gt;I858, MIN($H858-I858, J858-I858)*INDEX('Key Metrics'!$E$16:$N$19,MATCH($E858,'Key Metrics'!$E$16:$E$19,0),MATCH(W$1,'Key Metrics'!$E$16:$M$16,0)),0)</f>
        <v>21250</v>
      </c>
      <c r="X858" s="9">
        <f>IF($H858&gt;J858, MIN($H858-J858, K858-J858)*INDEX('Key Metrics'!$E$16:$N$19,MATCH($E858,'Key Metrics'!$E$16:$E$19,0),MATCH(X$1,'Key Metrics'!$E$16:$M$16,0)),0)</f>
        <v>25000</v>
      </c>
      <c r="Y858" s="9">
        <f>IF($H858&gt;K858, MIN($H858-K858, L858-K858)*INDEX('Key Metrics'!$E$16:$N$19,MATCH($E858,'Key Metrics'!$E$16:$E$19,0),MATCH(Y$1,'Key Metrics'!$E$16:$M$16,0)),0)</f>
        <v>9777.68</v>
      </c>
      <c r="Z858" s="9">
        <f>IF($H858&gt;L858,($H858-L858)*INDEX('Key Metrics'!$E$16:$N$19,MATCH($E858,'Key Metrics'!$E$16:$E$19,0),MATCH(Z$1,'Key Metrics'!$E$16:$M$16,0)),0)</f>
        <v>0</v>
      </c>
      <c r="AA858" s="9">
        <f t="shared" si="139"/>
        <v>116027.68</v>
      </c>
      <c r="AB858" s="9">
        <f t="shared" si="131"/>
        <v>116029.26888799999</v>
      </c>
    </row>
    <row r="859" spans="1:28" x14ac:dyDescent="0.55000000000000004">
      <c r="A859" t="str">
        <f t="shared" si="132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COUNTIF(deals_closed!$D$2:$D$20001,Calculations!B956)</f>
        <v>21</v>
      </c>
      <c r="H859" s="7">
        <f>SUMIF(deals_closed!$D:$D,Calculations!B956,deals_closed!$C:$C)</f>
        <v>702109</v>
      </c>
      <c r="I859" s="5">
        <f>VLOOKUP(E859,'2018_commission_structure'!$A$1:$I$4,9,FALSE)</f>
        <v>600000</v>
      </c>
      <c r="J859" s="9">
        <f t="shared" si="133"/>
        <v>750000</v>
      </c>
      <c r="K859" s="10">
        <f t="shared" si="134"/>
        <v>900000</v>
      </c>
      <c r="L859" s="9">
        <f t="shared" si="135"/>
        <v>1200000</v>
      </c>
      <c r="M859" s="8">
        <f t="shared" si="136"/>
        <v>1.1701816666666667</v>
      </c>
      <c r="N859" t="str">
        <f t="shared" si="137"/>
        <v>100-125%</v>
      </c>
      <c r="O859" s="9">
        <f>MIN($H859,$I859)*INDEX('2018_commission_structure'!$A$1:$I$4,MATCH($E859,'2018_commission_structure'!$A$1:$A$4,0),MATCH(O$1,'2018_commission_structure'!$A$1:$I$1,0))</f>
        <v>78000</v>
      </c>
      <c r="P859" s="9">
        <f>IF(H859&gt;I859, MIN(H859-I859, J859-I859)*INDEX('2018_commission_structure'!$A$1:$I$4,MATCH($E859,'2018_commission_structure'!$A$1:$A$4,0),MATCH(P$1,'2018_commission_structure'!$A$1:$I$1,0)),0)</f>
        <v>17358.530000000002</v>
      </c>
      <c r="Q859" s="9">
        <f>IF($H859&gt;J859, MIN($H859-J859, K859-J859)*INDEX('2018_commission_structure'!$A$1:$I$4,MATCH($E859,'2018_commission_structure'!$A$1:$A$4,0),MATCH(Q$1,'2018_commission_structure'!$A$1:$I$1,0)),0)</f>
        <v>0</v>
      </c>
      <c r="R859" s="9">
        <f>IF($H859&gt;K859, MIN($H859-K859, L859-K859)*INDEX('2018_commission_structure'!$A$1:$I$4,MATCH($E859,'2018_commission_structure'!$A$1:$A$4,0),MATCH(R$1,'2018_commission_structure'!$A$1:$I$1,0)),0)</f>
        <v>0</v>
      </c>
      <c r="S859" s="9">
        <f>IF(H859&gt;L859,(H859-L859)*INDEX('2018_commission_structure'!$A$1:$I$4,MATCH($E859,'2018_commission_structure'!$A$1:$A$4,0),MATCH(S$1,'2018_commission_structure'!$A$1:$I$1,0)),0)</f>
        <v>0</v>
      </c>
      <c r="T859" s="9">
        <f t="shared" si="138"/>
        <v>95358.53</v>
      </c>
      <c r="U859" s="9">
        <f t="shared" si="130"/>
        <v>164834.53</v>
      </c>
      <c r="V859" s="9">
        <f>MIN($I859,$H859)*INDEX('Key Metrics'!$E$16:$N$19,MATCH($E859,'Key Metrics'!$E$16:$E$19,0),MATCH(V$1,'Key Metrics'!$E$16:$M$16,0))</f>
        <v>90000</v>
      </c>
      <c r="W859" s="9">
        <f>IF($H859&gt;I859, MIN($H859-I859, J859-I859)*INDEX('Key Metrics'!$E$16:$N$19,MATCH($E859,'Key Metrics'!$E$16:$E$19,0),MATCH(W$1,'Key Metrics'!$E$16:$M$16,0)),0)</f>
        <v>18379.62</v>
      </c>
      <c r="X859" s="9">
        <f>IF($H859&gt;J859, MIN($H859-J859, K859-J859)*INDEX('Key Metrics'!$E$16:$N$19,MATCH($E859,'Key Metrics'!$E$16:$E$19,0),MATCH(X$1,'Key Metrics'!$E$16:$M$16,0)),0)</f>
        <v>0</v>
      </c>
      <c r="Y859" s="9">
        <f>IF($H859&gt;K859, MIN($H859-K859, L859-K859)*INDEX('Key Metrics'!$E$16:$N$19,MATCH($E859,'Key Metrics'!$E$16:$E$19,0),MATCH(Y$1,'Key Metrics'!$E$16:$M$16,0)),0)</f>
        <v>0</v>
      </c>
      <c r="Z859" s="9">
        <f>IF($H859&gt;L859,($H859-L859)*INDEX('Key Metrics'!$E$16:$N$19,MATCH($E859,'Key Metrics'!$E$16:$E$19,0),MATCH(Z$1,'Key Metrics'!$E$16:$M$16,0)),0)</f>
        <v>0</v>
      </c>
      <c r="AA859" s="9">
        <f t="shared" si="139"/>
        <v>108379.62</v>
      </c>
      <c r="AB859" s="9">
        <f t="shared" si="131"/>
        <v>108380.79018166666</v>
      </c>
    </row>
    <row r="860" spans="1:28" x14ac:dyDescent="0.55000000000000004">
      <c r="A860" t="str">
        <f t="shared" si="132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COUNTIF(deals_closed!$D$2:$D$20001,Calculations!B782)</f>
        <v>20</v>
      </c>
      <c r="H860" s="7">
        <f>SUMIF(deals_closed!$D:$D,Calculations!B782,deals_closed!$C:$C)</f>
        <v>638419</v>
      </c>
      <c r="I860" s="5">
        <f>VLOOKUP(E860,'2018_commission_structure'!$A$1:$I$4,9,FALSE)</f>
        <v>600000</v>
      </c>
      <c r="J860" s="9">
        <f t="shared" si="133"/>
        <v>750000</v>
      </c>
      <c r="K860" s="10">
        <f t="shared" si="134"/>
        <v>900000</v>
      </c>
      <c r="L860" s="9">
        <f t="shared" si="135"/>
        <v>1200000</v>
      </c>
      <c r="M860" s="8">
        <f t="shared" si="136"/>
        <v>1.0640316666666667</v>
      </c>
      <c r="N860" t="str">
        <f t="shared" si="137"/>
        <v>100-125%</v>
      </c>
      <c r="O860" s="9">
        <f>MIN($H860,$I860)*INDEX('2018_commission_structure'!$A$1:$I$4,MATCH($E860,'2018_commission_structure'!$A$1:$A$4,0),MATCH(O$1,'2018_commission_structure'!$A$1:$I$1,0))</f>
        <v>78000</v>
      </c>
      <c r="P860" s="9">
        <f>IF(H860&gt;I860, MIN(H860-I860, J860-I860)*INDEX('2018_commission_structure'!$A$1:$I$4,MATCH($E860,'2018_commission_structure'!$A$1:$A$4,0),MATCH(P$1,'2018_commission_structure'!$A$1:$I$1,0)),0)</f>
        <v>6531.2300000000005</v>
      </c>
      <c r="Q860" s="9">
        <f>IF($H860&gt;J860, MIN($H860-J860, K860-J860)*INDEX('2018_commission_structure'!$A$1:$I$4,MATCH($E860,'2018_commission_structure'!$A$1:$A$4,0),MATCH(Q$1,'2018_commission_structure'!$A$1:$I$1,0)),0)</f>
        <v>0</v>
      </c>
      <c r="R860" s="9">
        <f>IF($H860&gt;K860, MIN($H860-K860, L860-K860)*INDEX('2018_commission_structure'!$A$1:$I$4,MATCH($E860,'2018_commission_structure'!$A$1:$A$4,0),MATCH(R$1,'2018_commission_structure'!$A$1:$I$1,0)),0)</f>
        <v>0</v>
      </c>
      <c r="S860" s="9">
        <f>IF(H860&gt;L860,(H860-L860)*INDEX('2018_commission_structure'!$A$1:$I$4,MATCH($E860,'2018_commission_structure'!$A$1:$A$4,0),MATCH(S$1,'2018_commission_structure'!$A$1:$I$1,0)),0)</f>
        <v>0</v>
      </c>
      <c r="T860" s="9">
        <f t="shared" si="138"/>
        <v>84531.23</v>
      </c>
      <c r="U860" s="9">
        <f t="shared" si="130"/>
        <v>159180.22999999998</v>
      </c>
      <c r="V860" s="9">
        <f>MIN($I860,$H860)*INDEX('Key Metrics'!$E$16:$N$19,MATCH($E860,'Key Metrics'!$E$16:$E$19,0),MATCH(V$1,'Key Metrics'!$E$16:$M$16,0))</f>
        <v>90000</v>
      </c>
      <c r="W860" s="9">
        <f>IF($H860&gt;I860, MIN($H860-I860, J860-I860)*INDEX('Key Metrics'!$E$16:$N$19,MATCH($E860,'Key Metrics'!$E$16:$E$19,0),MATCH(W$1,'Key Metrics'!$E$16:$M$16,0)),0)</f>
        <v>6915.42</v>
      </c>
      <c r="X860" s="9">
        <f>IF($H860&gt;J860, MIN($H860-J860, K860-J860)*INDEX('Key Metrics'!$E$16:$N$19,MATCH($E860,'Key Metrics'!$E$16:$E$19,0),MATCH(X$1,'Key Metrics'!$E$16:$M$16,0)),0)</f>
        <v>0</v>
      </c>
      <c r="Y860" s="9">
        <f>IF($H860&gt;K860, MIN($H860-K860, L860-K860)*INDEX('Key Metrics'!$E$16:$N$19,MATCH($E860,'Key Metrics'!$E$16:$E$19,0),MATCH(Y$1,'Key Metrics'!$E$16:$M$16,0)),0)</f>
        <v>0</v>
      </c>
      <c r="Z860" s="9">
        <f>IF($H860&gt;L860,($H860-L860)*INDEX('Key Metrics'!$E$16:$N$19,MATCH($E860,'Key Metrics'!$E$16:$E$19,0),MATCH(Z$1,'Key Metrics'!$E$16:$M$16,0)),0)</f>
        <v>0</v>
      </c>
      <c r="AA860" s="9">
        <f t="shared" si="139"/>
        <v>96915.42</v>
      </c>
      <c r="AB860" s="9">
        <f t="shared" si="131"/>
        <v>96916.484031666667</v>
      </c>
    </row>
    <row r="861" spans="1:28" x14ac:dyDescent="0.55000000000000004">
      <c r="A861" t="str">
        <f t="shared" si="132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COUNTIF(deals_closed!$D$2:$D$20001,Calculations!B453)</f>
        <v>17</v>
      </c>
      <c r="H861" s="7">
        <f>SUMIF(deals_closed!$D:$D,Calculations!B453,deals_closed!$C:$C)</f>
        <v>647443</v>
      </c>
      <c r="I861" s="5">
        <f>VLOOKUP(E861,'2018_commission_structure'!$A$1:$I$4,9,FALSE)</f>
        <v>500000</v>
      </c>
      <c r="J861" s="9">
        <f t="shared" si="133"/>
        <v>625000</v>
      </c>
      <c r="K861" s="10">
        <f t="shared" si="134"/>
        <v>750000</v>
      </c>
      <c r="L861" s="9">
        <f t="shared" si="135"/>
        <v>1000000</v>
      </c>
      <c r="M861" s="8">
        <f t="shared" si="136"/>
        <v>1.294886</v>
      </c>
      <c r="N861" t="str">
        <f t="shared" si="137"/>
        <v>125-150%</v>
      </c>
      <c r="O861" s="9">
        <f>MIN($H861,$I861)*INDEX('2018_commission_structure'!$A$1:$I$4,MATCH($E861,'2018_commission_structure'!$A$1:$A$4,0),MATCH(O$1,'2018_commission_structure'!$A$1:$I$1,0))</f>
        <v>50000</v>
      </c>
      <c r="P861" s="9">
        <f>IF(H861&gt;I861, MIN(H861-I861, J861-I861)*INDEX('2018_commission_structure'!$A$1:$I$4,MATCH($E861,'2018_commission_structure'!$A$1:$A$4,0),MATCH(P$1,'2018_commission_structure'!$A$1:$I$1,0)),0)</f>
        <v>18750</v>
      </c>
      <c r="Q861" s="9">
        <f>IF($H861&gt;J861, MIN($H861-J861, K861-J861)*INDEX('2018_commission_structure'!$A$1:$I$4,MATCH($E861,'2018_commission_structure'!$A$1:$A$4,0),MATCH(Q$1,'2018_commission_structure'!$A$1:$I$1,0)),0)</f>
        <v>4039.74</v>
      </c>
      <c r="R861" s="9">
        <f>IF($H861&gt;K861, MIN($H861-K861, L861-K861)*INDEX('2018_commission_structure'!$A$1:$I$4,MATCH($E861,'2018_commission_structure'!$A$1:$A$4,0),MATCH(R$1,'2018_commission_structure'!$A$1:$I$1,0)),0)</f>
        <v>0</v>
      </c>
      <c r="S861" s="9">
        <f>IF(H861&gt;L861,(H861-L861)*INDEX('2018_commission_structure'!$A$1:$I$4,MATCH($E861,'2018_commission_structure'!$A$1:$A$4,0),MATCH(S$1,'2018_commission_structure'!$A$1:$I$1,0)),0)</f>
        <v>0</v>
      </c>
      <c r="T861" s="9">
        <f t="shared" si="138"/>
        <v>72789.740000000005</v>
      </c>
      <c r="U861" s="9">
        <f t="shared" si="130"/>
        <v>127488.74</v>
      </c>
      <c r="V861" s="9">
        <f>MIN($I861,$H861)*INDEX('Key Metrics'!$E$16:$N$19,MATCH($E861,'Key Metrics'!$E$16:$E$19,0),MATCH(V$1,'Key Metrics'!$E$16:$M$16,0))</f>
        <v>60000</v>
      </c>
      <c r="W861" s="9">
        <f>IF($H861&gt;I861, MIN($H861-I861, J861-I861)*INDEX('Key Metrics'!$E$16:$N$19,MATCH($E861,'Key Metrics'!$E$16:$E$19,0),MATCH(W$1,'Key Metrics'!$E$16:$M$16,0)),0)</f>
        <v>21250</v>
      </c>
      <c r="X861" s="9">
        <f>IF($H861&gt;J861, MIN($H861-J861, K861-J861)*INDEX('Key Metrics'!$E$16:$N$19,MATCH($E861,'Key Metrics'!$E$16:$E$19,0),MATCH(X$1,'Key Metrics'!$E$16:$M$16,0)),0)</f>
        <v>4488.6000000000004</v>
      </c>
      <c r="Y861" s="9">
        <f>IF($H861&gt;K861, MIN($H861-K861, L861-K861)*INDEX('Key Metrics'!$E$16:$N$19,MATCH($E861,'Key Metrics'!$E$16:$E$19,0),MATCH(Y$1,'Key Metrics'!$E$16:$M$16,0)),0)</f>
        <v>0</v>
      </c>
      <c r="Z861" s="9">
        <f>IF($H861&gt;L861,($H861-L861)*INDEX('Key Metrics'!$E$16:$N$19,MATCH($E861,'Key Metrics'!$E$16:$E$19,0),MATCH(Z$1,'Key Metrics'!$E$16:$M$16,0)),0)</f>
        <v>0</v>
      </c>
      <c r="AA861" s="9">
        <f t="shared" si="139"/>
        <v>85738.6</v>
      </c>
      <c r="AB861" s="9">
        <f t="shared" si="131"/>
        <v>85739.894886000009</v>
      </c>
    </row>
    <row r="862" spans="1:28" x14ac:dyDescent="0.55000000000000004">
      <c r="A862" t="str">
        <f t="shared" si="132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COUNTIF(deals_closed!$D$2:$D$20001,Calculations!B829)</f>
        <v>26</v>
      </c>
      <c r="H862" s="7">
        <f>SUMIF(deals_closed!$D:$D,Calculations!B829,deals_closed!$C:$C)</f>
        <v>921445</v>
      </c>
      <c r="I862" s="5">
        <f>VLOOKUP(E862,'2018_commission_structure'!$A$1:$I$4,9,FALSE)</f>
        <v>750000</v>
      </c>
      <c r="J862" s="9">
        <f t="shared" si="133"/>
        <v>937500</v>
      </c>
      <c r="K862" s="10">
        <f t="shared" si="134"/>
        <v>1125000</v>
      </c>
      <c r="L862" s="9">
        <f t="shared" si="135"/>
        <v>1500000</v>
      </c>
      <c r="M862" s="8">
        <f t="shared" si="136"/>
        <v>1.2285933333333334</v>
      </c>
      <c r="N862" t="str">
        <f t="shared" si="137"/>
        <v>100-125%</v>
      </c>
      <c r="O862" s="9">
        <f>MIN($H862,$I862)*INDEX('2018_commission_structure'!$A$1:$I$4,MATCH($E862,'2018_commission_structure'!$A$1:$A$4,0),MATCH(O$1,'2018_commission_structure'!$A$1:$I$1,0))</f>
        <v>112500</v>
      </c>
      <c r="P862" s="9">
        <f>IF(H862&gt;I862, MIN(H862-I862, J862-I862)*INDEX('2018_commission_structure'!$A$1:$I$4,MATCH($E862,'2018_commission_structure'!$A$1:$A$4,0),MATCH(P$1,'2018_commission_structure'!$A$1:$I$1,0)),0)</f>
        <v>32574.55</v>
      </c>
      <c r="Q862" s="9">
        <f>IF($H862&gt;J862, MIN($H862-J862, K862-J862)*INDEX('2018_commission_structure'!$A$1:$I$4,MATCH($E862,'2018_commission_structure'!$A$1:$A$4,0),MATCH(Q$1,'2018_commission_structure'!$A$1:$I$1,0)),0)</f>
        <v>0</v>
      </c>
      <c r="R862" s="9">
        <f>IF($H862&gt;K862, MIN($H862-K862, L862-K862)*INDEX('2018_commission_structure'!$A$1:$I$4,MATCH($E862,'2018_commission_structure'!$A$1:$A$4,0),MATCH(R$1,'2018_commission_structure'!$A$1:$I$1,0)),0)</f>
        <v>0</v>
      </c>
      <c r="S862" s="9">
        <f>IF(H862&gt;L862,(H862-L862)*INDEX('2018_commission_structure'!$A$1:$I$4,MATCH($E862,'2018_commission_structure'!$A$1:$A$4,0),MATCH(S$1,'2018_commission_structure'!$A$1:$I$1,0)),0)</f>
        <v>0</v>
      </c>
      <c r="T862" s="9">
        <f t="shared" si="138"/>
        <v>145074.54999999999</v>
      </c>
      <c r="U862" s="9">
        <f t="shared" si="130"/>
        <v>263077.55</v>
      </c>
      <c r="V862" s="9">
        <f>MIN($I862,$H862)*INDEX('Key Metrics'!$E$16:$N$19,MATCH($E862,'Key Metrics'!$E$16:$E$19,0),MATCH(V$1,'Key Metrics'!$E$16:$M$16,0))</f>
        <v>112500</v>
      </c>
      <c r="W862" s="9">
        <f>IF($H862&gt;I862, MIN($H862-I862, J862-I862)*INDEX('Key Metrics'!$E$16:$N$19,MATCH($E862,'Key Metrics'!$E$16:$E$19,0),MATCH(W$1,'Key Metrics'!$E$16:$M$16,0)),0)</f>
        <v>37717.9</v>
      </c>
      <c r="X862" s="9">
        <f>IF($H862&gt;J862, MIN($H862-J862, K862-J862)*INDEX('Key Metrics'!$E$16:$N$19,MATCH($E862,'Key Metrics'!$E$16:$E$19,0),MATCH(X$1,'Key Metrics'!$E$16:$M$16,0)),0)</f>
        <v>0</v>
      </c>
      <c r="Y862" s="9">
        <f>IF($H862&gt;K862, MIN($H862-K862, L862-K862)*INDEX('Key Metrics'!$E$16:$N$19,MATCH($E862,'Key Metrics'!$E$16:$E$19,0),MATCH(Y$1,'Key Metrics'!$E$16:$M$16,0)),0)</f>
        <v>0</v>
      </c>
      <c r="Z862" s="9">
        <f>IF($H862&gt;L862,($H862-L862)*INDEX('Key Metrics'!$E$16:$N$19,MATCH($E862,'Key Metrics'!$E$16:$E$19,0),MATCH(Z$1,'Key Metrics'!$E$16:$M$16,0)),0)</f>
        <v>0</v>
      </c>
      <c r="AA862" s="9">
        <f t="shared" si="139"/>
        <v>150217.9</v>
      </c>
      <c r="AB862" s="9">
        <f t="shared" si="131"/>
        <v>150219.12859333333</v>
      </c>
    </row>
    <row r="863" spans="1:28" x14ac:dyDescent="0.55000000000000004">
      <c r="A863" t="str">
        <f t="shared" si="132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COUNTIF(deals_closed!$D$2:$D$20001,Calculations!B815)</f>
        <v>19</v>
      </c>
      <c r="H863" s="7">
        <f>SUMIF(deals_closed!$D:$D,Calculations!B815,deals_closed!$C:$C)</f>
        <v>700830</v>
      </c>
      <c r="I863" s="5">
        <f>VLOOKUP(E863,'2018_commission_structure'!$A$1:$I$4,9,FALSE)</f>
        <v>750000</v>
      </c>
      <c r="J863" s="9">
        <f t="shared" si="133"/>
        <v>937500</v>
      </c>
      <c r="K863" s="10">
        <f t="shared" si="134"/>
        <v>1125000</v>
      </c>
      <c r="L863" s="9">
        <f t="shared" si="135"/>
        <v>1500000</v>
      </c>
      <c r="M863" s="8">
        <f t="shared" si="136"/>
        <v>0.93444000000000005</v>
      </c>
      <c r="N863" t="str">
        <f t="shared" si="137"/>
        <v>0-100%</v>
      </c>
      <c r="O863" s="9">
        <f>MIN($H863,$I863)*INDEX('2018_commission_structure'!$A$1:$I$4,MATCH($E863,'2018_commission_structure'!$A$1:$A$4,0),MATCH(O$1,'2018_commission_structure'!$A$1:$I$1,0))</f>
        <v>105124.5</v>
      </c>
      <c r="P863" s="9">
        <f>IF(H863&gt;I863, MIN(H863-I863, J863-I863)*INDEX('2018_commission_structure'!$A$1:$I$4,MATCH($E863,'2018_commission_structure'!$A$1:$A$4,0),MATCH(P$1,'2018_commission_structure'!$A$1:$I$1,0)),0)</f>
        <v>0</v>
      </c>
      <c r="Q863" s="9">
        <f>IF($H863&gt;J863, MIN($H863-J863, K863-J863)*INDEX('2018_commission_structure'!$A$1:$I$4,MATCH($E863,'2018_commission_structure'!$A$1:$A$4,0),MATCH(Q$1,'2018_commission_structure'!$A$1:$I$1,0)),0)</f>
        <v>0</v>
      </c>
      <c r="R863" s="9">
        <f>IF($H863&gt;K863, MIN($H863-K863, L863-K863)*INDEX('2018_commission_structure'!$A$1:$I$4,MATCH($E863,'2018_commission_structure'!$A$1:$A$4,0),MATCH(R$1,'2018_commission_structure'!$A$1:$I$1,0)),0)</f>
        <v>0</v>
      </c>
      <c r="S863" s="9">
        <f>IF(H863&gt;L863,(H863-L863)*INDEX('2018_commission_structure'!$A$1:$I$4,MATCH($E863,'2018_commission_structure'!$A$1:$A$4,0),MATCH(S$1,'2018_commission_structure'!$A$1:$I$1,0)),0)</f>
        <v>0</v>
      </c>
      <c r="T863" s="9">
        <f t="shared" si="138"/>
        <v>105124.5</v>
      </c>
      <c r="U863" s="9">
        <f t="shared" si="130"/>
        <v>195061.5</v>
      </c>
      <c r="V863" s="9">
        <f>MIN($I863,$H863)*INDEX('Key Metrics'!$E$16:$N$19,MATCH($E863,'Key Metrics'!$E$16:$E$19,0),MATCH(V$1,'Key Metrics'!$E$16:$M$16,0))</f>
        <v>105124.5</v>
      </c>
      <c r="W863" s="9">
        <f>IF($H863&gt;I863, MIN($H863-I863, J863-I863)*INDEX('Key Metrics'!$E$16:$N$19,MATCH($E863,'Key Metrics'!$E$16:$E$19,0),MATCH(W$1,'Key Metrics'!$E$16:$M$16,0)),0)</f>
        <v>0</v>
      </c>
      <c r="X863" s="9">
        <f>IF($H863&gt;J863, MIN($H863-J863, K863-J863)*INDEX('Key Metrics'!$E$16:$N$19,MATCH($E863,'Key Metrics'!$E$16:$E$19,0),MATCH(X$1,'Key Metrics'!$E$16:$M$16,0)),0)</f>
        <v>0</v>
      </c>
      <c r="Y863" s="9">
        <f>IF($H863&gt;K863, MIN($H863-K863, L863-K863)*INDEX('Key Metrics'!$E$16:$N$19,MATCH($E863,'Key Metrics'!$E$16:$E$19,0),MATCH(Y$1,'Key Metrics'!$E$16:$M$16,0)),0)</f>
        <v>0</v>
      </c>
      <c r="Z863" s="9">
        <f>IF($H863&gt;L863,($H863-L863)*INDEX('Key Metrics'!$E$16:$N$19,MATCH($E863,'Key Metrics'!$E$16:$E$19,0),MATCH(Z$1,'Key Metrics'!$E$16:$M$16,0)),0)</f>
        <v>0</v>
      </c>
      <c r="AA863" s="9">
        <f t="shared" si="139"/>
        <v>105124.5</v>
      </c>
      <c r="AB863" s="9">
        <f t="shared" si="131"/>
        <v>105125.43444</v>
      </c>
    </row>
    <row r="864" spans="1:28" x14ac:dyDescent="0.55000000000000004">
      <c r="A864" t="str">
        <f t="shared" si="132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COUNTIF(deals_closed!$D$2:$D$20001,Calculations!B401)</f>
        <v>16</v>
      </c>
      <c r="H864" s="7">
        <f>SUMIF(deals_closed!$D:$D,Calculations!B401,deals_closed!$C:$C)</f>
        <v>538916</v>
      </c>
      <c r="I864" s="5">
        <f>VLOOKUP(E864,'2018_commission_structure'!$A$1:$I$4,9,FALSE)</f>
        <v>600000</v>
      </c>
      <c r="J864" s="9">
        <f t="shared" si="133"/>
        <v>750000</v>
      </c>
      <c r="K864" s="10">
        <f t="shared" si="134"/>
        <v>900000</v>
      </c>
      <c r="L864" s="9">
        <f t="shared" si="135"/>
        <v>1200000</v>
      </c>
      <c r="M864" s="8">
        <f t="shared" si="136"/>
        <v>0.89819333333333329</v>
      </c>
      <c r="N864" t="str">
        <f t="shared" si="137"/>
        <v>0-100%</v>
      </c>
      <c r="O864" s="9">
        <f>MIN($H864,$I864)*INDEX('2018_commission_structure'!$A$1:$I$4,MATCH($E864,'2018_commission_structure'!$A$1:$A$4,0),MATCH(O$1,'2018_commission_structure'!$A$1:$I$1,0))</f>
        <v>70059.08</v>
      </c>
      <c r="P864" s="9">
        <f>IF(H864&gt;I864, MIN(H864-I864, J864-I864)*INDEX('2018_commission_structure'!$A$1:$I$4,MATCH($E864,'2018_commission_structure'!$A$1:$A$4,0),MATCH(P$1,'2018_commission_structure'!$A$1:$I$1,0)),0)</f>
        <v>0</v>
      </c>
      <c r="Q864" s="9">
        <f>IF($H864&gt;J864, MIN($H864-J864, K864-J864)*INDEX('2018_commission_structure'!$A$1:$I$4,MATCH($E864,'2018_commission_structure'!$A$1:$A$4,0),MATCH(Q$1,'2018_commission_structure'!$A$1:$I$1,0)),0)</f>
        <v>0</v>
      </c>
      <c r="R864" s="9">
        <f>IF($H864&gt;K864, MIN($H864-K864, L864-K864)*INDEX('2018_commission_structure'!$A$1:$I$4,MATCH($E864,'2018_commission_structure'!$A$1:$A$4,0),MATCH(R$1,'2018_commission_structure'!$A$1:$I$1,0)),0)</f>
        <v>0</v>
      </c>
      <c r="S864" s="9">
        <f>IF(H864&gt;L864,(H864-L864)*INDEX('2018_commission_structure'!$A$1:$I$4,MATCH($E864,'2018_commission_structure'!$A$1:$A$4,0),MATCH(S$1,'2018_commission_structure'!$A$1:$I$1,0)),0)</f>
        <v>0</v>
      </c>
      <c r="T864" s="9">
        <f t="shared" si="138"/>
        <v>70059.08</v>
      </c>
      <c r="U864" s="9">
        <f t="shared" si="130"/>
        <v>143223.08000000002</v>
      </c>
      <c r="V864" s="9">
        <f>MIN($I864,$H864)*INDEX('Key Metrics'!$E$16:$N$19,MATCH($E864,'Key Metrics'!$E$16:$E$19,0),MATCH(V$1,'Key Metrics'!$E$16:$M$16,0))</f>
        <v>80837.399999999994</v>
      </c>
      <c r="W864" s="9">
        <f>IF($H864&gt;I864, MIN($H864-I864, J864-I864)*INDEX('Key Metrics'!$E$16:$N$19,MATCH($E864,'Key Metrics'!$E$16:$E$19,0),MATCH(W$1,'Key Metrics'!$E$16:$M$16,0)),0)</f>
        <v>0</v>
      </c>
      <c r="X864" s="9">
        <f>IF($H864&gt;J864, MIN($H864-J864, K864-J864)*INDEX('Key Metrics'!$E$16:$N$19,MATCH($E864,'Key Metrics'!$E$16:$E$19,0),MATCH(X$1,'Key Metrics'!$E$16:$M$16,0)),0)</f>
        <v>0</v>
      </c>
      <c r="Y864" s="9">
        <f>IF($H864&gt;K864, MIN($H864-K864, L864-K864)*INDEX('Key Metrics'!$E$16:$N$19,MATCH($E864,'Key Metrics'!$E$16:$E$19,0),MATCH(Y$1,'Key Metrics'!$E$16:$M$16,0)),0)</f>
        <v>0</v>
      </c>
      <c r="Z864" s="9">
        <f>IF($H864&gt;L864,($H864-L864)*INDEX('Key Metrics'!$E$16:$N$19,MATCH($E864,'Key Metrics'!$E$16:$E$19,0),MATCH(Z$1,'Key Metrics'!$E$16:$M$16,0)),0)</f>
        <v>0</v>
      </c>
      <c r="AA864" s="9">
        <f t="shared" si="139"/>
        <v>80837.399999999994</v>
      </c>
      <c r="AB864" s="9">
        <f t="shared" si="131"/>
        <v>80838.298193333321</v>
      </c>
    </row>
    <row r="865" spans="1:28" x14ac:dyDescent="0.55000000000000004">
      <c r="A865" t="str">
        <f t="shared" si="132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COUNTIF(deals_closed!$D$2:$D$20001,Calculations!B143)</f>
        <v>17</v>
      </c>
      <c r="H865" s="7">
        <f>SUMIF(deals_closed!$D:$D,Calculations!B143,deals_closed!$C:$C)</f>
        <v>614133</v>
      </c>
      <c r="I865" s="5">
        <f>VLOOKUP(E865,'2018_commission_structure'!$A$1:$I$4,9,FALSE)</f>
        <v>500000</v>
      </c>
      <c r="J865" s="9">
        <f t="shared" si="133"/>
        <v>625000</v>
      </c>
      <c r="K865" s="10">
        <f t="shared" si="134"/>
        <v>750000</v>
      </c>
      <c r="L865" s="9">
        <f t="shared" si="135"/>
        <v>1000000</v>
      </c>
      <c r="M865" s="8">
        <f t="shared" si="136"/>
        <v>1.2282660000000001</v>
      </c>
      <c r="N865" t="str">
        <f t="shared" si="137"/>
        <v>100-125%</v>
      </c>
      <c r="O865" s="9">
        <f>MIN($H865,$I865)*INDEX('2018_commission_structure'!$A$1:$I$4,MATCH($E865,'2018_commission_structure'!$A$1:$A$4,0),MATCH(O$1,'2018_commission_structure'!$A$1:$I$1,0))</f>
        <v>50000</v>
      </c>
      <c r="P865" s="9">
        <f>IF(H865&gt;I865, MIN(H865-I865, J865-I865)*INDEX('2018_commission_structure'!$A$1:$I$4,MATCH($E865,'2018_commission_structure'!$A$1:$A$4,0),MATCH(P$1,'2018_commission_structure'!$A$1:$I$1,0)),0)</f>
        <v>17119.95</v>
      </c>
      <c r="Q865" s="9">
        <f>IF($H865&gt;J865, MIN($H865-J865, K865-J865)*INDEX('2018_commission_structure'!$A$1:$I$4,MATCH($E865,'2018_commission_structure'!$A$1:$A$4,0),MATCH(Q$1,'2018_commission_structure'!$A$1:$I$1,0)),0)</f>
        <v>0</v>
      </c>
      <c r="R865" s="9">
        <f>IF($H865&gt;K865, MIN($H865-K865, L865-K865)*INDEX('2018_commission_structure'!$A$1:$I$4,MATCH($E865,'2018_commission_structure'!$A$1:$A$4,0),MATCH(R$1,'2018_commission_structure'!$A$1:$I$1,0)),0)</f>
        <v>0</v>
      </c>
      <c r="S865" s="9">
        <f>IF(H865&gt;L865,(H865-L865)*INDEX('2018_commission_structure'!$A$1:$I$4,MATCH($E865,'2018_commission_structure'!$A$1:$A$4,0),MATCH(S$1,'2018_commission_structure'!$A$1:$I$1,0)),0)</f>
        <v>0</v>
      </c>
      <c r="T865" s="9">
        <f t="shared" si="138"/>
        <v>67119.95</v>
      </c>
      <c r="U865" s="9">
        <f t="shared" si="130"/>
        <v>131968.95000000001</v>
      </c>
      <c r="V865" s="9">
        <f>MIN($I865,$H865)*INDEX('Key Metrics'!$E$16:$N$19,MATCH($E865,'Key Metrics'!$E$16:$E$19,0),MATCH(V$1,'Key Metrics'!$E$16:$M$16,0))</f>
        <v>60000</v>
      </c>
      <c r="W865" s="9">
        <f>IF($H865&gt;I865, MIN($H865-I865, J865-I865)*INDEX('Key Metrics'!$E$16:$N$19,MATCH($E865,'Key Metrics'!$E$16:$E$19,0),MATCH(W$1,'Key Metrics'!$E$16:$M$16,0)),0)</f>
        <v>19402.61</v>
      </c>
      <c r="X865" s="9">
        <f>IF($H865&gt;J865, MIN($H865-J865, K865-J865)*INDEX('Key Metrics'!$E$16:$N$19,MATCH($E865,'Key Metrics'!$E$16:$E$19,0),MATCH(X$1,'Key Metrics'!$E$16:$M$16,0)),0)</f>
        <v>0</v>
      </c>
      <c r="Y865" s="9">
        <f>IF($H865&gt;K865, MIN($H865-K865, L865-K865)*INDEX('Key Metrics'!$E$16:$N$19,MATCH($E865,'Key Metrics'!$E$16:$E$19,0),MATCH(Y$1,'Key Metrics'!$E$16:$M$16,0)),0)</f>
        <v>0</v>
      </c>
      <c r="Z865" s="9">
        <f>IF($H865&gt;L865,($H865-L865)*INDEX('Key Metrics'!$E$16:$N$19,MATCH($E865,'Key Metrics'!$E$16:$E$19,0),MATCH(Z$1,'Key Metrics'!$E$16:$M$16,0)),0)</f>
        <v>0</v>
      </c>
      <c r="AA865" s="9">
        <f t="shared" si="139"/>
        <v>79402.61</v>
      </c>
      <c r="AB865" s="9">
        <f t="shared" si="131"/>
        <v>79403.838266000006</v>
      </c>
    </row>
    <row r="866" spans="1:28" x14ac:dyDescent="0.55000000000000004">
      <c r="A866" t="str">
        <f t="shared" si="132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COUNTIF(deals_closed!$D$2:$D$20001,Calculations!B209)</f>
        <v>23</v>
      </c>
      <c r="H866" s="7">
        <f>SUMIF(deals_closed!$D:$D,Calculations!B209,deals_closed!$C:$C)</f>
        <v>745490</v>
      </c>
      <c r="I866" s="5">
        <f>VLOOKUP(E866,'2018_commission_structure'!$A$1:$I$4,9,FALSE)</f>
        <v>600000</v>
      </c>
      <c r="J866" s="9">
        <f t="shared" si="133"/>
        <v>750000</v>
      </c>
      <c r="K866" s="10">
        <f t="shared" si="134"/>
        <v>900000</v>
      </c>
      <c r="L866" s="9">
        <f t="shared" si="135"/>
        <v>1200000</v>
      </c>
      <c r="M866" s="8">
        <f t="shared" si="136"/>
        <v>1.2424833333333334</v>
      </c>
      <c r="N866" t="str">
        <f t="shared" si="137"/>
        <v>100-125%</v>
      </c>
      <c r="O866" s="9">
        <f>MIN($H866,$I866)*INDEX('2018_commission_structure'!$A$1:$I$4,MATCH($E866,'2018_commission_structure'!$A$1:$A$4,0),MATCH(O$1,'2018_commission_structure'!$A$1:$I$1,0))</f>
        <v>78000</v>
      </c>
      <c r="P866" s="9">
        <f>IF(H866&gt;I866, MIN(H866-I866, J866-I866)*INDEX('2018_commission_structure'!$A$1:$I$4,MATCH($E866,'2018_commission_structure'!$A$1:$A$4,0),MATCH(P$1,'2018_commission_structure'!$A$1:$I$1,0)),0)</f>
        <v>24733.300000000003</v>
      </c>
      <c r="Q866" s="9">
        <f>IF($H866&gt;J866, MIN($H866-J866, K866-J866)*INDEX('2018_commission_structure'!$A$1:$I$4,MATCH($E866,'2018_commission_structure'!$A$1:$A$4,0),MATCH(Q$1,'2018_commission_structure'!$A$1:$I$1,0)),0)</f>
        <v>0</v>
      </c>
      <c r="R866" s="9">
        <f>IF($H866&gt;K866, MIN($H866-K866, L866-K866)*INDEX('2018_commission_structure'!$A$1:$I$4,MATCH($E866,'2018_commission_structure'!$A$1:$A$4,0),MATCH(R$1,'2018_commission_structure'!$A$1:$I$1,0)),0)</f>
        <v>0</v>
      </c>
      <c r="S866" s="9">
        <f>IF(H866&gt;L866,(H866-L866)*INDEX('2018_commission_structure'!$A$1:$I$4,MATCH($E866,'2018_commission_structure'!$A$1:$A$4,0),MATCH(S$1,'2018_commission_structure'!$A$1:$I$1,0)),0)</f>
        <v>0</v>
      </c>
      <c r="T866" s="9">
        <f t="shared" si="138"/>
        <v>102733.3</v>
      </c>
      <c r="U866" s="9">
        <f t="shared" ref="U866:U929" si="140">F866+T866</f>
        <v>175338.3</v>
      </c>
      <c r="V866" s="9">
        <f>MIN($I866,$H866)*INDEX('Key Metrics'!$E$16:$N$19,MATCH($E866,'Key Metrics'!$E$16:$E$19,0),MATCH(V$1,'Key Metrics'!$E$16:$M$16,0))</f>
        <v>90000</v>
      </c>
      <c r="W866" s="9">
        <f>IF($H866&gt;I866, MIN($H866-I866, J866-I866)*INDEX('Key Metrics'!$E$16:$N$19,MATCH($E866,'Key Metrics'!$E$16:$E$19,0),MATCH(W$1,'Key Metrics'!$E$16:$M$16,0)),0)</f>
        <v>26188.2</v>
      </c>
      <c r="X866" s="9">
        <f>IF($H866&gt;J866, MIN($H866-J866, K866-J866)*INDEX('Key Metrics'!$E$16:$N$19,MATCH($E866,'Key Metrics'!$E$16:$E$19,0),MATCH(X$1,'Key Metrics'!$E$16:$M$16,0)),0)</f>
        <v>0</v>
      </c>
      <c r="Y866" s="9">
        <f>IF($H866&gt;K866, MIN($H866-K866, L866-K866)*INDEX('Key Metrics'!$E$16:$N$19,MATCH($E866,'Key Metrics'!$E$16:$E$19,0),MATCH(Y$1,'Key Metrics'!$E$16:$M$16,0)),0)</f>
        <v>0</v>
      </c>
      <c r="Z866" s="9">
        <f>IF($H866&gt;L866,($H866-L866)*INDEX('Key Metrics'!$E$16:$N$19,MATCH($E866,'Key Metrics'!$E$16:$E$19,0),MATCH(Z$1,'Key Metrics'!$E$16:$M$16,0)),0)</f>
        <v>0</v>
      </c>
      <c r="AA866" s="9">
        <f t="shared" si="139"/>
        <v>116188.2</v>
      </c>
      <c r="AB866" s="9">
        <f t="shared" ref="AB866:AB929" si="141">M866+AA866</f>
        <v>116189.44248333333</v>
      </c>
    </row>
    <row r="867" spans="1:28" x14ac:dyDescent="0.55000000000000004">
      <c r="A867" t="str">
        <f t="shared" si="132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COUNTIF(deals_closed!$D$2:$D$20001,Calculations!B549)</f>
        <v>19</v>
      </c>
      <c r="H867" s="7">
        <f>SUMIF(deals_closed!$D:$D,Calculations!B549,deals_closed!$C:$C)</f>
        <v>749195</v>
      </c>
      <c r="I867" s="5">
        <f>VLOOKUP(E867,'2018_commission_structure'!$A$1:$I$4,9,FALSE)</f>
        <v>750000</v>
      </c>
      <c r="J867" s="9">
        <f t="shared" si="133"/>
        <v>937500</v>
      </c>
      <c r="K867" s="10">
        <f t="shared" si="134"/>
        <v>1125000</v>
      </c>
      <c r="L867" s="9">
        <f t="shared" si="135"/>
        <v>1500000</v>
      </c>
      <c r="M867" s="8">
        <f t="shared" si="136"/>
        <v>0.99892666666666663</v>
      </c>
      <c r="N867" t="str">
        <f t="shared" si="137"/>
        <v>0-100%</v>
      </c>
      <c r="O867" s="9">
        <f>MIN($H867,$I867)*INDEX('2018_commission_structure'!$A$1:$I$4,MATCH($E867,'2018_commission_structure'!$A$1:$A$4,0),MATCH(O$1,'2018_commission_structure'!$A$1:$I$1,0))</f>
        <v>112379.25</v>
      </c>
      <c r="P867" s="9">
        <f>IF(H867&gt;I867, MIN(H867-I867, J867-I867)*INDEX('2018_commission_structure'!$A$1:$I$4,MATCH($E867,'2018_commission_structure'!$A$1:$A$4,0),MATCH(P$1,'2018_commission_structure'!$A$1:$I$1,0)),0)</f>
        <v>0</v>
      </c>
      <c r="Q867" s="9">
        <f>IF($H867&gt;J867, MIN($H867-J867, K867-J867)*INDEX('2018_commission_structure'!$A$1:$I$4,MATCH($E867,'2018_commission_structure'!$A$1:$A$4,0),MATCH(Q$1,'2018_commission_structure'!$A$1:$I$1,0)),0)</f>
        <v>0</v>
      </c>
      <c r="R867" s="9">
        <f>IF($H867&gt;K867, MIN($H867-K867, L867-K867)*INDEX('2018_commission_structure'!$A$1:$I$4,MATCH($E867,'2018_commission_structure'!$A$1:$A$4,0),MATCH(R$1,'2018_commission_structure'!$A$1:$I$1,0)),0)</f>
        <v>0</v>
      </c>
      <c r="S867" s="9">
        <f>IF(H867&gt;L867,(H867-L867)*INDEX('2018_commission_structure'!$A$1:$I$4,MATCH($E867,'2018_commission_structure'!$A$1:$A$4,0),MATCH(S$1,'2018_commission_structure'!$A$1:$I$1,0)),0)</f>
        <v>0</v>
      </c>
      <c r="T867" s="9">
        <f t="shared" si="138"/>
        <v>112379.25</v>
      </c>
      <c r="U867" s="9">
        <f t="shared" si="140"/>
        <v>211113.25</v>
      </c>
      <c r="V867" s="9">
        <f>MIN($I867,$H867)*INDEX('Key Metrics'!$E$16:$N$19,MATCH($E867,'Key Metrics'!$E$16:$E$19,0),MATCH(V$1,'Key Metrics'!$E$16:$M$16,0))</f>
        <v>112379.25</v>
      </c>
      <c r="W867" s="9">
        <f>IF($H867&gt;I867, MIN($H867-I867, J867-I867)*INDEX('Key Metrics'!$E$16:$N$19,MATCH($E867,'Key Metrics'!$E$16:$E$19,0),MATCH(W$1,'Key Metrics'!$E$16:$M$16,0)),0)</f>
        <v>0</v>
      </c>
      <c r="X867" s="9">
        <f>IF($H867&gt;J867, MIN($H867-J867, K867-J867)*INDEX('Key Metrics'!$E$16:$N$19,MATCH($E867,'Key Metrics'!$E$16:$E$19,0),MATCH(X$1,'Key Metrics'!$E$16:$M$16,0)),0)</f>
        <v>0</v>
      </c>
      <c r="Y867" s="9">
        <f>IF($H867&gt;K867, MIN($H867-K867, L867-K867)*INDEX('Key Metrics'!$E$16:$N$19,MATCH($E867,'Key Metrics'!$E$16:$E$19,0),MATCH(Y$1,'Key Metrics'!$E$16:$M$16,0)),0)</f>
        <v>0</v>
      </c>
      <c r="Z867" s="9">
        <f>IF($H867&gt;L867,($H867-L867)*INDEX('Key Metrics'!$E$16:$N$19,MATCH($E867,'Key Metrics'!$E$16:$E$19,0),MATCH(Z$1,'Key Metrics'!$E$16:$M$16,0)),0)</f>
        <v>0</v>
      </c>
      <c r="AA867" s="9">
        <f t="shared" si="139"/>
        <v>112379.25</v>
      </c>
      <c r="AB867" s="9">
        <f t="shared" si="141"/>
        <v>112380.24892666667</v>
      </c>
    </row>
    <row r="868" spans="1:28" x14ac:dyDescent="0.55000000000000004">
      <c r="A868" t="str">
        <f t="shared" si="132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COUNTIF(deals_closed!$D$2:$D$20001,Calculations!B8)</f>
        <v>23</v>
      </c>
      <c r="H868" s="7">
        <f>SUMIF(deals_closed!$D:$D,Calculations!B8,deals_closed!$C:$C)</f>
        <v>820679</v>
      </c>
      <c r="I868" s="5">
        <f>VLOOKUP(E868,'2018_commission_structure'!$A$1:$I$4,9,FALSE)</f>
        <v>500000</v>
      </c>
      <c r="J868" s="9">
        <f t="shared" si="133"/>
        <v>625000</v>
      </c>
      <c r="K868" s="10">
        <f t="shared" si="134"/>
        <v>750000</v>
      </c>
      <c r="L868" s="9">
        <f t="shared" si="135"/>
        <v>1000000</v>
      </c>
      <c r="M868" s="8">
        <f t="shared" si="136"/>
        <v>1.6413580000000001</v>
      </c>
      <c r="N868" t="str">
        <f t="shared" si="137"/>
        <v>150-200%</v>
      </c>
      <c r="O868" s="9">
        <f>MIN($H868,$I868)*INDEX('2018_commission_structure'!$A$1:$I$4,MATCH($E868,'2018_commission_structure'!$A$1:$A$4,0),MATCH(O$1,'2018_commission_structure'!$A$1:$I$1,0))</f>
        <v>50000</v>
      </c>
      <c r="P868" s="9">
        <f>IF(H868&gt;I868, MIN(H868-I868, J868-I868)*INDEX('2018_commission_structure'!$A$1:$I$4,MATCH($E868,'2018_commission_structure'!$A$1:$A$4,0),MATCH(P$1,'2018_commission_structure'!$A$1:$I$1,0)),0)</f>
        <v>18750</v>
      </c>
      <c r="Q868" s="9">
        <f>IF($H868&gt;J868, MIN($H868-J868, K868-J868)*INDEX('2018_commission_structure'!$A$1:$I$4,MATCH($E868,'2018_commission_structure'!$A$1:$A$4,0),MATCH(Q$1,'2018_commission_structure'!$A$1:$I$1,0)),0)</f>
        <v>22500</v>
      </c>
      <c r="R868" s="9">
        <f>IF($H868&gt;K868, MIN($H868-K868, L868-K868)*INDEX('2018_commission_structure'!$A$1:$I$4,MATCH($E868,'2018_commission_structure'!$A$1:$A$4,0),MATCH(R$1,'2018_commission_structure'!$A$1:$I$1,0)),0)</f>
        <v>15549.38</v>
      </c>
      <c r="S868" s="9">
        <f>IF(H868&gt;L868,(H868-L868)*INDEX('2018_commission_structure'!$A$1:$I$4,MATCH($E868,'2018_commission_structure'!$A$1:$A$4,0),MATCH(S$1,'2018_commission_structure'!$A$1:$I$1,0)),0)</f>
        <v>0</v>
      </c>
      <c r="T868" s="9">
        <f t="shared" si="138"/>
        <v>106799.38</v>
      </c>
      <c r="U868" s="9">
        <f t="shared" si="140"/>
        <v>169905.38</v>
      </c>
      <c r="V868" s="9">
        <f>MIN($I868,$H868)*INDEX('Key Metrics'!$E$16:$N$19,MATCH($E868,'Key Metrics'!$E$16:$E$19,0),MATCH(V$1,'Key Metrics'!$E$16:$M$16,0))</f>
        <v>60000</v>
      </c>
      <c r="W868" s="9">
        <f>IF($H868&gt;I868, MIN($H868-I868, J868-I868)*INDEX('Key Metrics'!$E$16:$N$19,MATCH($E868,'Key Metrics'!$E$16:$E$19,0),MATCH(W$1,'Key Metrics'!$E$16:$M$16,0)),0)</f>
        <v>21250</v>
      </c>
      <c r="X868" s="9">
        <f>IF($H868&gt;J868, MIN($H868-J868, K868-J868)*INDEX('Key Metrics'!$E$16:$N$19,MATCH($E868,'Key Metrics'!$E$16:$E$19,0),MATCH(X$1,'Key Metrics'!$E$16:$M$16,0)),0)</f>
        <v>25000</v>
      </c>
      <c r="Y868" s="9">
        <f>IF($H868&gt;K868, MIN($H868-K868, L868-K868)*INDEX('Key Metrics'!$E$16:$N$19,MATCH($E868,'Key Metrics'!$E$16:$E$19,0),MATCH(Y$1,'Key Metrics'!$E$16:$M$16,0)),0)</f>
        <v>15549.38</v>
      </c>
      <c r="Z868" s="9">
        <f>IF($H868&gt;L868,($H868-L868)*INDEX('Key Metrics'!$E$16:$N$19,MATCH($E868,'Key Metrics'!$E$16:$E$19,0),MATCH(Z$1,'Key Metrics'!$E$16:$M$16,0)),0)</f>
        <v>0</v>
      </c>
      <c r="AA868" s="9">
        <f t="shared" si="139"/>
        <v>121799.38</v>
      </c>
      <c r="AB868" s="9">
        <f t="shared" si="141"/>
        <v>121801.021358</v>
      </c>
    </row>
    <row r="869" spans="1:28" x14ac:dyDescent="0.55000000000000004">
      <c r="A869" t="str">
        <f t="shared" si="132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COUNTIF(deals_closed!$D$2:$D$20001,Calculations!B561)</f>
        <v>27</v>
      </c>
      <c r="H869" s="7">
        <f>SUMIF(deals_closed!$D:$D,Calculations!B561,deals_closed!$C:$C)</f>
        <v>981577</v>
      </c>
      <c r="I869" s="5">
        <f>VLOOKUP(E869,'2018_commission_structure'!$A$1:$I$4,9,FALSE)</f>
        <v>600000</v>
      </c>
      <c r="J869" s="9">
        <f t="shared" si="133"/>
        <v>750000</v>
      </c>
      <c r="K869" s="10">
        <f t="shared" si="134"/>
        <v>900000</v>
      </c>
      <c r="L869" s="9">
        <f t="shared" si="135"/>
        <v>1200000</v>
      </c>
      <c r="M869" s="8">
        <f t="shared" si="136"/>
        <v>1.6359616666666668</v>
      </c>
      <c r="N869" t="str">
        <f t="shared" si="137"/>
        <v>150-200%</v>
      </c>
      <c r="O869" s="9">
        <f>MIN($H869,$I869)*INDEX('2018_commission_structure'!$A$1:$I$4,MATCH($E869,'2018_commission_structure'!$A$1:$A$4,0),MATCH(O$1,'2018_commission_structure'!$A$1:$I$1,0))</f>
        <v>78000</v>
      </c>
      <c r="P869" s="9">
        <f>IF(H869&gt;I869, MIN(H869-I869, J869-I869)*INDEX('2018_commission_structure'!$A$1:$I$4,MATCH($E869,'2018_commission_structure'!$A$1:$A$4,0),MATCH(P$1,'2018_commission_structure'!$A$1:$I$1,0)),0)</f>
        <v>25500.000000000004</v>
      </c>
      <c r="Q869" s="9">
        <f>IF($H869&gt;J869, MIN($H869-J869, K869-J869)*INDEX('2018_commission_structure'!$A$1:$I$4,MATCH($E869,'2018_commission_structure'!$A$1:$A$4,0),MATCH(Q$1,'2018_commission_structure'!$A$1:$I$1,0)),0)</f>
        <v>31500</v>
      </c>
      <c r="R869" s="9">
        <f>IF($H869&gt;K869, MIN($H869-K869, L869-K869)*INDEX('2018_commission_structure'!$A$1:$I$4,MATCH($E869,'2018_commission_structure'!$A$1:$A$4,0),MATCH(R$1,'2018_commission_structure'!$A$1:$I$1,0)),0)</f>
        <v>21210.02</v>
      </c>
      <c r="S869" s="9">
        <f>IF(H869&gt;L869,(H869-L869)*INDEX('2018_commission_structure'!$A$1:$I$4,MATCH($E869,'2018_commission_structure'!$A$1:$A$4,0),MATCH(S$1,'2018_commission_structure'!$A$1:$I$1,0)),0)</f>
        <v>0</v>
      </c>
      <c r="T869" s="9">
        <f t="shared" si="138"/>
        <v>156210.01999999999</v>
      </c>
      <c r="U869" s="9">
        <f t="shared" si="140"/>
        <v>219728.02</v>
      </c>
      <c r="V869" s="9">
        <f>MIN($I869,$H869)*INDEX('Key Metrics'!$E$16:$N$19,MATCH($E869,'Key Metrics'!$E$16:$E$19,0),MATCH(V$1,'Key Metrics'!$E$16:$M$16,0))</f>
        <v>90000</v>
      </c>
      <c r="W869" s="9">
        <f>IF($H869&gt;I869, MIN($H869-I869, J869-I869)*INDEX('Key Metrics'!$E$16:$N$19,MATCH($E869,'Key Metrics'!$E$16:$E$19,0),MATCH(W$1,'Key Metrics'!$E$16:$M$16,0)),0)</f>
        <v>27000</v>
      </c>
      <c r="X869" s="9">
        <f>IF($H869&gt;J869, MIN($H869-J869, K869-J869)*INDEX('Key Metrics'!$E$16:$N$19,MATCH($E869,'Key Metrics'!$E$16:$E$19,0),MATCH(X$1,'Key Metrics'!$E$16:$M$16,0)),0)</f>
        <v>37500</v>
      </c>
      <c r="Y869" s="9">
        <f>IF($H869&gt;K869, MIN($H869-K869, L869-K869)*INDEX('Key Metrics'!$E$16:$N$19,MATCH($E869,'Key Metrics'!$E$16:$E$19,0),MATCH(Y$1,'Key Metrics'!$E$16:$M$16,0)),0)</f>
        <v>24473.1</v>
      </c>
      <c r="Z869" s="9">
        <f>IF($H869&gt;L869,($H869-L869)*INDEX('Key Metrics'!$E$16:$N$19,MATCH($E869,'Key Metrics'!$E$16:$E$19,0),MATCH(Z$1,'Key Metrics'!$E$16:$M$16,0)),0)</f>
        <v>0</v>
      </c>
      <c r="AA869" s="9">
        <f t="shared" si="139"/>
        <v>178973.1</v>
      </c>
      <c r="AB869" s="9">
        <f t="shared" si="141"/>
        <v>178974.73596166668</v>
      </c>
    </row>
    <row r="870" spans="1:28" x14ac:dyDescent="0.55000000000000004">
      <c r="A870" t="str">
        <f t="shared" si="132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COUNTIF(deals_closed!$D$2:$D$20001,Calculations!B148)</f>
        <v>26</v>
      </c>
      <c r="H870" s="7">
        <f>SUMIF(deals_closed!$D:$D,Calculations!B148,deals_closed!$C:$C)</f>
        <v>970661</v>
      </c>
      <c r="I870" s="5">
        <f>VLOOKUP(E870,'2018_commission_structure'!$A$1:$I$4,9,FALSE)</f>
        <v>500000</v>
      </c>
      <c r="J870" s="9">
        <f t="shared" si="133"/>
        <v>625000</v>
      </c>
      <c r="K870" s="10">
        <f t="shared" si="134"/>
        <v>750000</v>
      </c>
      <c r="L870" s="9">
        <f t="shared" si="135"/>
        <v>1000000</v>
      </c>
      <c r="M870" s="8">
        <f t="shared" si="136"/>
        <v>1.941322</v>
      </c>
      <c r="N870" t="str">
        <f t="shared" si="137"/>
        <v>150-200%</v>
      </c>
      <c r="O870" s="9">
        <f>MIN($H870,$I870)*INDEX('2018_commission_structure'!$A$1:$I$4,MATCH($E870,'2018_commission_structure'!$A$1:$A$4,0),MATCH(O$1,'2018_commission_structure'!$A$1:$I$1,0))</f>
        <v>50000</v>
      </c>
      <c r="P870" s="9">
        <f>IF(H870&gt;I870, MIN(H870-I870, J870-I870)*INDEX('2018_commission_structure'!$A$1:$I$4,MATCH($E870,'2018_commission_structure'!$A$1:$A$4,0),MATCH(P$1,'2018_commission_structure'!$A$1:$I$1,0)),0)</f>
        <v>18750</v>
      </c>
      <c r="Q870" s="9">
        <f>IF($H870&gt;J870, MIN($H870-J870, K870-J870)*INDEX('2018_commission_structure'!$A$1:$I$4,MATCH($E870,'2018_commission_structure'!$A$1:$A$4,0),MATCH(Q$1,'2018_commission_structure'!$A$1:$I$1,0)),0)</f>
        <v>22500</v>
      </c>
      <c r="R870" s="9">
        <f>IF($H870&gt;K870, MIN($H870-K870, L870-K870)*INDEX('2018_commission_structure'!$A$1:$I$4,MATCH($E870,'2018_commission_structure'!$A$1:$A$4,0),MATCH(R$1,'2018_commission_structure'!$A$1:$I$1,0)),0)</f>
        <v>48545.42</v>
      </c>
      <c r="S870" s="9">
        <f>IF(H870&gt;L870,(H870-L870)*INDEX('2018_commission_structure'!$A$1:$I$4,MATCH($E870,'2018_commission_structure'!$A$1:$A$4,0),MATCH(S$1,'2018_commission_structure'!$A$1:$I$1,0)),0)</f>
        <v>0</v>
      </c>
      <c r="T870" s="9">
        <f t="shared" si="138"/>
        <v>139795.41999999998</v>
      </c>
      <c r="U870" s="9">
        <f t="shared" si="140"/>
        <v>172280.41999999998</v>
      </c>
      <c r="V870" s="9">
        <f>MIN($I870,$H870)*INDEX('Key Metrics'!$E$16:$N$19,MATCH($E870,'Key Metrics'!$E$16:$E$19,0),MATCH(V$1,'Key Metrics'!$E$16:$M$16,0))</f>
        <v>60000</v>
      </c>
      <c r="W870" s="9">
        <f>IF($H870&gt;I870, MIN($H870-I870, J870-I870)*INDEX('Key Metrics'!$E$16:$N$19,MATCH($E870,'Key Metrics'!$E$16:$E$19,0),MATCH(W$1,'Key Metrics'!$E$16:$M$16,0)),0)</f>
        <v>21250</v>
      </c>
      <c r="X870" s="9">
        <f>IF($H870&gt;J870, MIN($H870-J870, K870-J870)*INDEX('Key Metrics'!$E$16:$N$19,MATCH($E870,'Key Metrics'!$E$16:$E$19,0),MATCH(X$1,'Key Metrics'!$E$16:$M$16,0)),0)</f>
        <v>25000</v>
      </c>
      <c r="Y870" s="9">
        <f>IF($H870&gt;K870, MIN($H870-K870, L870-K870)*INDEX('Key Metrics'!$E$16:$N$19,MATCH($E870,'Key Metrics'!$E$16:$E$19,0),MATCH(Y$1,'Key Metrics'!$E$16:$M$16,0)),0)</f>
        <v>48545.42</v>
      </c>
      <c r="Z870" s="9">
        <f>IF($H870&gt;L870,($H870-L870)*INDEX('Key Metrics'!$E$16:$N$19,MATCH($E870,'Key Metrics'!$E$16:$E$19,0),MATCH(Z$1,'Key Metrics'!$E$16:$M$16,0)),0)</f>
        <v>0</v>
      </c>
      <c r="AA870" s="9">
        <f t="shared" si="139"/>
        <v>154795.41999999998</v>
      </c>
      <c r="AB870" s="9">
        <f t="shared" si="141"/>
        <v>154797.36132199998</v>
      </c>
    </row>
    <row r="871" spans="1:28" x14ac:dyDescent="0.55000000000000004">
      <c r="A871" t="str">
        <f t="shared" si="132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COUNTIF(deals_closed!$D$2:$D$20001,Calculations!B43)</f>
        <v>20</v>
      </c>
      <c r="H871" s="7">
        <f>SUMIF(deals_closed!$D:$D,Calculations!B43,deals_closed!$C:$C)</f>
        <v>724029</v>
      </c>
      <c r="I871" s="5">
        <f>VLOOKUP(E871,'2018_commission_structure'!$A$1:$I$4,9,FALSE)</f>
        <v>500000</v>
      </c>
      <c r="J871" s="9">
        <f t="shared" si="133"/>
        <v>625000</v>
      </c>
      <c r="K871" s="10">
        <f t="shared" si="134"/>
        <v>750000</v>
      </c>
      <c r="L871" s="9">
        <f t="shared" si="135"/>
        <v>1000000</v>
      </c>
      <c r="M871" s="8">
        <f t="shared" si="136"/>
        <v>1.4480580000000001</v>
      </c>
      <c r="N871" t="str">
        <f t="shared" si="137"/>
        <v>125-150%</v>
      </c>
      <c r="O871" s="9">
        <f>MIN($H871,$I871)*INDEX('2018_commission_structure'!$A$1:$I$4,MATCH($E871,'2018_commission_structure'!$A$1:$A$4,0),MATCH(O$1,'2018_commission_structure'!$A$1:$I$1,0))</f>
        <v>50000</v>
      </c>
      <c r="P871" s="9">
        <f>IF(H871&gt;I871, MIN(H871-I871, J871-I871)*INDEX('2018_commission_structure'!$A$1:$I$4,MATCH($E871,'2018_commission_structure'!$A$1:$A$4,0),MATCH(P$1,'2018_commission_structure'!$A$1:$I$1,0)),0)</f>
        <v>18750</v>
      </c>
      <c r="Q871" s="9">
        <f>IF($H871&gt;J871, MIN($H871-J871, K871-J871)*INDEX('2018_commission_structure'!$A$1:$I$4,MATCH($E871,'2018_commission_structure'!$A$1:$A$4,0),MATCH(Q$1,'2018_commission_structure'!$A$1:$I$1,0)),0)</f>
        <v>17825.219999999998</v>
      </c>
      <c r="R871" s="9">
        <f>IF($H871&gt;K871, MIN($H871-K871, L871-K871)*INDEX('2018_commission_structure'!$A$1:$I$4,MATCH($E871,'2018_commission_structure'!$A$1:$A$4,0),MATCH(R$1,'2018_commission_structure'!$A$1:$I$1,0)),0)</f>
        <v>0</v>
      </c>
      <c r="S871" s="9">
        <f>IF(H871&gt;L871,(H871-L871)*INDEX('2018_commission_structure'!$A$1:$I$4,MATCH($E871,'2018_commission_structure'!$A$1:$A$4,0),MATCH(S$1,'2018_commission_structure'!$A$1:$I$1,0)),0)</f>
        <v>0</v>
      </c>
      <c r="T871" s="9">
        <f t="shared" si="138"/>
        <v>86575.22</v>
      </c>
      <c r="U871" s="9">
        <f t="shared" si="140"/>
        <v>150719.22</v>
      </c>
      <c r="V871" s="9">
        <f>MIN($I871,$H871)*INDEX('Key Metrics'!$E$16:$N$19,MATCH($E871,'Key Metrics'!$E$16:$E$19,0),MATCH(V$1,'Key Metrics'!$E$16:$M$16,0))</f>
        <v>60000</v>
      </c>
      <c r="W871" s="9">
        <f>IF($H871&gt;I871, MIN($H871-I871, J871-I871)*INDEX('Key Metrics'!$E$16:$N$19,MATCH($E871,'Key Metrics'!$E$16:$E$19,0),MATCH(W$1,'Key Metrics'!$E$16:$M$16,0)),0)</f>
        <v>21250</v>
      </c>
      <c r="X871" s="9">
        <f>IF($H871&gt;J871, MIN($H871-J871, K871-J871)*INDEX('Key Metrics'!$E$16:$N$19,MATCH($E871,'Key Metrics'!$E$16:$E$19,0),MATCH(X$1,'Key Metrics'!$E$16:$M$16,0)),0)</f>
        <v>19805.800000000003</v>
      </c>
      <c r="Y871" s="9">
        <f>IF($H871&gt;K871, MIN($H871-K871, L871-K871)*INDEX('Key Metrics'!$E$16:$N$19,MATCH($E871,'Key Metrics'!$E$16:$E$19,0),MATCH(Y$1,'Key Metrics'!$E$16:$M$16,0)),0)</f>
        <v>0</v>
      </c>
      <c r="Z871" s="9">
        <f>IF($H871&gt;L871,($H871-L871)*INDEX('Key Metrics'!$E$16:$N$19,MATCH($E871,'Key Metrics'!$E$16:$E$19,0),MATCH(Z$1,'Key Metrics'!$E$16:$M$16,0)),0)</f>
        <v>0</v>
      </c>
      <c r="AA871" s="9">
        <f t="shared" si="139"/>
        <v>101055.8</v>
      </c>
      <c r="AB871" s="9">
        <f t="shared" si="141"/>
        <v>101057.248058</v>
      </c>
    </row>
    <row r="872" spans="1:28" x14ac:dyDescent="0.55000000000000004">
      <c r="A872" t="str">
        <f t="shared" si="132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COUNTIF(deals_closed!$D$2:$D$20001,Calculations!B282)</f>
        <v>28</v>
      </c>
      <c r="H872" s="7">
        <f>SUMIF(deals_closed!$D:$D,Calculations!B282,deals_closed!$C:$C)</f>
        <v>900340</v>
      </c>
      <c r="I872" s="5">
        <f>VLOOKUP(E872,'2018_commission_structure'!$A$1:$I$4,9,FALSE)</f>
        <v>750000</v>
      </c>
      <c r="J872" s="9">
        <f t="shared" si="133"/>
        <v>937500</v>
      </c>
      <c r="K872" s="10">
        <f t="shared" si="134"/>
        <v>1125000</v>
      </c>
      <c r="L872" s="9">
        <f t="shared" si="135"/>
        <v>1500000</v>
      </c>
      <c r="M872" s="8">
        <f t="shared" si="136"/>
        <v>1.2004533333333334</v>
      </c>
      <c r="N872" t="str">
        <f t="shared" si="137"/>
        <v>100-125%</v>
      </c>
      <c r="O872" s="9">
        <f>MIN($H872,$I872)*INDEX('2018_commission_structure'!$A$1:$I$4,MATCH($E872,'2018_commission_structure'!$A$1:$A$4,0),MATCH(O$1,'2018_commission_structure'!$A$1:$I$1,0))</f>
        <v>112500</v>
      </c>
      <c r="P872" s="9">
        <f>IF(H872&gt;I872, MIN(H872-I872, J872-I872)*INDEX('2018_commission_structure'!$A$1:$I$4,MATCH($E872,'2018_commission_structure'!$A$1:$A$4,0),MATCH(P$1,'2018_commission_structure'!$A$1:$I$1,0)),0)</f>
        <v>28564.6</v>
      </c>
      <c r="Q872" s="9">
        <f>IF($H872&gt;J872, MIN($H872-J872, K872-J872)*INDEX('2018_commission_structure'!$A$1:$I$4,MATCH($E872,'2018_commission_structure'!$A$1:$A$4,0),MATCH(Q$1,'2018_commission_structure'!$A$1:$I$1,0)),0)</f>
        <v>0</v>
      </c>
      <c r="R872" s="9">
        <f>IF($H872&gt;K872, MIN($H872-K872, L872-K872)*INDEX('2018_commission_structure'!$A$1:$I$4,MATCH($E872,'2018_commission_structure'!$A$1:$A$4,0),MATCH(R$1,'2018_commission_structure'!$A$1:$I$1,0)),0)</f>
        <v>0</v>
      </c>
      <c r="S872" s="9">
        <f>IF(H872&gt;L872,(H872-L872)*INDEX('2018_commission_structure'!$A$1:$I$4,MATCH($E872,'2018_commission_structure'!$A$1:$A$4,0),MATCH(S$1,'2018_commission_structure'!$A$1:$I$1,0)),0)</f>
        <v>0</v>
      </c>
      <c r="T872" s="9">
        <f t="shared" si="138"/>
        <v>141064.6</v>
      </c>
      <c r="U872" s="9">
        <f t="shared" si="140"/>
        <v>224561.6</v>
      </c>
      <c r="V872" s="9">
        <f>MIN($I872,$H872)*INDEX('Key Metrics'!$E$16:$N$19,MATCH($E872,'Key Metrics'!$E$16:$E$19,0),MATCH(V$1,'Key Metrics'!$E$16:$M$16,0))</f>
        <v>112500</v>
      </c>
      <c r="W872" s="9">
        <f>IF($H872&gt;I872, MIN($H872-I872, J872-I872)*INDEX('Key Metrics'!$E$16:$N$19,MATCH($E872,'Key Metrics'!$E$16:$E$19,0),MATCH(W$1,'Key Metrics'!$E$16:$M$16,0)),0)</f>
        <v>33074.800000000003</v>
      </c>
      <c r="X872" s="9">
        <f>IF($H872&gt;J872, MIN($H872-J872, K872-J872)*INDEX('Key Metrics'!$E$16:$N$19,MATCH($E872,'Key Metrics'!$E$16:$E$19,0),MATCH(X$1,'Key Metrics'!$E$16:$M$16,0)),0)</f>
        <v>0</v>
      </c>
      <c r="Y872" s="9">
        <f>IF($H872&gt;K872, MIN($H872-K872, L872-K872)*INDEX('Key Metrics'!$E$16:$N$19,MATCH($E872,'Key Metrics'!$E$16:$E$19,0),MATCH(Y$1,'Key Metrics'!$E$16:$M$16,0)),0)</f>
        <v>0</v>
      </c>
      <c r="Z872" s="9">
        <f>IF($H872&gt;L872,($H872-L872)*INDEX('Key Metrics'!$E$16:$N$19,MATCH($E872,'Key Metrics'!$E$16:$E$19,0),MATCH(Z$1,'Key Metrics'!$E$16:$M$16,0)),0)</f>
        <v>0</v>
      </c>
      <c r="AA872" s="9">
        <f t="shared" si="139"/>
        <v>145574.79999999999</v>
      </c>
      <c r="AB872" s="9">
        <f t="shared" si="141"/>
        <v>145576.00045333331</v>
      </c>
    </row>
    <row r="873" spans="1:28" x14ac:dyDescent="0.55000000000000004">
      <c r="A873" t="str">
        <f t="shared" si="132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COUNTIF(deals_closed!$D$2:$D$20001,Calculations!B755)</f>
        <v>22</v>
      </c>
      <c r="H873" s="7">
        <f>SUMIF(deals_closed!$D:$D,Calculations!B755,deals_closed!$C:$C)</f>
        <v>721672</v>
      </c>
      <c r="I873" s="5">
        <f>VLOOKUP(E873,'2018_commission_structure'!$A$1:$I$4,9,FALSE)</f>
        <v>500000</v>
      </c>
      <c r="J873" s="9">
        <f t="shared" si="133"/>
        <v>625000</v>
      </c>
      <c r="K873" s="10">
        <f t="shared" si="134"/>
        <v>750000</v>
      </c>
      <c r="L873" s="9">
        <f t="shared" si="135"/>
        <v>1000000</v>
      </c>
      <c r="M873" s="8">
        <f t="shared" si="136"/>
        <v>1.443344</v>
      </c>
      <c r="N873" t="str">
        <f t="shared" si="137"/>
        <v>125-150%</v>
      </c>
      <c r="O873" s="9">
        <f>MIN($H873,$I873)*INDEX('2018_commission_structure'!$A$1:$I$4,MATCH($E873,'2018_commission_structure'!$A$1:$A$4,0),MATCH(O$1,'2018_commission_structure'!$A$1:$I$1,0))</f>
        <v>50000</v>
      </c>
      <c r="P873" s="9">
        <f>IF(H873&gt;I873, MIN(H873-I873, J873-I873)*INDEX('2018_commission_structure'!$A$1:$I$4,MATCH($E873,'2018_commission_structure'!$A$1:$A$4,0),MATCH(P$1,'2018_commission_structure'!$A$1:$I$1,0)),0)</f>
        <v>18750</v>
      </c>
      <c r="Q873" s="9">
        <f>IF($H873&gt;J873, MIN($H873-J873, K873-J873)*INDEX('2018_commission_structure'!$A$1:$I$4,MATCH($E873,'2018_commission_structure'!$A$1:$A$4,0),MATCH(Q$1,'2018_commission_structure'!$A$1:$I$1,0)),0)</f>
        <v>17400.96</v>
      </c>
      <c r="R873" s="9">
        <f>IF($H873&gt;K873, MIN($H873-K873, L873-K873)*INDEX('2018_commission_structure'!$A$1:$I$4,MATCH($E873,'2018_commission_structure'!$A$1:$A$4,0),MATCH(R$1,'2018_commission_structure'!$A$1:$I$1,0)),0)</f>
        <v>0</v>
      </c>
      <c r="S873" s="9">
        <f>IF(H873&gt;L873,(H873-L873)*INDEX('2018_commission_structure'!$A$1:$I$4,MATCH($E873,'2018_commission_structure'!$A$1:$A$4,0),MATCH(S$1,'2018_commission_structure'!$A$1:$I$1,0)),0)</f>
        <v>0</v>
      </c>
      <c r="T873" s="9">
        <f t="shared" si="138"/>
        <v>86150.959999999992</v>
      </c>
      <c r="U873" s="9">
        <f t="shared" si="140"/>
        <v>116772.95999999999</v>
      </c>
      <c r="V873" s="9">
        <f>MIN($I873,$H873)*INDEX('Key Metrics'!$E$16:$N$19,MATCH($E873,'Key Metrics'!$E$16:$E$19,0),MATCH(V$1,'Key Metrics'!$E$16:$M$16,0))</f>
        <v>60000</v>
      </c>
      <c r="W873" s="9">
        <f>IF($H873&gt;I873, MIN($H873-I873, J873-I873)*INDEX('Key Metrics'!$E$16:$N$19,MATCH($E873,'Key Metrics'!$E$16:$E$19,0),MATCH(W$1,'Key Metrics'!$E$16:$M$16,0)),0)</f>
        <v>21250</v>
      </c>
      <c r="X873" s="9">
        <f>IF($H873&gt;J873, MIN($H873-J873, K873-J873)*INDEX('Key Metrics'!$E$16:$N$19,MATCH($E873,'Key Metrics'!$E$16:$E$19,0),MATCH(X$1,'Key Metrics'!$E$16:$M$16,0)),0)</f>
        <v>19334.400000000001</v>
      </c>
      <c r="Y873" s="9">
        <f>IF($H873&gt;K873, MIN($H873-K873, L873-K873)*INDEX('Key Metrics'!$E$16:$N$19,MATCH($E873,'Key Metrics'!$E$16:$E$19,0),MATCH(Y$1,'Key Metrics'!$E$16:$M$16,0)),0)</f>
        <v>0</v>
      </c>
      <c r="Z873" s="9">
        <f>IF($H873&gt;L873,($H873-L873)*INDEX('Key Metrics'!$E$16:$N$19,MATCH($E873,'Key Metrics'!$E$16:$E$19,0),MATCH(Z$1,'Key Metrics'!$E$16:$M$16,0)),0)</f>
        <v>0</v>
      </c>
      <c r="AA873" s="9">
        <f t="shared" si="139"/>
        <v>100584.4</v>
      </c>
      <c r="AB873" s="9">
        <f t="shared" si="141"/>
        <v>100585.84334399999</v>
      </c>
    </row>
    <row r="874" spans="1:28" x14ac:dyDescent="0.55000000000000004">
      <c r="A874" t="str">
        <f t="shared" si="132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COUNTIF(deals_closed!$D$2:$D$20001,Calculations!B958)</f>
        <v>14</v>
      </c>
      <c r="H874" s="7">
        <f>SUMIF(deals_closed!$D:$D,Calculations!B958,deals_closed!$C:$C)</f>
        <v>492390</v>
      </c>
      <c r="I874" s="5">
        <f>VLOOKUP(E874,'2018_commission_structure'!$A$1:$I$4,9,FALSE)</f>
        <v>500000</v>
      </c>
      <c r="J874" s="9">
        <f t="shared" si="133"/>
        <v>625000</v>
      </c>
      <c r="K874" s="10">
        <f t="shared" si="134"/>
        <v>750000</v>
      </c>
      <c r="L874" s="9">
        <f t="shared" si="135"/>
        <v>1000000</v>
      </c>
      <c r="M874" s="8">
        <f t="shared" si="136"/>
        <v>0.98477999999999999</v>
      </c>
      <c r="N874" t="str">
        <f t="shared" si="137"/>
        <v>0-100%</v>
      </c>
      <c r="O874" s="9">
        <f>MIN($H874,$I874)*INDEX('2018_commission_structure'!$A$1:$I$4,MATCH($E874,'2018_commission_structure'!$A$1:$A$4,0),MATCH(O$1,'2018_commission_structure'!$A$1:$I$1,0))</f>
        <v>49239</v>
      </c>
      <c r="P874" s="9">
        <f>IF(H874&gt;I874, MIN(H874-I874, J874-I874)*INDEX('2018_commission_structure'!$A$1:$I$4,MATCH($E874,'2018_commission_structure'!$A$1:$A$4,0),MATCH(P$1,'2018_commission_structure'!$A$1:$I$1,0)),0)</f>
        <v>0</v>
      </c>
      <c r="Q874" s="9">
        <f>IF($H874&gt;J874, MIN($H874-J874, K874-J874)*INDEX('2018_commission_structure'!$A$1:$I$4,MATCH($E874,'2018_commission_structure'!$A$1:$A$4,0),MATCH(Q$1,'2018_commission_structure'!$A$1:$I$1,0)),0)</f>
        <v>0</v>
      </c>
      <c r="R874" s="9">
        <f>IF($H874&gt;K874, MIN($H874-K874, L874-K874)*INDEX('2018_commission_structure'!$A$1:$I$4,MATCH($E874,'2018_commission_structure'!$A$1:$A$4,0),MATCH(R$1,'2018_commission_structure'!$A$1:$I$1,0)),0)</f>
        <v>0</v>
      </c>
      <c r="S874" s="9">
        <f>IF(H874&gt;L874,(H874-L874)*INDEX('2018_commission_structure'!$A$1:$I$4,MATCH($E874,'2018_commission_structure'!$A$1:$A$4,0),MATCH(S$1,'2018_commission_structure'!$A$1:$I$1,0)),0)</f>
        <v>0</v>
      </c>
      <c r="T874" s="9">
        <f t="shared" si="138"/>
        <v>49239</v>
      </c>
      <c r="U874" s="9">
        <f t="shared" si="140"/>
        <v>99159</v>
      </c>
      <c r="V874" s="9">
        <f>MIN($I874,$H874)*INDEX('Key Metrics'!$E$16:$N$19,MATCH($E874,'Key Metrics'!$E$16:$E$19,0),MATCH(V$1,'Key Metrics'!$E$16:$M$16,0))</f>
        <v>59086.799999999996</v>
      </c>
      <c r="W874" s="9">
        <f>IF($H874&gt;I874, MIN($H874-I874, J874-I874)*INDEX('Key Metrics'!$E$16:$N$19,MATCH($E874,'Key Metrics'!$E$16:$E$19,0),MATCH(W$1,'Key Metrics'!$E$16:$M$16,0)),0)</f>
        <v>0</v>
      </c>
      <c r="X874" s="9">
        <f>IF($H874&gt;J874, MIN($H874-J874, K874-J874)*INDEX('Key Metrics'!$E$16:$N$19,MATCH($E874,'Key Metrics'!$E$16:$E$19,0),MATCH(X$1,'Key Metrics'!$E$16:$M$16,0)),0)</f>
        <v>0</v>
      </c>
      <c r="Y874" s="9">
        <f>IF($H874&gt;K874, MIN($H874-K874, L874-K874)*INDEX('Key Metrics'!$E$16:$N$19,MATCH($E874,'Key Metrics'!$E$16:$E$19,0),MATCH(Y$1,'Key Metrics'!$E$16:$M$16,0)),0)</f>
        <v>0</v>
      </c>
      <c r="Z874" s="9">
        <f>IF($H874&gt;L874,($H874-L874)*INDEX('Key Metrics'!$E$16:$N$19,MATCH($E874,'Key Metrics'!$E$16:$E$19,0),MATCH(Z$1,'Key Metrics'!$E$16:$M$16,0)),0)</f>
        <v>0</v>
      </c>
      <c r="AA874" s="9">
        <f t="shared" si="139"/>
        <v>59086.799999999996</v>
      </c>
      <c r="AB874" s="9">
        <f t="shared" si="141"/>
        <v>59087.784779999994</v>
      </c>
    </row>
    <row r="875" spans="1:28" x14ac:dyDescent="0.55000000000000004">
      <c r="A875" t="str">
        <f t="shared" si="132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COUNTIF(deals_closed!$D$2:$D$20001,Calculations!B596)</f>
        <v>16</v>
      </c>
      <c r="H875" s="7">
        <f>SUMIF(deals_closed!$D:$D,Calculations!B596,deals_closed!$C:$C)</f>
        <v>492886</v>
      </c>
      <c r="I875" s="5">
        <f>VLOOKUP(E875,'2018_commission_structure'!$A$1:$I$4,9,FALSE)</f>
        <v>600000</v>
      </c>
      <c r="J875" s="9">
        <f t="shared" si="133"/>
        <v>750000</v>
      </c>
      <c r="K875" s="10">
        <f t="shared" si="134"/>
        <v>900000</v>
      </c>
      <c r="L875" s="9">
        <f t="shared" si="135"/>
        <v>1200000</v>
      </c>
      <c r="M875" s="8">
        <f t="shared" si="136"/>
        <v>0.82147666666666663</v>
      </c>
      <c r="N875" t="str">
        <f t="shared" si="137"/>
        <v>0-100%</v>
      </c>
      <c r="O875" s="9">
        <f>MIN($H875,$I875)*INDEX('2018_commission_structure'!$A$1:$I$4,MATCH($E875,'2018_commission_structure'!$A$1:$A$4,0),MATCH(O$1,'2018_commission_structure'!$A$1:$I$1,0))</f>
        <v>64075.18</v>
      </c>
      <c r="P875" s="9">
        <f>IF(H875&gt;I875, MIN(H875-I875, J875-I875)*INDEX('2018_commission_structure'!$A$1:$I$4,MATCH($E875,'2018_commission_structure'!$A$1:$A$4,0),MATCH(P$1,'2018_commission_structure'!$A$1:$I$1,0)),0)</f>
        <v>0</v>
      </c>
      <c r="Q875" s="9">
        <f>IF($H875&gt;J875, MIN($H875-J875, K875-J875)*INDEX('2018_commission_structure'!$A$1:$I$4,MATCH($E875,'2018_commission_structure'!$A$1:$A$4,0),MATCH(Q$1,'2018_commission_structure'!$A$1:$I$1,0)),0)</f>
        <v>0</v>
      </c>
      <c r="R875" s="9">
        <f>IF($H875&gt;K875, MIN($H875-K875, L875-K875)*INDEX('2018_commission_structure'!$A$1:$I$4,MATCH($E875,'2018_commission_structure'!$A$1:$A$4,0),MATCH(R$1,'2018_commission_structure'!$A$1:$I$1,0)),0)</f>
        <v>0</v>
      </c>
      <c r="S875" s="9">
        <f>IF(H875&gt;L875,(H875-L875)*INDEX('2018_commission_structure'!$A$1:$I$4,MATCH($E875,'2018_commission_structure'!$A$1:$A$4,0),MATCH(S$1,'2018_commission_structure'!$A$1:$I$1,0)),0)</f>
        <v>0</v>
      </c>
      <c r="T875" s="9">
        <f t="shared" si="138"/>
        <v>64075.18</v>
      </c>
      <c r="U875" s="9">
        <f t="shared" si="140"/>
        <v>144058.18</v>
      </c>
      <c r="V875" s="9">
        <f>MIN($I875,$H875)*INDEX('Key Metrics'!$E$16:$N$19,MATCH($E875,'Key Metrics'!$E$16:$E$19,0),MATCH(V$1,'Key Metrics'!$E$16:$M$16,0))</f>
        <v>73932.899999999994</v>
      </c>
      <c r="W875" s="9">
        <f>IF($H875&gt;I875, MIN($H875-I875, J875-I875)*INDEX('Key Metrics'!$E$16:$N$19,MATCH($E875,'Key Metrics'!$E$16:$E$19,0),MATCH(W$1,'Key Metrics'!$E$16:$M$16,0)),0)</f>
        <v>0</v>
      </c>
      <c r="X875" s="9">
        <f>IF($H875&gt;J875, MIN($H875-J875, K875-J875)*INDEX('Key Metrics'!$E$16:$N$19,MATCH($E875,'Key Metrics'!$E$16:$E$19,0),MATCH(X$1,'Key Metrics'!$E$16:$M$16,0)),0)</f>
        <v>0</v>
      </c>
      <c r="Y875" s="9">
        <f>IF($H875&gt;K875, MIN($H875-K875, L875-K875)*INDEX('Key Metrics'!$E$16:$N$19,MATCH($E875,'Key Metrics'!$E$16:$E$19,0),MATCH(Y$1,'Key Metrics'!$E$16:$M$16,0)),0)</f>
        <v>0</v>
      </c>
      <c r="Z875" s="9">
        <f>IF($H875&gt;L875,($H875-L875)*INDEX('Key Metrics'!$E$16:$N$19,MATCH($E875,'Key Metrics'!$E$16:$E$19,0),MATCH(Z$1,'Key Metrics'!$E$16:$M$16,0)),0)</f>
        <v>0</v>
      </c>
      <c r="AA875" s="9">
        <f t="shared" si="139"/>
        <v>73932.899999999994</v>
      </c>
      <c r="AB875" s="9">
        <f t="shared" si="141"/>
        <v>73933.721476666658</v>
      </c>
    </row>
    <row r="876" spans="1:28" x14ac:dyDescent="0.55000000000000004">
      <c r="A876" t="str">
        <f t="shared" si="132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COUNTIF(deals_closed!$D$2:$D$20001,Calculations!B337)</f>
        <v>22</v>
      </c>
      <c r="H876" s="7">
        <f>SUMIF(deals_closed!$D:$D,Calculations!B337,deals_closed!$C:$C)</f>
        <v>792767</v>
      </c>
      <c r="I876" s="5">
        <f>VLOOKUP(E876,'2018_commission_structure'!$A$1:$I$4,9,FALSE)</f>
        <v>750000</v>
      </c>
      <c r="J876" s="9">
        <f t="shared" si="133"/>
        <v>937500</v>
      </c>
      <c r="K876" s="10">
        <f t="shared" si="134"/>
        <v>1125000</v>
      </c>
      <c r="L876" s="9">
        <f t="shared" si="135"/>
        <v>1500000</v>
      </c>
      <c r="M876" s="8">
        <f t="shared" si="136"/>
        <v>1.0570226666666667</v>
      </c>
      <c r="N876" t="str">
        <f t="shared" si="137"/>
        <v>100-125%</v>
      </c>
      <c r="O876" s="9">
        <f>MIN($H876,$I876)*INDEX('2018_commission_structure'!$A$1:$I$4,MATCH($E876,'2018_commission_structure'!$A$1:$A$4,0),MATCH(O$1,'2018_commission_structure'!$A$1:$I$1,0))</f>
        <v>112500</v>
      </c>
      <c r="P876" s="9">
        <f>IF(H876&gt;I876, MIN(H876-I876, J876-I876)*INDEX('2018_commission_structure'!$A$1:$I$4,MATCH($E876,'2018_commission_structure'!$A$1:$A$4,0),MATCH(P$1,'2018_commission_structure'!$A$1:$I$1,0)),0)</f>
        <v>8125.7300000000005</v>
      </c>
      <c r="Q876" s="9">
        <f>IF($H876&gt;J876, MIN($H876-J876, K876-J876)*INDEX('2018_commission_structure'!$A$1:$I$4,MATCH($E876,'2018_commission_structure'!$A$1:$A$4,0),MATCH(Q$1,'2018_commission_structure'!$A$1:$I$1,0)),0)</f>
        <v>0</v>
      </c>
      <c r="R876" s="9">
        <f>IF($H876&gt;K876, MIN($H876-K876, L876-K876)*INDEX('2018_commission_structure'!$A$1:$I$4,MATCH($E876,'2018_commission_structure'!$A$1:$A$4,0),MATCH(R$1,'2018_commission_structure'!$A$1:$I$1,0)),0)</f>
        <v>0</v>
      </c>
      <c r="S876" s="9">
        <f>IF(H876&gt;L876,(H876-L876)*INDEX('2018_commission_structure'!$A$1:$I$4,MATCH($E876,'2018_commission_structure'!$A$1:$A$4,0),MATCH(S$1,'2018_commission_structure'!$A$1:$I$1,0)),0)</f>
        <v>0</v>
      </c>
      <c r="T876" s="9">
        <f t="shared" si="138"/>
        <v>120625.73</v>
      </c>
      <c r="U876" s="9">
        <f t="shared" si="140"/>
        <v>206213.72999999998</v>
      </c>
      <c r="V876" s="9">
        <f>MIN($I876,$H876)*INDEX('Key Metrics'!$E$16:$N$19,MATCH($E876,'Key Metrics'!$E$16:$E$19,0),MATCH(V$1,'Key Metrics'!$E$16:$M$16,0))</f>
        <v>112500</v>
      </c>
      <c r="W876" s="9">
        <f>IF($H876&gt;I876, MIN($H876-I876, J876-I876)*INDEX('Key Metrics'!$E$16:$N$19,MATCH($E876,'Key Metrics'!$E$16:$E$19,0),MATCH(W$1,'Key Metrics'!$E$16:$M$16,0)),0)</f>
        <v>9408.74</v>
      </c>
      <c r="X876" s="9">
        <f>IF($H876&gt;J876, MIN($H876-J876, K876-J876)*INDEX('Key Metrics'!$E$16:$N$19,MATCH($E876,'Key Metrics'!$E$16:$E$19,0),MATCH(X$1,'Key Metrics'!$E$16:$M$16,0)),0)</f>
        <v>0</v>
      </c>
      <c r="Y876" s="9">
        <f>IF($H876&gt;K876, MIN($H876-K876, L876-K876)*INDEX('Key Metrics'!$E$16:$N$19,MATCH($E876,'Key Metrics'!$E$16:$E$19,0),MATCH(Y$1,'Key Metrics'!$E$16:$M$16,0)),0)</f>
        <v>0</v>
      </c>
      <c r="Z876" s="9">
        <f>IF($H876&gt;L876,($H876-L876)*INDEX('Key Metrics'!$E$16:$N$19,MATCH($E876,'Key Metrics'!$E$16:$E$19,0),MATCH(Z$1,'Key Metrics'!$E$16:$M$16,0)),0)</f>
        <v>0</v>
      </c>
      <c r="AA876" s="9">
        <f t="shared" si="139"/>
        <v>121908.74</v>
      </c>
      <c r="AB876" s="9">
        <f t="shared" si="141"/>
        <v>121909.79702266667</v>
      </c>
    </row>
    <row r="877" spans="1:28" x14ac:dyDescent="0.55000000000000004">
      <c r="A877" t="str">
        <f t="shared" si="132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COUNTIF(deals_closed!$D$2:$D$20001,Calculations!B590)</f>
        <v>26</v>
      </c>
      <c r="H877" s="7">
        <f>SUMIF(deals_closed!$D:$D,Calculations!B590,deals_closed!$C:$C)</f>
        <v>991891</v>
      </c>
      <c r="I877" s="5">
        <f>VLOOKUP(E877,'2018_commission_structure'!$A$1:$I$4,9,FALSE)</f>
        <v>750000</v>
      </c>
      <c r="J877" s="9">
        <f t="shared" si="133"/>
        <v>937500</v>
      </c>
      <c r="K877" s="10">
        <f t="shared" si="134"/>
        <v>1125000</v>
      </c>
      <c r="L877" s="9">
        <f t="shared" si="135"/>
        <v>1500000</v>
      </c>
      <c r="M877" s="8">
        <f t="shared" si="136"/>
        <v>1.3225213333333334</v>
      </c>
      <c r="N877" t="str">
        <f t="shared" si="137"/>
        <v>125-150%</v>
      </c>
      <c r="O877" s="9">
        <f>MIN($H877,$I877)*INDEX('2018_commission_structure'!$A$1:$I$4,MATCH($E877,'2018_commission_structure'!$A$1:$A$4,0),MATCH(O$1,'2018_commission_structure'!$A$1:$I$1,0))</f>
        <v>112500</v>
      </c>
      <c r="P877" s="9">
        <f>IF(H877&gt;I877, MIN(H877-I877, J877-I877)*INDEX('2018_commission_structure'!$A$1:$I$4,MATCH($E877,'2018_commission_structure'!$A$1:$A$4,0),MATCH(P$1,'2018_commission_structure'!$A$1:$I$1,0)),0)</f>
        <v>35625</v>
      </c>
      <c r="Q877" s="9">
        <f>IF($H877&gt;J877, MIN($H877-J877, K877-J877)*INDEX('2018_commission_structure'!$A$1:$I$4,MATCH($E877,'2018_commission_structure'!$A$1:$A$4,0),MATCH(Q$1,'2018_commission_structure'!$A$1:$I$1,0)),0)</f>
        <v>12509.93</v>
      </c>
      <c r="R877" s="9">
        <f>IF($H877&gt;K877, MIN($H877-K877, L877-K877)*INDEX('2018_commission_structure'!$A$1:$I$4,MATCH($E877,'2018_commission_structure'!$A$1:$A$4,0),MATCH(R$1,'2018_commission_structure'!$A$1:$I$1,0)),0)</f>
        <v>0</v>
      </c>
      <c r="S877" s="9">
        <f>IF(H877&gt;L877,(H877-L877)*INDEX('2018_commission_structure'!$A$1:$I$4,MATCH($E877,'2018_commission_structure'!$A$1:$A$4,0),MATCH(S$1,'2018_commission_structure'!$A$1:$I$1,0)),0)</f>
        <v>0</v>
      </c>
      <c r="T877" s="9">
        <f t="shared" si="138"/>
        <v>160634.93</v>
      </c>
      <c r="U877" s="9">
        <f t="shared" si="140"/>
        <v>272183.93</v>
      </c>
      <c r="V877" s="9">
        <f>MIN($I877,$H877)*INDEX('Key Metrics'!$E$16:$N$19,MATCH($E877,'Key Metrics'!$E$16:$E$19,0),MATCH(V$1,'Key Metrics'!$E$16:$M$16,0))</f>
        <v>112500</v>
      </c>
      <c r="W877" s="9">
        <f>IF($H877&gt;I877, MIN($H877-I877, J877-I877)*INDEX('Key Metrics'!$E$16:$N$19,MATCH($E877,'Key Metrics'!$E$16:$E$19,0),MATCH(W$1,'Key Metrics'!$E$16:$M$16,0)),0)</f>
        <v>41250</v>
      </c>
      <c r="X877" s="9">
        <f>IF($H877&gt;J877, MIN($H877-J877, K877-J877)*INDEX('Key Metrics'!$E$16:$N$19,MATCH($E877,'Key Metrics'!$E$16:$E$19,0),MATCH(X$1,'Key Metrics'!$E$16:$M$16,0)),0)</f>
        <v>13597.75</v>
      </c>
      <c r="Y877" s="9">
        <f>IF($H877&gt;K877, MIN($H877-K877, L877-K877)*INDEX('Key Metrics'!$E$16:$N$19,MATCH($E877,'Key Metrics'!$E$16:$E$19,0),MATCH(Y$1,'Key Metrics'!$E$16:$M$16,0)),0)</f>
        <v>0</v>
      </c>
      <c r="Z877" s="9">
        <f>IF($H877&gt;L877,($H877-L877)*INDEX('Key Metrics'!$E$16:$N$19,MATCH($E877,'Key Metrics'!$E$16:$E$19,0),MATCH(Z$1,'Key Metrics'!$E$16:$M$16,0)),0)</f>
        <v>0</v>
      </c>
      <c r="AA877" s="9">
        <f t="shared" si="139"/>
        <v>167347.75</v>
      </c>
      <c r="AB877" s="9">
        <f t="shared" si="141"/>
        <v>167349.07252133332</v>
      </c>
    </row>
    <row r="878" spans="1:28" x14ac:dyDescent="0.55000000000000004">
      <c r="A878" t="str">
        <f t="shared" si="132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COUNTIF(deals_closed!$D$2:$D$20001,Calculations!B40)</f>
        <v>19</v>
      </c>
      <c r="H878" s="7">
        <f>SUMIF(deals_closed!$D:$D,Calculations!B40,deals_closed!$C:$C)</f>
        <v>558872</v>
      </c>
      <c r="I878" s="5">
        <f>VLOOKUP(E878,'2018_commission_structure'!$A$1:$I$4,9,FALSE)</f>
        <v>600000</v>
      </c>
      <c r="J878" s="9">
        <f t="shared" si="133"/>
        <v>750000</v>
      </c>
      <c r="K878" s="10">
        <f t="shared" si="134"/>
        <v>900000</v>
      </c>
      <c r="L878" s="9">
        <f t="shared" si="135"/>
        <v>1200000</v>
      </c>
      <c r="M878" s="8">
        <f t="shared" si="136"/>
        <v>0.93145333333333336</v>
      </c>
      <c r="N878" t="str">
        <f t="shared" si="137"/>
        <v>0-100%</v>
      </c>
      <c r="O878" s="9">
        <f>MIN($H878,$I878)*INDEX('2018_commission_structure'!$A$1:$I$4,MATCH($E878,'2018_commission_structure'!$A$1:$A$4,0),MATCH(O$1,'2018_commission_structure'!$A$1:$I$1,0))</f>
        <v>72653.36</v>
      </c>
      <c r="P878" s="9">
        <f>IF(H878&gt;I878, MIN(H878-I878, J878-I878)*INDEX('2018_commission_structure'!$A$1:$I$4,MATCH($E878,'2018_commission_structure'!$A$1:$A$4,0),MATCH(P$1,'2018_commission_structure'!$A$1:$I$1,0)),0)</f>
        <v>0</v>
      </c>
      <c r="Q878" s="9">
        <f>IF($H878&gt;J878, MIN($H878-J878, K878-J878)*INDEX('2018_commission_structure'!$A$1:$I$4,MATCH($E878,'2018_commission_structure'!$A$1:$A$4,0),MATCH(Q$1,'2018_commission_structure'!$A$1:$I$1,0)),0)</f>
        <v>0</v>
      </c>
      <c r="R878" s="9">
        <f>IF($H878&gt;K878, MIN($H878-K878, L878-K878)*INDEX('2018_commission_structure'!$A$1:$I$4,MATCH($E878,'2018_commission_structure'!$A$1:$A$4,0),MATCH(R$1,'2018_commission_structure'!$A$1:$I$1,0)),0)</f>
        <v>0</v>
      </c>
      <c r="S878" s="9">
        <f>IF(H878&gt;L878,(H878-L878)*INDEX('2018_commission_structure'!$A$1:$I$4,MATCH($E878,'2018_commission_structure'!$A$1:$A$4,0),MATCH(S$1,'2018_commission_structure'!$A$1:$I$1,0)),0)</f>
        <v>0</v>
      </c>
      <c r="T878" s="9">
        <f t="shared" si="138"/>
        <v>72653.36</v>
      </c>
      <c r="U878" s="9">
        <f t="shared" si="140"/>
        <v>149902.35999999999</v>
      </c>
      <c r="V878" s="9">
        <f>MIN($I878,$H878)*INDEX('Key Metrics'!$E$16:$N$19,MATCH($E878,'Key Metrics'!$E$16:$E$19,0),MATCH(V$1,'Key Metrics'!$E$16:$M$16,0))</f>
        <v>83830.8</v>
      </c>
      <c r="W878" s="9">
        <f>IF($H878&gt;I878, MIN($H878-I878, J878-I878)*INDEX('Key Metrics'!$E$16:$N$19,MATCH($E878,'Key Metrics'!$E$16:$E$19,0),MATCH(W$1,'Key Metrics'!$E$16:$M$16,0)),0)</f>
        <v>0</v>
      </c>
      <c r="X878" s="9">
        <f>IF($H878&gt;J878, MIN($H878-J878, K878-J878)*INDEX('Key Metrics'!$E$16:$N$19,MATCH($E878,'Key Metrics'!$E$16:$E$19,0),MATCH(X$1,'Key Metrics'!$E$16:$M$16,0)),0)</f>
        <v>0</v>
      </c>
      <c r="Y878" s="9">
        <f>IF($H878&gt;K878, MIN($H878-K878, L878-K878)*INDEX('Key Metrics'!$E$16:$N$19,MATCH($E878,'Key Metrics'!$E$16:$E$19,0),MATCH(Y$1,'Key Metrics'!$E$16:$M$16,0)),0)</f>
        <v>0</v>
      </c>
      <c r="Z878" s="9">
        <f>IF($H878&gt;L878,($H878-L878)*INDEX('Key Metrics'!$E$16:$N$19,MATCH($E878,'Key Metrics'!$E$16:$E$19,0),MATCH(Z$1,'Key Metrics'!$E$16:$M$16,0)),0)</f>
        <v>0</v>
      </c>
      <c r="AA878" s="9">
        <f t="shared" si="139"/>
        <v>83830.8</v>
      </c>
      <c r="AB878" s="9">
        <f t="shared" si="141"/>
        <v>83831.731453333341</v>
      </c>
    </row>
    <row r="879" spans="1:28" x14ac:dyDescent="0.55000000000000004">
      <c r="A879" t="str">
        <f t="shared" si="132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COUNTIF(deals_closed!$D$2:$D$20001,Calculations!B607)</f>
        <v>20</v>
      </c>
      <c r="H879" s="7">
        <f>SUMIF(deals_closed!$D:$D,Calculations!B607,deals_closed!$C:$C)</f>
        <v>653912</v>
      </c>
      <c r="I879" s="5">
        <f>VLOOKUP(E879,'2018_commission_structure'!$A$1:$I$4,9,FALSE)</f>
        <v>750000</v>
      </c>
      <c r="J879" s="9">
        <f t="shared" si="133"/>
        <v>937500</v>
      </c>
      <c r="K879" s="10">
        <f t="shared" si="134"/>
        <v>1125000</v>
      </c>
      <c r="L879" s="9">
        <f t="shared" si="135"/>
        <v>1500000</v>
      </c>
      <c r="M879" s="8">
        <f t="shared" si="136"/>
        <v>0.87188266666666669</v>
      </c>
      <c r="N879" t="str">
        <f t="shared" si="137"/>
        <v>0-100%</v>
      </c>
      <c r="O879" s="9">
        <f>MIN($H879,$I879)*INDEX('2018_commission_structure'!$A$1:$I$4,MATCH($E879,'2018_commission_structure'!$A$1:$A$4,0),MATCH(O$1,'2018_commission_structure'!$A$1:$I$1,0))</f>
        <v>98086.8</v>
      </c>
      <c r="P879" s="9">
        <f>IF(H879&gt;I879, MIN(H879-I879, J879-I879)*INDEX('2018_commission_structure'!$A$1:$I$4,MATCH($E879,'2018_commission_structure'!$A$1:$A$4,0),MATCH(P$1,'2018_commission_structure'!$A$1:$I$1,0)),0)</f>
        <v>0</v>
      </c>
      <c r="Q879" s="9">
        <f>IF($H879&gt;J879, MIN($H879-J879, K879-J879)*INDEX('2018_commission_structure'!$A$1:$I$4,MATCH($E879,'2018_commission_structure'!$A$1:$A$4,0),MATCH(Q$1,'2018_commission_structure'!$A$1:$I$1,0)),0)</f>
        <v>0</v>
      </c>
      <c r="R879" s="9">
        <f>IF($H879&gt;K879, MIN($H879-K879, L879-K879)*INDEX('2018_commission_structure'!$A$1:$I$4,MATCH($E879,'2018_commission_structure'!$A$1:$A$4,0),MATCH(R$1,'2018_commission_structure'!$A$1:$I$1,0)),0)</f>
        <v>0</v>
      </c>
      <c r="S879" s="9">
        <f>IF(H879&gt;L879,(H879-L879)*INDEX('2018_commission_structure'!$A$1:$I$4,MATCH($E879,'2018_commission_structure'!$A$1:$A$4,0),MATCH(S$1,'2018_commission_structure'!$A$1:$I$1,0)),0)</f>
        <v>0</v>
      </c>
      <c r="T879" s="9">
        <f t="shared" si="138"/>
        <v>98086.8</v>
      </c>
      <c r="U879" s="9">
        <f t="shared" si="140"/>
        <v>181333.8</v>
      </c>
      <c r="V879" s="9">
        <f>MIN($I879,$H879)*INDEX('Key Metrics'!$E$16:$N$19,MATCH($E879,'Key Metrics'!$E$16:$E$19,0),MATCH(V$1,'Key Metrics'!$E$16:$M$16,0))</f>
        <v>98086.8</v>
      </c>
      <c r="W879" s="9">
        <f>IF($H879&gt;I879, MIN($H879-I879, J879-I879)*INDEX('Key Metrics'!$E$16:$N$19,MATCH($E879,'Key Metrics'!$E$16:$E$19,0),MATCH(W$1,'Key Metrics'!$E$16:$M$16,0)),0)</f>
        <v>0</v>
      </c>
      <c r="X879" s="9">
        <f>IF($H879&gt;J879, MIN($H879-J879, K879-J879)*INDEX('Key Metrics'!$E$16:$N$19,MATCH($E879,'Key Metrics'!$E$16:$E$19,0),MATCH(X$1,'Key Metrics'!$E$16:$M$16,0)),0)</f>
        <v>0</v>
      </c>
      <c r="Y879" s="9">
        <f>IF($H879&gt;K879, MIN($H879-K879, L879-K879)*INDEX('Key Metrics'!$E$16:$N$19,MATCH($E879,'Key Metrics'!$E$16:$E$19,0),MATCH(Y$1,'Key Metrics'!$E$16:$M$16,0)),0)</f>
        <v>0</v>
      </c>
      <c r="Z879" s="9">
        <f>IF($H879&gt;L879,($H879-L879)*INDEX('Key Metrics'!$E$16:$N$19,MATCH($E879,'Key Metrics'!$E$16:$E$19,0),MATCH(Z$1,'Key Metrics'!$E$16:$M$16,0)),0)</f>
        <v>0</v>
      </c>
      <c r="AA879" s="9">
        <f t="shared" si="139"/>
        <v>98086.8</v>
      </c>
      <c r="AB879" s="9">
        <f t="shared" si="141"/>
        <v>98087.671882666677</v>
      </c>
    </row>
    <row r="880" spans="1:28" x14ac:dyDescent="0.55000000000000004">
      <c r="A880" t="str">
        <f t="shared" si="132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COUNTIF(deals_closed!$D$2:$D$20001,Calculations!B914)</f>
        <v>20</v>
      </c>
      <c r="H880" s="7">
        <f>SUMIF(deals_closed!$D:$D,Calculations!B914,deals_closed!$C:$C)</f>
        <v>637072</v>
      </c>
      <c r="I880" s="5">
        <f>VLOOKUP(E880,'2018_commission_structure'!$A$1:$I$4,9,FALSE)</f>
        <v>750000</v>
      </c>
      <c r="J880" s="9">
        <f t="shared" si="133"/>
        <v>937500</v>
      </c>
      <c r="K880" s="10">
        <f t="shared" si="134"/>
        <v>1125000</v>
      </c>
      <c r="L880" s="9">
        <f t="shared" si="135"/>
        <v>1500000</v>
      </c>
      <c r="M880" s="8">
        <f t="shared" si="136"/>
        <v>0.84942933333333337</v>
      </c>
      <c r="N880" t="str">
        <f t="shared" si="137"/>
        <v>0-100%</v>
      </c>
      <c r="O880" s="9">
        <f>MIN($H880,$I880)*INDEX('2018_commission_structure'!$A$1:$I$4,MATCH($E880,'2018_commission_structure'!$A$1:$A$4,0),MATCH(O$1,'2018_commission_structure'!$A$1:$I$1,0))</f>
        <v>95560.8</v>
      </c>
      <c r="P880" s="9">
        <f>IF(H880&gt;I880, MIN(H880-I880, J880-I880)*INDEX('2018_commission_structure'!$A$1:$I$4,MATCH($E880,'2018_commission_structure'!$A$1:$A$4,0),MATCH(P$1,'2018_commission_structure'!$A$1:$I$1,0)),0)</f>
        <v>0</v>
      </c>
      <c r="Q880" s="9">
        <f>IF($H880&gt;J880, MIN($H880-J880, K880-J880)*INDEX('2018_commission_structure'!$A$1:$I$4,MATCH($E880,'2018_commission_structure'!$A$1:$A$4,0),MATCH(Q$1,'2018_commission_structure'!$A$1:$I$1,0)),0)</f>
        <v>0</v>
      </c>
      <c r="R880" s="9">
        <f>IF($H880&gt;K880, MIN($H880-K880, L880-K880)*INDEX('2018_commission_structure'!$A$1:$I$4,MATCH($E880,'2018_commission_structure'!$A$1:$A$4,0),MATCH(R$1,'2018_commission_structure'!$A$1:$I$1,0)),0)</f>
        <v>0</v>
      </c>
      <c r="S880" s="9">
        <f>IF(H880&gt;L880,(H880-L880)*INDEX('2018_commission_structure'!$A$1:$I$4,MATCH($E880,'2018_commission_structure'!$A$1:$A$4,0),MATCH(S$1,'2018_commission_structure'!$A$1:$I$1,0)),0)</f>
        <v>0</v>
      </c>
      <c r="T880" s="9">
        <f t="shared" si="138"/>
        <v>95560.8</v>
      </c>
      <c r="U880" s="9">
        <f t="shared" si="140"/>
        <v>182523.8</v>
      </c>
      <c r="V880" s="9">
        <f>MIN($I880,$H880)*INDEX('Key Metrics'!$E$16:$N$19,MATCH($E880,'Key Metrics'!$E$16:$E$19,0),MATCH(V$1,'Key Metrics'!$E$16:$M$16,0))</f>
        <v>95560.8</v>
      </c>
      <c r="W880" s="9">
        <f>IF($H880&gt;I880, MIN($H880-I880, J880-I880)*INDEX('Key Metrics'!$E$16:$N$19,MATCH($E880,'Key Metrics'!$E$16:$E$19,0),MATCH(W$1,'Key Metrics'!$E$16:$M$16,0)),0)</f>
        <v>0</v>
      </c>
      <c r="X880" s="9">
        <f>IF($H880&gt;J880, MIN($H880-J880, K880-J880)*INDEX('Key Metrics'!$E$16:$N$19,MATCH($E880,'Key Metrics'!$E$16:$E$19,0),MATCH(X$1,'Key Metrics'!$E$16:$M$16,0)),0)</f>
        <v>0</v>
      </c>
      <c r="Y880" s="9">
        <f>IF($H880&gt;K880, MIN($H880-K880, L880-K880)*INDEX('Key Metrics'!$E$16:$N$19,MATCH($E880,'Key Metrics'!$E$16:$E$19,0),MATCH(Y$1,'Key Metrics'!$E$16:$M$16,0)),0)</f>
        <v>0</v>
      </c>
      <c r="Z880" s="9">
        <f>IF($H880&gt;L880,($H880-L880)*INDEX('Key Metrics'!$E$16:$N$19,MATCH($E880,'Key Metrics'!$E$16:$E$19,0),MATCH(Z$1,'Key Metrics'!$E$16:$M$16,0)),0)</f>
        <v>0</v>
      </c>
      <c r="AA880" s="9">
        <f t="shared" si="139"/>
        <v>95560.8</v>
      </c>
      <c r="AB880" s="9">
        <f t="shared" si="141"/>
        <v>95561.649429333338</v>
      </c>
    </row>
    <row r="881" spans="1:28" x14ac:dyDescent="0.55000000000000004">
      <c r="A881" t="str">
        <f t="shared" si="132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COUNTIF(deals_closed!$D$2:$D$20001,Calculations!B410)</f>
        <v>17</v>
      </c>
      <c r="H881" s="7">
        <f>SUMIF(deals_closed!$D:$D,Calculations!B410,deals_closed!$C:$C)</f>
        <v>550672</v>
      </c>
      <c r="I881" s="5">
        <f>VLOOKUP(E881,'2018_commission_structure'!$A$1:$I$4,9,FALSE)</f>
        <v>750000</v>
      </c>
      <c r="J881" s="9">
        <f t="shared" si="133"/>
        <v>937500</v>
      </c>
      <c r="K881" s="10">
        <f t="shared" si="134"/>
        <v>1125000</v>
      </c>
      <c r="L881" s="9">
        <f t="shared" si="135"/>
        <v>1500000</v>
      </c>
      <c r="M881" s="8">
        <f t="shared" si="136"/>
        <v>0.73422933333333329</v>
      </c>
      <c r="N881" t="str">
        <f t="shared" si="137"/>
        <v>0-100%</v>
      </c>
      <c r="O881" s="9">
        <f>MIN($H881,$I881)*INDEX('2018_commission_structure'!$A$1:$I$4,MATCH($E881,'2018_commission_structure'!$A$1:$A$4,0),MATCH(O$1,'2018_commission_structure'!$A$1:$I$1,0))</f>
        <v>82600.800000000003</v>
      </c>
      <c r="P881" s="9">
        <f>IF(H881&gt;I881, MIN(H881-I881, J881-I881)*INDEX('2018_commission_structure'!$A$1:$I$4,MATCH($E881,'2018_commission_structure'!$A$1:$A$4,0),MATCH(P$1,'2018_commission_structure'!$A$1:$I$1,0)),0)</f>
        <v>0</v>
      </c>
      <c r="Q881" s="9">
        <f>IF($H881&gt;J881, MIN($H881-J881, K881-J881)*INDEX('2018_commission_structure'!$A$1:$I$4,MATCH($E881,'2018_commission_structure'!$A$1:$A$4,0),MATCH(Q$1,'2018_commission_structure'!$A$1:$I$1,0)),0)</f>
        <v>0</v>
      </c>
      <c r="R881" s="9">
        <f>IF($H881&gt;K881, MIN($H881-K881, L881-K881)*INDEX('2018_commission_structure'!$A$1:$I$4,MATCH($E881,'2018_commission_structure'!$A$1:$A$4,0),MATCH(R$1,'2018_commission_structure'!$A$1:$I$1,0)),0)</f>
        <v>0</v>
      </c>
      <c r="S881" s="9">
        <f>IF(H881&gt;L881,(H881-L881)*INDEX('2018_commission_structure'!$A$1:$I$4,MATCH($E881,'2018_commission_structure'!$A$1:$A$4,0),MATCH(S$1,'2018_commission_structure'!$A$1:$I$1,0)),0)</f>
        <v>0</v>
      </c>
      <c r="T881" s="9">
        <f t="shared" si="138"/>
        <v>82600.800000000003</v>
      </c>
      <c r="U881" s="9">
        <f t="shared" si="140"/>
        <v>191581.8</v>
      </c>
      <c r="V881" s="9">
        <f>MIN($I881,$H881)*INDEX('Key Metrics'!$E$16:$N$19,MATCH($E881,'Key Metrics'!$E$16:$E$19,0),MATCH(V$1,'Key Metrics'!$E$16:$M$16,0))</f>
        <v>82600.800000000003</v>
      </c>
      <c r="W881" s="9">
        <f>IF($H881&gt;I881, MIN($H881-I881, J881-I881)*INDEX('Key Metrics'!$E$16:$N$19,MATCH($E881,'Key Metrics'!$E$16:$E$19,0),MATCH(W$1,'Key Metrics'!$E$16:$M$16,0)),0)</f>
        <v>0</v>
      </c>
      <c r="X881" s="9">
        <f>IF($H881&gt;J881, MIN($H881-J881, K881-J881)*INDEX('Key Metrics'!$E$16:$N$19,MATCH($E881,'Key Metrics'!$E$16:$E$19,0),MATCH(X$1,'Key Metrics'!$E$16:$M$16,0)),0)</f>
        <v>0</v>
      </c>
      <c r="Y881" s="9">
        <f>IF($H881&gt;K881, MIN($H881-K881, L881-K881)*INDEX('Key Metrics'!$E$16:$N$19,MATCH($E881,'Key Metrics'!$E$16:$E$19,0),MATCH(Y$1,'Key Metrics'!$E$16:$M$16,0)),0)</f>
        <v>0</v>
      </c>
      <c r="Z881" s="9">
        <f>IF($H881&gt;L881,($H881-L881)*INDEX('Key Metrics'!$E$16:$N$19,MATCH($E881,'Key Metrics'!$E$16:$E$19,0),MATCH(Z$1,'Key Metrics'!$E$16:$M$16,0)),0)</f>
        <v>0</v>
      </c>
      <c r="AA881" s="9">
        <f t="shared" si="139"/>
        <v>82600.800000000003</v>
      </c>
      <c r="AB881" s="9">
        <f t="shared" si="141"/>
        <v>82601.534229333338</v>
      </c>
    </row>
    <row r="882" spans="1:28" x14ac:dyDescent="0.55000000000000004">
      <c r="A882" t="str">
        <f t="shared" si="132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COUNTIF(deals_closed!$D$2:$D$20001,Calculations!B50)</f>
        <v>15</v>
      </c>
      <c r="H882" s="7">
        <f>SUMIF(deals_closed!$D:$D,Calculations!B50,deals_closed!$C:$C)</f>
        <v>493637</v>
      </c>
      <c r="I882" s="5">
        <f>VLOOKUP(E882,'2018_commission_structure'!$A$1:$I$4,9,FALSE)</f>
        <v>500000</v>
      </c>
      <c r="J882" s="9">
        <f t="shared" si="133"/>
        <v>625000</v>
      </c>
      <c r="K882" s="10">
        <f t="shared" si="134"/>
        <v>750000</v>
      </c>
      <c r="L882" s="9">
        <f t="shared" si="135"/>
        <v>1000000</v>
      </c>
      <c r="M882" s="8">
        <f t="shared" si="136"/>
        <v>0.98727399999999998</v>
      </c>
      <c r="N882" t="str">
        <f t="shared" si="137"/>
        <v>0-100%</v>
      </c>
      <c r="O882" s="9">
        <f>MIN($H882,$I882)*INDEX('2018_commission_structure'!$A$1:$I$4,MATCH($E882,'2018_commission_structure'!$A$1:$A$4,0),MATCH(O$1,'2018_commission_structure'!$A$1:$I$1,0))</f>
        <v>49363.700000000004</v>
      </c>
      <c r="P882" s="9">
        <f>IF(H882&gt;I882, MIN(H882-I882, J882-I882)*INDEX('2018_commission_structure'!$A$1:$I$4,MATCH($E882,'2018_commission_structure'!$A$1:$A$4,0),MATCH(P$1,'2018_commission_structure'!$A$1:$I$1,0)),0)</f>
        <v>0</v>
      </c>
      <c r="Q882" s="9">
        <f>IF($H882&gt;J882, MIN($H882-J882, K882-J882)*INDEX('2018_commission_structure'!$A$1:$I$4,MATCH($E882,'2018_commission_structure'!$A$1:$A$4,0),MATCH(Q$1,'2018_commission_structure'!$A$1:$I$1,0)),0)</f>
        <v>0</v>
      </c>
      <c r="R882" s="9">
        <f>IF($H882&gt;K882, MIN($H882-K882, L882-K882)*INDEX('2018_commission_structure'!$A$1:$I$4,MATCH($E882,'2018_commission_structure'!$A$1:$A$4,0),MATCH(R$1,'2018_commission_structure'!$A$1:$I$1,0)),0)</f>
        <v>0</v>
      </c>
      <c r="S882" s="9">
        <f>IF(H882&gt;L882,(H882-L882)*INDEX('2018_commission_structure'!$A$1:$I$4,MATCH($E882,'2018_commission_structure'!$A$1:$A$4,0),MATCH(S$1,'2018_commission_structure'!$A$1:$I$1,0)),0)</f>
        <v>0</v>
      </c>
      <c r="T882" s="9">
        <f t="shared" si="138"/>
        <v>49363.700000000004</v>
      </c>
      <c r="U882" s="9">
        <f t="shared" si="140"/>
        <v>111686.70000000001</v>
      </c>
      <c r="V882" s="9">
        <f>MIN($I882,$H882)*INDEX('Key Metrics'!$E$16:$N$19,MATCH($E882,'Key Metrics'!$E$16:$E$19,0),MATCH(V$1,'Key Metrics'!$E$16:$M$16,0))</f>
        <v>59236.439999999995</v>
      </c>
      <c r="W882" s="9">
        <f>IF($H882&gt;I882, MIN($H882-I882, J882-I882)*INDEX('Key Metrics'!$E$16:$N$19,MATCH($E882,'Key Metrics'!$E$16:$E$19,0),MATCH(W$1,'Key Metrics'!$E$16:$M$16,0)),0)</f>
        <v>0</v>
      </c>
      <c r="X882" s="9">
        <f>IF($H882&gt;J882, MIN($H882-J882, K882-J882)*INDEX('Key Metrics'!$E$16:$N$19,MATCH($E882,'Key Metrics'!$E$16:$E$19,0),MATCH(X$1,'Key Metrics'!$E$16:$M$16,0)),0)</f>
        <v>0</v>
      </c>
      <c r="Y882" s="9">
        <f>IF($H882&gt;K882, MIN($H882-K882, L882-K882)*INDEX('Key Metrics'!$E$16:$N$19,MATCH($E882,'Key Metrics'!$E$16:$E$19,0),MATCH(Y$1,'Key Metrics'!$E$16:$M$16,0)),0)</f>
        <v>0</v>
      </c>
      <c r="Z882" s="9">
        <f>IF($H882&gt;L882,($H882-L882)*INDEX('Key Metrics'!$E$16:$N$19,MATCH($E882,'Key Metrics'!$E$16:$E$19,0),MATCH(Z$1,'Key Metrics'!$E$16:$M$16,0)),0)</f>
        <v>0</v>
      </c>
      <c r="AA882" s="9">
        <f t="shared" si="139"/>
        <v>59236.439999999995</v>
      </c>
      <c r="AB882" s="9">
        <f t="shared" si="141"/>
        <v>59237.427273999994</v>
      </c>
    </row>
    <row r="883" spans="1:28" x14ac:dyDescent="0.55000000000000004">
      <c r="A883" t="str">
        <f t="shared" si="132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COUNTIF(deals_closed!$D$2:$D$20001,Calculations!B972)</f>
        <v>18</v>
      </c>
      <c r="H883" s="7">
        <f>SUMIF(deals_closed!$D:$D,Calculations!B972,deals_closed!$C:$C)</f>
        <v>544027</v>
      </c>
      <c r="I883" s="5">
        <f>VLOOKUP(E883,'2018_commission_structure'!$A$1:$I$4,9,FALSE)</f>
        <v>600000</v>
      </c>
      <c r="J883" s="9">
        <f t="shared" si="133"/>
        <v>750000</v>
      </c>
      <c r="K883" s="10">
        <f t="shared" si="134"/>
        <v>900000</v>
      </c>
      <c r="L883" s="9">
        <f t="shared" si="135"/>
        <v>1200000</v>
      </c>
      <c r="M883" s="8">
        <f t="shared" si="136"/>
        <v>0.90671166666666669</v>
      </c>
      <c r="N883" t="str">
        <f t="shared" si="137"/>
        <v>0-100%</v>
      </c>
      <c r="O883" s="9">
        <f>MIN($H883,$I883)*INDEX('2018_commission_structure'!$A$1:$I$4,MATCH($E883,'2018_commission_structure'!$A$1:$A$4,0),MATCH(O$1,'2018_commission_structure'!$A$1:$I$1,0))</f>
        <v>70723.510000000009</v>
      </c>
      <c r="P883" s="9">
        <f>IF(H883&gt;I883, MIN(H883-I883, J883-I883)*INDEX('2018_commission_structure'!$A$1:$I$4,MATCH($E883,'2018_commission_structure'!$A$1:$A$4,0),MATCH(P$1,'2018_commission_structure'!$A$1:$I$1,0)),0)</f>
        <v>0</v>
      </c>
      <c r="Q883" s="9">
        <f>IF($H883&gt;J883, MIN($H883-J883, K883-J883)*INDEX('2018_commission_structure'!$A$1:$I$4,MATCH($E883,'2018_commission_structure'!$A$1:$A$4,0),MATCH(Q$1,'2018_commission_structure'!$A$1:$I$1,0)),0)</f>
        <v>0</v>
      </c>
      <c r="R883" s="9">
        <f>IF($H883&gt;K883, MIN($H883-K883, L883-K883)*INDEX('2018_commission_structure'!$A$1:$I$4,MATCH($E883,'2018_commission_structure'!$A$1:$A$4,0),MATCH(R$1,'2018_commission_structure'!$A$1:$I$1,0)),0)</f>
        <v>0</v>
      </c>
      <c r="S883" s="9">
        <f>IF(H883&gt;L883,(H883-L883)*INDEX('2018_commission_structure'!$A$1:$I$4,MATCH($E883,'2018_commission_structure'!$A$1:$A$4,0),MATCH(S$1,'2018_commission_structure'!$A$1:$I$1,0)),0)</f>
        <v>0</v>
      </c>
      <c r="T883" s="9">
        <f t="shared" si="138"/>
        <v>70723.510000000009</v>
      </c>
      <c r="U883" s="9">
        <f t="shared" si="140"/>
        <v>137086.51</v>
      </c>
      <c r="V883" s="9">
        <f>MIN($I883,$H883)*INDEX('Key Metrics'!$E$16:$N$19,MATCH($E883,'Key Metrics'!$E$16:$E$19,0),MATCH(V$1,'Key Metrics'!$E$16:$M$16,0))</f>
        <v>81604.05</v>
      </c>
      <c r="W883" s="9">
        <f>IF($H883&gt;I883, MIN($H883-I883, J883-I883)*INDEX('Key Metrics'!$E$16:$N$19,MATCH($E883,'Key Metrics'!$E$16:$E$19,0),MATCH(W$1,'Key Metrics'!$E$16:$M$16,0)),0)</f>
        <v>0</v>
      </c>
      <c r="X883" s="9">
        <f>IF($H883&gt;J883, MIN($H883-J883, K883-J883)*INDEX('Key Metrics'!$E$16:$N$19,MATCH($E883,'Key Metrics'!$E$16:$E$19,0),MATCH(X$1,'Key Metrics'!$E$16:$M$16,0)),0)</f>
        <v>0</v>
      </c>
      <c r="Y883" s="9">
        <f>IF($H883&gt;K883, MIN($H883-K883, L883-K883)*INDEX('Key Metrics'!$E$16:$N$19,MATCH($E883,'Key Metrics'!$E$16:$E$19,0),MATCH(Y$1,'Key Metrics'!$E$16:$M$16,0)),0)</f>
        <v>0</v>
      </c>
      <c r="Z883" s="9">
        <f>IF($H883&gt;L883,($H883-L883)*INDEX('Key Metrics'!$E$16:$N$19,MATCH($E883,'Key Metrics'!$E$16:$E$19,0),MATCH(Z$1,'Key Metrics'!$E$16:$M$16,0)),0)</f>
        <v>0</v>
      </c>
      <c r="AA883" s="9">
        <f t="shared" si="139"/>
        <v>81604.05</v>
      </c>
      <c r="AB883" s="9">
        <f t="shared" si="141"/>
        <v>81604.956711666673</v>
      </c>
    </row>
    <row r="884" spans="1:28" x14ac:dyDescent="0.55000000000000004">
      <c r="A884" t="str">
        <f t="shared" si="132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COUNTIF(deals_closed!$D$2:$D$20001,Calculations!B7)</f>
        <v>22</v>
      </c>
      <c r="H884" s="7">
        <f>SUMIF(deals_closed!$D:$D,Calculations!B7,deals_closed!$C:$C)</f>
        <v>751367</v>
      </c>
      <c r="I884" s="5">
        <f>VLOOKUP(E884,'2018_commission_structure'!$A$1:$I$4,9,FALSE)</f>
        <v>750000</v>
      </c>
      <c r="J884" s="9">
        <f t="shared" si="133"/>
        <v>937500</v>
      </c>
      <c r="K884" s="10">
        <f t="shared" si="134"/>
        <v>1125000</v>
      </c>
      <c r="L884" s="9">
        <f t="shared" si="135"/>
        <v>1500000</v>
      </c>
      <c r="M884" s="8">
        <f t="shared" si="136"/>
        <v>1.0018226666666668</v>
      </c>
      <c r="N884" t="str">
        <f t="shared" si="137"/>
        <v>100-125%</v>
      </c>
      <c r="O884" s="9">
        <f>MIN($H884,$I884)*INDEX('2018_commission_structure'!$A$1:$I$4,MATCH($E884,'2018_commission_structure'!$A$1:$A$4,0),MATCH(O$1,'2018_commission_structure'!$A$1:$I$1,0))</f>
        <v>112500</v>
      </c>
      <c r="P884" s="9">
        <f>IF(H884&gt;I884, MIN(H884-I884, J884-I884)*INDEX('2018_commission_structure'!$A$1:$I$4,MATCH($E884,'2018_commission_structure'!$A$1:$A$4,0),MATCH(P$1,'2018_commission_structure'!$A$1:$I$1,0)),0)</f>
        <v>259.73</v>
      </c>
      <c r="Q884" s="9">
        <f>IF($H884&gt;J884, MIN($H884-J884, K884-J884)*INDEX('2018_commission_structure'!$A$1:$I$4,MATCH($E884,'2018_commission_structure'!$A$1:$A$4,0),MATCH(Q$1,'2018_commission_structure'!$A$1:$I$1,0)),0)</f>
        <v>0</v>
      </c>
      <c r="R884" s="9">
        <f>IF($H884&gt;K884, MIN($H884-K884, L884-K884)*INDEX('2018_commission_structure'!$A$1:$I$4,MATCH($E884,'2018_commission_structure'!$A$1:$A$4,0),MATCH(R$1,'2018_commission_structure'!$A$1:$I$1,0)),0)</f>
        <v>0</v>
      </c>
      <c r="S884" s="9">
        <f>IF(H884&gt;L884,(H884-L884)*INDEX('2018_commission_structure'!$A$1:$I$4,MATCH($E884,'2018_commission_structure'!$A$1:$A$4,0),MATCH(S$1,'2018_commission_structure'!$A$1:$I$1,0)),0)</f>
        <v>0</v>
      </c>
      <c r="T884" s="9">
        <f t="shared" si="138"/>
        <v>112759.73</v>
      </c>
      <c r="U884" s="9">
        <f t="shared" si="140"/>
        <v>222914.72999999998</v>
      </c>
      <c r="V884" s="9">
        <f>MIN($I884,$H884)*INDEX('Key Metrics'!$E$16:$N$19,MATCH($E884,'Key Metrics'!$E$16:$E$19,0),MATCH(V$1,'Key Metrics'!$E$16:$M$16,0))</f>
        <v>112500</v>
      </c>
      <c r="W884" s="9">
        <f>IF($H884&gt;I884, MIN($H884-I884, J884-I884)*INDEX('Key Metrics'!$E$16:$N$19,MATCH($E884,'Key Metrics'!$E$16:$E$19,0),MATCH(W$1,'Key Metrics'!$E$16:$M$16,0)),0)</f>
        <v>300.74</v>
      </c>
      <c r="X884" s="9">
        <f>IF($H884&gt;J884, MIN($H884-J884, K884-J884)*INDEX('Key Metrics'!$E$16:$N$19,MATCH($E884,'Key Metrics'!$E$16:$E$19,0),MATCH(X$1,'Key Metrics'!$E$16:$M$16,0)),0)</f>
        <v>0</v>
      </c>
      <c r="Y884" s="9">
        <f>IF($H884&gt;K884, MIN($H884-K884, L884-K884)*INDEX('Key Metrics'!$E$16:$N$19,MATCH($E884,'Key Metrics'!$E$16:$E$19,0),MATCH(Y$1,'Key Metrics'!$E$16:$M$16,0)),0)</f>
        <v>0</v>
      </c>
      <c r="Z884" s="9">
        <f>IF($H884&gt;L884,($H884-L884)*INDEX('Key Metrics'!$E$16:$N$19,MATCH($E884,'Key Metrics'!$E$16:$E$19,0),MATCH(Z$1,'Key Metrics'!$E$16:$M$16,0)),0)</f>
        <v>0</v>
      </c>
      <c r="AA884" s="9">
        <f t="shared" si="139"/>
        <v>112800.74</v>
      </c>
      <c r="AB884" s="9">
        <f t="shared" si="141"/>
        <v>112801.74182266668</v>
      </c>
    </row>
    <row r="885" spans="1:28" x14ac:dyDescent="0.55000000000000004">
      <c r="A885" t="str">
        <f t="shared" si="132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COUNTIF(deals_closed!$D$2:$D$20001,Calculations!B53)</f>
        <v>17</v>
      </c>
      <c r="H885" s="7">
        <f>SUMIF(deals_closed!$D:$D,Calculations!B53,deals_closed!$C:$C)</f>
        <v>617946</v>
      </c>
      <c r="I885" s="5">
        <f>VLOOKUP(E885,'2018_commission_structure'!$A$1:$I$4,9,FALSE)</f>
        <v>600000</v>
      </c>
      <c r="J885" s="9">
        <f t="shared" si="133"/>
        <v>750000</v>
      </c>
      <c r="K885" s="10">
        <f t="shared" si="134"/>
        <v>900000</v>
      </c>
      <c r="L885" s="9">
        <f t="shared" si="135"/>
        <v>1200000</v>
      </c>
      <c r="M885" s="8">
        <f t="shared" si="136"/>
        <v>1.0299100000000001</v>
      </c>
      <c r="N885" t="str">
        <f t="shared" si="137"/>
        <v>100-125%</v>
      </c>
      <c r="O885" s="9">
        <f>MIN($H885,$I885)*INDEX('2018_commission_structure'!$A$1:$I$4,MATCH($E885,'2018_commission_structure'!$A$1:$A$4,0),MATCH(O$1,'2018_commission_structure'!$A$1:$I$1,0))</f>
        <v>78000</v>
      </c>
      <c r="P885" s="9">
        <f>IF(H885&gt;I885, MIN(H885-I885, J885-I885)*INDEX('2018_commission_structure'!$A$1:$I$4,MATCH($E885,'2018_commission_structure'!$A$1:$A$4,0),MATCH(P$1,'2018_commission_structure'!$A$1:$I$1,0)),0)</f>
        <v>3050.82</v>
      </c>
      <c r="Q885" s="9">
        <f>IF($H885&gt;J885, MIN($H885-J885, K885-J885)*INDEX('2018_commission_structure'!$A$1:$I$4,MATCH($E885,'2018_commission_structure'!$A$1:$A$4,0),MATCH(Q$1,'2018_commission_structure'!$A$1:$I$1,0)),0)</f>
        <v>0</v>
      </c>
      <c r="R885" s="9">
        <f>IF($H885&gt;K885, MIN($H885-K885, L885-K885)*INDEX('2018_commission_structure'!$A$1:$I$4,MATCH($E885,'2018_commission_structure'!$A$1:$A$4,0),MATCH(R$1,'2018_commission_structure'!$A$1:$I$1,0)),0)</f>
        <v>0</v>
      </c>
      <c r="S885" s="9">
        <f>IF(H885&gt;L885,(H885-L885)*INDEX('2018_commission_structure'!$A$1:$I$4,MATCH($E885,'2018_commission_structure'!$A$1:$A$4,0),MATCH(S$1,'2018_commission_structure'!$A$1:$I$1,0)),0)</f>
        <v>0</v>
      </c>
      <c r="T885" s="9">
        <f t="shared" si="138"/>
        <v>81050.820000000007</v>
      </c>
      <c r="U885" s="9">
        <f t="shared" si="140"/>
        <v>131191.82</v>
      </c>
      <c r="V885" s="9">
        <f>MIN($I885,$H885)*INDEX('Key Metrics'!$E$16:$N$19,MATCH($E885,'Key Metrics'!$E$16:$E$19,0),MATCH(V$1,'Key Metrics'!$E$16:$M$16,0))</f>
        <v>90000</v>
      </c>
      <c r="W885" s="9">
        <f>IF($H885&gt;I885, MIN($H885-I885, J885-I885)*INDEX('Key Metrics'!$E$16:$N$19,MATCH($E885,'Key Metrics'!$E$16:$E$19,0),MATCH(W$1,'Key Metrics'!$E$16:$M$16,0)),0)</f>
        <v>3230.2799999999997</v>
      </c>
      <c r="X885" s="9">
        <f>IF($H885&gt;J885, MIN($H885-J885, K885-J885)*INDEX('Key Metrics'!$E$16:$N$19,MATCH($E885,'Key Metrics'!$E$16:$E$19,0),MATCH(X$1,'Key Metrics'!$E$16:$M$16,0)),0)</f>
        <v>0</v>
      </c>
      <c r="Y885" s="9">
        <f>IF($H885&gt;K885, MIN($H885-K885, L885-K885)*INDEX('Key Metrics'!$E$16:$N$19,MATCH($E885,'Key Metrics'!$E$16:$E$19,0),MATCH(Y$1,'Key Metrics'!$E$16:$M$16,0)),0)</f>
        <v>0</v>
      </c>
      <c r="Z885" s="9">
        <f>IF($H885&gt;L885,($H885-L885)*INDEX('Key Metrics'!$E$16:$N$19,MATCH($E885,'Key Metrics'!$E$16:$E$19,0),MATCH(Z$1,'Key Metrics'!$E$16:$M$16,0)),0)</f>
        <v>0</v>
      </c>
      <c r="AA885" s="9">
        <f t="shared" si="139"/>
        <v>93230.28</v>
      </c>
      <c r="AB885" s="9">
        <f t="shared" si="141"/>
        <v>93231.309909999996</v>
      </c>
    </row>
    <row r="886" spans="1:28" x14ac:dyDescent="0.55000000000000004">
      <c r="A886" t="str">
        <f t="shared" si="132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COUNTIF(deals_closed!$D$2:$D$20001,Calculations!B408)</f>
        <v>21</v>
      </c>
      <c r="H886" s="7">
        <f>SUMIF(deals_closed!$D:$D,Calculations!B408,deals_closed!$C:$C)</f>
        <v>747655</v>
      </c>
      <c r="I886" s="5">
        <f>VLOOKUP(E886,'2018_commission_structure'!$A$1:$I$4,9,FALSE)</f>
        <v>600000</v>
      </c>
      <c r="J886" s="9">
        <f t="shared" si="133"/>
        <v>750000</v>
      </c>
      <c r="K886" s="10">
        <f t="shared" si="134"/>
        <v>900000</v>
      </c>
      <c r="L886" s="9">
        <f t="shared" si="135"/>
        <v>1200000</v>
      </c>
      <c r="M886" s="8">
        <f t="shared" si="136"/>
        <v>1.2460916666666666</v>
      </c>
      <c r="N886" t="str">
        <f t="shared" si="137"/>
        <v>100-125%</v>
      </c>
      <c r="O886" s="9">
        <f>MIN($H886,$I886)*INDEX('2018_commission_structure'!$A$1:$I$4,MATCH($E886,'2018_commission_structure'!$A$1:$A$4,0),MATCH(O$1,'2018_commission_structure'!$A$1:$I$1,0))</f>
        <v>78000</v>
      </c>
      <c r="P886" s="9">
        <f>IF(H886&gt;I886, MIN(H886-I886, J886-I886)*INDEX('2018_commission_structure'!$A$1:$I$4,MATCH($E886,'2018_commission_structure'!$A$1:$A$4,0),MATCH(P$1,'2018_commission_structure'!$A$1:$I$1,0)),0)</f>
        <v>25101.350000000002</v>
      </c>
      <c r="Q886" s="9">
        <f>IF($H886&gt;J886, MIN($H886-J886, K886-J886)*INDEX('2018_commission_structure'!$A$1:$I$4,MATCH($E886,'2018_commission_structure'!$A$1:$A$4,0),MATCH(Q$1,'2018_commission_structure'!$A$1:$I$1,0)),0)</f>
        <v>0</v>
      </c>
      <c r="R886" s="9">
        <f>IF($H886&gt;K886, MIN($H886-K886, L886-K886)*INDEX('2018_commission_structure'!$A$1:$I$4,MATCH($E886,'2018_commission_structure'!$A$1:$A$4,0),MATCH(R$1,'2018_commission_structure'!$A$1:$I$1,0)),0)</f>
        <v>0</v>
      </c>
      <c r="S886" s="9">
        <f>IF(H886&gt;L886,(H886-L886)*INDEX('2018_commission_structure'!$A$1:$I$4,MATCH($E886,'2018_commission_structure'!$A$1:$A$4,0),MATCH(S$1,'2018_commission_structure'!$A$1:$I$1,0)),0)</f>
        <v>0</v>
      </c>
      <c r="T886" s="9">
        <f t="shared" si="138"/>
        <v>103101.35</v>
      </c>
      <c r="U886" s="9">
        <f t="shared" si="140"/>
        <v>172127.35</v>
      </c>
      <c r="V886" s="9">
        <f>MIN($I886,$H886)*INDEX('Key Metrics'!$E$16:$N$19,MATCH($E886,'Key Metrics'!$E$16:$E$19,0),MATCH(V$1,'Key Metrics'!$E$16:$M$16,0))</f>
        <v>90000</v>
      </c>
      <c r="W886" s="9">
        <f>IF($H886&gt;I886, MIN($H886-I886, J886-I886)*INDEX('Key Metrics'!$E$16:$N$19,MATCH($E886,'Key Metrics'!$E$16:$E$19,0),MATCH(W$1,'Key Metrics'!$E$16:$M$16,0)),0)</f>
        <v>26577.899999999998</v>
      </c>
      <c r="X886" s="9">
        <f>IF($H886&gt;J886, MIN($H886-J886, K886-J886)*INDEX('Key Metrics'!$E$16:$N$19,MATCH($E886,'Key Metrics'!$E$16:$E$19,0),MATCH(X$1,'Key Metrics'!$E$16:$M$16,0)),0)</f>
        <v>0</v>
      </c>
      <c r="Y886" s="9">
        <f>IF($H886&gt;K886, MIN($H886-K886, L886-K886)*INDEX('Key Metrics'!$E$16:$N$19,MATCH($E886,'Key Metrics'!$E$16:$E$19,0),MATCH(Y$1,'Key Metrics'!$E$16:$M$16,0)),0)</f>
        <v>0</v>
      </c>
      <c r="Z886" s="9">
        <f>IF($H886&gt;L886,($H886-L886)*INDEX('Key Metrics'!$E$16:$N$19,MATCH($E886,'Key Metrics'!$E$16:$E$19,0),MATCH(Z$1,'Key Metrics'!$E$16:$M$16,0)),0)</f>
        <v>0</v>
      </c>
      <c r="AA886" s="9">
        <f t="shared" si="139"/>
        <v>116577.9</v>
      </c>
      <c r="AB886" s="9">
        <f t="shared" si="141"/>
        <v>116579.14609166665</v>
      </c>
    </row>
    <row r="887" spans="1:28" x14ac:dyDescent="0.55000000000000004">
      <c r="A887" t="str">
        <f t="shared" si="132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COUNTIF(deals_closed!$D$2:$D$20001,Calculations!B231)</f>
        <v>22</v>
      </c>
      <c r="H887" s="7">
        <f>SUMIF(deals_closed!$D:$D,Calculations!B231,deals_closed!$C:$C)</f>
        <v>773763</v>
      </c>
      <c r="I887" s="5">
        <f>VLOOKUP(E887,'2018_commission_structure'!$A$1:$I$4,9,FALSE)</f>
        <v>750000</v>
      </c>
      <c r="J887" s="9">
        <f t="shared" si="133"/>
        <v>937500</v>
      </c>
      <c r="K887" s="10">
        <f t="shared" si="134"/>
        <v>1125000</v>
      </c>
      <c r="L887" s="9">
        <f t="shared" si="135"/>
        <v>1500000</v>
      </c>
      <c r="M887" s="8">
        <f t="shared" si="136"/>
        <v>1.031684</v>
      </c>
      <c r="N887" t="str">
        <f t="shared" si="137"/>
        <v>100-125%</v>
      </c>
      <c r="O887" s="9">
        <f>MIN($H887,$I887)*INDEX('2018_commission_structure'!$A$1:$I$4,MATCH($E887,'2018_commission_structure'!$A$1:$A$4,0),MATCH(O$1,'2018_commission_structure'!$A$1:$I$1,0))</f>
        <v>112500</v>
      </c>
      <c r="P887" s="9">
        <f>IF(H887&gt;I887, MIN(H887-I887, J887-I887)*INDEX('2018_commission_structure'!$A$1:$I$4,MATCH($E887,'2018_commission_structure'!$A$1:$A$4,0),MATCH(P$1,'2018_commission_structure'!$A$1:$I$1,0)),0)</f>
        <v>4514.97</v>
      </c>
      <c r="Q887" s="9">
        <f>IF($H887&gt;J887, MIN($H887-J887, K887-J887)*INDEX('2018_commission_structure'!$A$1:$I$4,MATCH($E887,'2018_commission_structure'!$A$1:$A$4,0),MATCH(Q$1,'2018_commission_structure'!$A$1:$I$1,0)),0)</f>
        <v>0</v>
      </c>
      <c r="R887" s="9">
        <f>IF($H887&gt;K887, MIN($H887-K887, L887-K887)*INDEX('2018_commission_structure'!$A$1:$I$4,MATCH($E887,'2018_commission_structure'!$A$1:$A$4,0),MATCH(R$1,'2018_commission_structure'!$A$1:$I$1,0)),0)</f>
        <v>0</v>
      </c>
      <c r="S887" s="9">
        <f>IF(H887&gt;L887,(H887-L887)*INDEX('2018_commission_structure'!$A$1:$I$4,MATCH($E887,'2018_commission_structure'!$A$1:$A$4,0),MATCH(S$1,'2018_commission_structure'!$A$1:$I$1,0)),0)</f>
        <v>0</v>
      </c>
      <c r="T887" s="9">
        <f t="shared" si="138"/>
        <v>117014.97</v>
      </c>
      <c r="U887" s="9">
        <f t="shared" si="140"/>
        <v>213855.97</v>
      </c>
      <c r="V887" s="9">
        <f>MIN($I887,$H887)*INDEX('Key Metrics'!$E$16:$N$19,MATCH($E887,'Key Metrics'!$E$16:$E$19,0),MATCH(V$1,'Key Metrics'!$E$16:$M$16,0))</f>
        <v>112500</v>
      </c>
      <c r="W887" s="9">
        <f>IF($H887&gt;I887, MIN($H887-I887, J887-I887)*INDEX('Key Metrics'!$E$16:$N$19,MATCH($E887,'Key Metrics'!$E$16:$E$19,0),MATCH(W$1,'Key Metrics'!$E$16:$M$16,0)),0)</f>
        <v>5227.8599999999997</v>
      </c>
      <c r="X887" s="9">
        <f>IF($H887&gt;J887, MIN($H887-J887, K887-J887)*INDEX('Key Metrics'!$E$16:$N$19,MATCH($E887,'Key Metrics'!$E$16:$E$19,0),MATCH(X$1,'Key Metrics'!$E$16:$M$16,0)),0)</f>
        <v>0</v>
      </c>
      <c r="Y887" s="9">
        <f>IF($H887&gt;K887, MIN($H887-K887, L887-K887)*INDEX('Key Metrics'!$E$16:$N$19,MATCH($E887,'Key Metrics'!$E$16:$E$19,0),MATCH(Y$1,'Key Metrics'!$E$16:$M$16,0)),0)</f>
        <v>0</v>
      </c>
      <c r="Z887" s="9">
        <f>IF($H887&gt;L887,($H887-L887)*INDEX('Key Metrics'!$E$16:$N$19,MATCH($E887,'Key Metrics'!$E$16:$E$19,0),MATCH(Z$1,'Key Metrics'!$E$16:$M$16,0)),0)</f>
        <v>0</v>
      </c>
      <c r="AA887" s="9">
        <f t="shared" si="139"/>
        <v>117727.86</v>
      </c>
      <c r="AB887" s="9">
        <f t="shared" si="141"/>
        <v>117728.891684</v>
      </c>
    </row>
    <row r="888" spans="1:28" x14ac:dyDescent="0.55000000000000004">
      <c r="A888" t="str">
        <f t="shared" si="132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COUNTIF(deals_closed!$D$2:$D$20001,Calculations!B496)</f>
        <v>18</v>
      </c>
      <c r="H888" s="7">
        <f>SUMIF(deals_closed!$D:$D,Calculations!B496,deals_closed!$C:$C)</f>
        <v>570118</v>
      </c>
      <c r="I888" s="5">
        <f>VLOOKUP(E888,'2018_commission_structure'!$A$1:$I$4,9,FALSE)</f>
        <v>750000</v>
      </c>
      <c r="J888" s="9">
        <f t="shared" si="133"/>
        <v>937500</v>
      </c>
      <c r="K888" s="10">
        <f t="shared" si="134"/>
        <v>1125000</v>
      </c>
      <c r="L888" s="9">
        <f t="shared" si="135"/>
        <v>1500000</v>
      </c>
      <c r="M888" s="8">
        <f t="shared" si="136"/>
        <v>0.76015733333333335</v>
      </c>
      <c r="N888" t="str">
        <f t="shared" si="137"/>
        <v>0-100%</v>
      </c>
      <c r="O888" s="9">
        <f>MIN($H888,$I888)*INDEX('2018_commission_structure'!$A$1:$I$4,MATCH($E888,'2018_commission_structure'!$A$1:$A$4,0),MATCH(O$1,'2018_commission_structure'!$A$1:$I$1,0))</f>
        <v>85517.7</v>
      </c>
      <c r="P888" s="9">
        <f>IF(H888&gt;I888, MIN(H888-I888, J888-I888)*INDEX('2018_commission_structure'!$A$1:$I$4,MATCH($E888,'2018_commission_structure'!$A$1:$A$4,0),MATCH(P$1,'2018_commission_structure'!$A$1:$I$1,0)),0)</f>
        <v>0</v>
      </c>
      <c r="Q888" s="9">
        <f>IF($H888&gt;J888, MIN($H888-J888, K888-J888)*INDEX('2018_commission_structure'!$A$1:$I$4,MATCH($E888,'2018_commission_structure'!$A$1:$A$4,0),MATCH(Q$1,'2018_commission_structure'!$A$1:$I$1,0)),0)</f>
        <v>0</v>
      </c>
      <c r="R888" s="9">
        <f>IF($H888&gt;K888, MIN($H888-K888, L888-K888)*INDEX('2018_commission_structure'!$A$1:$I$4,MATCH($E888,'2018_commission_structure'!$A$1:$A$4,0),MATCH(R$1,'2018_commission_structure'!$A$1:$I$1,0)),0)</f>
        <v>0</v>
      </c>
      <c r="S888" s="9">
        <f>IF(H888&gt;L888,(H888-L888)*INDEX('2018_commission_structure'!$A$1:$I$4,MATCH($E888,'2018_commission_structure'!$A$1:$A$4,0),MATCH(S$1,'2018_commission_structure'!$A$1:$I$1,0)),0)</f>
        <v>0</v>
      </c>
      <c r="T888" s="9">
        <f t="shared" si="138"/>
        <v>85517.7</v>
      </c>
      <c r="U888" s="9">
        <f t="shared" si="140"/>
        <v>172920.7</v>
      </c>
      <c r="V888" s="9">
        <f>MIN($I888,$H888)*INDEX('Key Metrics'!$E$16:$N$19,MATCH($E888,'Key Metrics'!$E$16:$E$19,0),MATCH(V$1,'Key Metrics'!$E$16:$M$16,0))</f>
        <v>85517.7</v>
      </c>
      <c r="W888" s="9">
        <f>IF($H888&gt;I888, MIN($H888-I888, J888-I888)*INDEX('Key Metrics'!$E$16:$N$19,MATCH($E888,'Key Metrics'!$E$16:$E$19,0),MATCH(W$1,'Key Metrics'!$E$16:$M$16,0)),0)</f>
        <v>0</v>
      </c>
      <c r="X888" s="9">
        <f>IF($H888&gt;J888, MIN($H888-J888, K888-J888)*INDEX('Key Metrics'!$E$16:$N$19,MATCH($E888,'Key Metrics'!$E$16:$E$19,0),MATCH(X$1,'Key Metrics'!$E$16:$M$16,0)),0)</f>
        <v>0</v>
      </c>
      <c r="Y888" s="9">
        <f>IF($H888&gt;K888, MIN($H888-K888, L888-K888)*INDEX('Key Metrics'!$E$16:$N$19,MATCH($E888,'Key Metrics'!$E$16:$E$19,0),MATCH(Y$1,'Key Metrics'!$E$16:$M$16,0)),0)</f>
        <v>0</v>
      </c>
      <c r="Z888" s="9">
        <f>IF($H888&gt;L888,($H888-L888)*INDEX('Key Metrics'!$E$16:$N$19,MATCH($E888,'Key Metrics'!$E$16:$E$19,0),MATCH(Z$1,'Key Metrics'!$E$16:$M$16,0)),0)</f>
        <v>0</v>
      </c>
      <c r="AA888" s="9">
        <f t="shared" si="139"/>
        <v>85517.7</v>
      </c>
      <c r="AB888" s="9">
        <f t="shared" si="141"/>
        <v>85518.460157333335</v>
      </c>
    </row>
    <row r="889" spans="1:28" x14ac:dyDescent="0.55000000000000004">
      <c r="A889" t="str">
        <f t="shared" si="132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COUNTIF(deals_closed!$D$2:$D$20001,Calculations!B159)</f>
        <v>25</v>
      </c>
      <c r="H889" s="7">
        <f>SUMIF(deals_closed!$D:$D,Calculations!B159,deals_closed!$C:$C)</f>
        <v>833615</v>
      </c>
      <c r="I889" s="5">
        <f>VLOOKUP(E889,'2018_commission_structure'!$A$1:$I$4,9,FALSE)</f>
        <v>600000</v>
      </c>
      <c r="J889" s="9">
        <f t="shared" si="133"/>
        <v>750000</v>
      </c>
      <c r="K889" s="10">
        <f t="shared" si="134"/>
        <v>900000</v>
      </c>
      <c r="L889" s="9">
        <f t="shared" si="135"/>
        <v>1200000</v>
      </c>
      <c r="M889" s="8">
        <f t="shared" si="136"/>
        <v>1.3893583333333333</v>
      </c>
      <c r="N889" t="str">
        <f t="shared" si="137"/>
        <v>125-150%</v>
      </c>
      <c r="O889" s="9">
        <f>MIN($H889,$I889)*INDEX('2018_commission_structure'!$A$1:$I$4,MATCH($E889,'2018_commission_structure'!$A$1:$A$4,0),MATCH(O$1,'2018_commission_structure'!$A$1:$I$1,0))</f>
        <v>78000</v>
      </c>
      <c r="P889" s="9">
        <f>IF(H889&gt;I889, MIN(H889-I889, J889-I889)*INDEX('2018_commission_structure'!$A$1:$I$4,MATCH($E889,'2018_commission_structure'!$A$1:$A$4,0),MATCH(P$1,'2018_commission_structure'!$A$1:$I$1,0)),0)</f>
        <v>25500.000000000004</v>
      </c>
      <c r="Q889" s="9">
        <f>IF($H889&gt;J889, MIN($H889-J889, K889-J889)*INDEX('2018_commission_structure'!$A$1:$I$4,MATCH($E889,'2018_commission_structure'!$A$1:$A$4,0),MATCH(Q$1,'2018_commission_structure'!$A$1:$I$1,0)),0)</f>
        <v>17559.149999999998</v>
      </c>
      <c r="R889" s="9">
        <f>IF($H889&gt;K889, MIN($H889-K889, L889-K889)*INDEX('2018_commission_structure'!$A$1:$I$4,MATCH($E889,'2018_commission_structure'!$A$1:$A$4,0),MATCH(R$1,'2018_commission_structure'!$A$1:$I$1,0)),0)</f>
        <v>0</v>
      </c>
      <c r="S889" s="9">
        <f>IF(H889&gt;L889,(H889-L889)*INDEX('2018_commission_structure'!$A$1:$I$4,MATCH($E889,'2018_commission_structure'!$A$1:$A$4,0),MATCH(S$1,'2018_commission_structure'!$A$1:$I$1,0)),0)</f>
        <v>0</v>
      </c>
      <c r="T889" s="9">
        <f t="shared" si="138"/>
        <v>121059.15</v>
      </c>
      <c r="U889" s="9">
        <f t="shared" si="140"/>
        <v>185690.15</v>
      </c>
      <c r="V889" s="9">
        <f>MIN($I889,$H889)*INDEX('Key Metrics'!$E$16:$N$19,MATCH($E889,'Key Metrics'!$E$16:$E$19,0),MATCH(V$1,'Key Metrics'!$E$16:$M$16,0))</f>
        <v>90000</v>
      </c>
      <c r="W889" s="9">
        <f>IF($H889&gt;I889, MIN($H889-I889, J889-I889)*INDEX('Key Metrics'!$E$16:$N$19,MATCH($E889,'Key Metrics'!$E$16:$E$19,0),MATCH(W$1,'Key Metrics'!$E$16:$M$16,0)),0)</f>
        <v>27000</v>
      </c>
      <c r="X889" s="9">
        <f>IF($H889&gt;J889, MIN($H889-J889, K889-J889)*INDEX('Key Metrics'!$E$16:$N$19,MATCH($E889,'Key Metrics'!$E$16:$E$19,0),MATCH(X$1,'Key Metrics'!$E$16:$M$16,0)),0)</f>
        <v>20903.75</v>
      </c>
      <c r="Y889" s="9">
        <f>IF($H889&gt;K889, MIN($H889-K889, L889-K889)*INDEX('Key Metrics'!$E$16:$N$19,MATCH($E889,'Key Metrics'!$E$16:$E$19,0),MATCH(Y$1,'Key Metrics'!$E$16:$M$16,0)),0)</f>
        <v>0</v>
      </c>
      <c r="Z889" s="9">
        <f>IF($H889&gt;L889,($H889-L889)*INDEX('Key Metrics'!$E$16:$N$19,MATCH($E889,'Key Metrics'!$E$16:$E$19,0),MATCH(Z$1,'Key Metrics'!$E$16:$M$16,0)),0)</f>
        <v>0</v>
      </c>
      <c r="AA889" s="9">
        <f t="shared" si="139"/>
        <v>137903.75</v>
      </c>
      <c r="AB889" s="9">
        <f t="shared" si="141"/>
        <v>137905.13935833334</v>
      </c>
    </row>
    <row r="890" spans="1:28" x14ac:dyDescent="0.55000000000000004">
      <c r="A890" t="str">
        <f t="shared" si="132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COUNTIF(deals_closed!$D$2:$D$20001,Calculations!B218)</f>
        <v>20</v>
      </c>
      <c r="H890" s="7">
        <f>SUMIF(deals_closed!$D:$D,Calculations!B218,deals_closed!$C:$C)</f>
        <v>704698</v>
      </c>
      <c r="I890" s="5">
        <f>VLOOKUP(E890,'2018_commission_structure'!$A$1:$I$4,9,FALSE)</f>
        <v>600000</v>
      </c>
      <c r="J890" s="9">
        <f t="shared" si="133"/>
        <v>750000</v>
      </c>
      <c r="K890" s="10">
        <f t="shared" si="134"/>
        <v>900000</v>
      </c>
      <c r="L890" s="9">
        <f t="shared" si="135"/>
        <v>1200000</v>
      </c>
      <c r="M890" s="8">
        <f t="shared" si="136"/>
        <v>1.1744966666666667</v>
      </c>
      <c r="N890" t="str">
        <f t="shared" si="137"/>
        <v>100-125%</v>
      </c>
      <c r="O890" s="9">
        <f>MIN($H890,$I890)*INDEX('2018_commission_structure'!$A$1:$I$4,MATCH($E890,'2018_commission_structure'!$A$1:$A$4,0),MATCH(O$1,'2018_commission_structure'!$A$1:$I$1,0))</f>
        <v>78000</v>
      </c>
      <c r="P890" s="9">
        <f>IF(H890&gt;I890, MIN(H890-I890, J890-I890)*INDEX('2018_commission_structure'!$A$1:$I$4,MATCH($E890,'2018_commission_structure'!$A$1:$A$4,0),MATCH(P$1,'2018_commission_structure'!$A$1:$I$1,0)),0)</f>
        <v>17798.66</v>
      </c>
      <c r="Q890" s="9">
        <f>IF($H890&gt;J890, MIN($H890-J890, K890-J890)*INDEX('2018_commission_structure'!$A$1:$I$4,MATCH($E890,'2018_commission_structure'!$A$1:$A$4,0),MATCH(Q$1,'2018_commission_structure'!$A$1:$I$1,0)),0)</f>
        <v>0</v>
      </c>
      <c r="R890" s="9">
        <f>IF($H890&gt;K890, MIN($H890-K890, L890-K890)*INDEX('2018_commission_structure'!$A$1:$I$4,MATCH($E890,'2018_commission_structure'!$A$1:$A$4,0),MATCH(R$1,'2018_commission_structure'!$A$1:$I$1,0)),0)</f>
        <v>0</v>
      </c>
      <c r="S890" s="9">
        <f>IF(H890&gt;L890,(H890-L890)*INDEX('2018_commission_structure'!$A$1:$I$4,MATCH($E890,'2018_commission_structure'!$A$1:$A$4,0),MATCH(S$1,'2018_commission_structure'!$A$1:$I$1,0)),0)</f>
        <v>0</v>
      </c>
      <c r="T890" s="9">
        <f t="shared" si="138"/>
        <v>95798.66</v>
      </c>
      <c r="U890" s="9">
        <f t="shared" si="140"/>
        <v>169340.66</v>
      </c>
      <c r="V890" s="9">
        <f>MIN($I890,$H890)*INDEX('Key Metrics'!$E$16:$N$19,MATCH($E890,'Key Metrics'!$E$16:$E$19,0),MATCH(V$1,'Key Metrics'!$E$16:$M$16,0))</f>
        <v>90000</v>
      </c>
      <c r="W890" s="9">
        <f>IF($H890&gt;I890, MIN($H890-I890, J890-I890)*INDEX('Key Metrics'!$E$16:$N$19,MATCH($E890,'Key Metrics'!$E$16:$E$19,0),MATCH(W$1,'Key Metrics'!$E$16:$M$16,0)),0)</f>
        <v>18845.64</v>
      </c>
      <c r="X890" s="9">
        <f>IF($H890&gt;J890, MIN($H890-J890, K890-J890)*INDEX('Key Metrics'!$E$16:$N$19,MATCH($E890,'Key Metrics'!$E$16:$E$19,0),MATCH(X$1,'Key Metrics'!$E$16:$M$16,0)),0)</f>
        <v>0</v>
      </c>
      <c r="Y890" s="9">
        <f>IF($H890&gt;K890, MIN($H890-K890, L890-K890)*INDEX('Key Metrics'!$E$16:$N$19,MATCH($E890,'Key Metrics'!$E$16:$E$19,0),MATCH(Y$1,'Key Metrics'!$E$16:$M$16,0)),0)</f>
        <v>0</v>
      </c>
      <c r="Z890" s="9">
        <f>IF($H890&gt;L890,($H890-L890)*INDEX('Key Metrics'!$E$16:$N$19,MATCH($E890,'Key Metrics'!$E$16:$E$19,0),MATCH(Z$1,'Key Metrics'!$E$16:$M$16,0)),0)</f>
        <v>0</v>
      </c>
      <c r="AA890" s="9">
        <f t="shared" si="139"/>
        <v>108845.64</v>
      </c>
      <c r="AB890" s="9">
        <f t="shared" si="141"/>
        <v>108846.81449666667</v>
      </c>
    </row>
    <row r="891" spans="1:28" x14ac:dyDescent="0.55000000000000004">
      <c r="A891" t="str">
        <f t="shared" si="132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COUNTIF(deals_closed!$D$2:$D$20001,Calculations!B207)</f>
        <v>23</v>
      </c>
      <c r="H891" s="7">
        <f>SUMIF(deals_closed!$D:$D,Calculations!B207,deals_closed!$C:$C)</f>
        <v>793429</v>
      </c>
      <c r="I891" s="5">
        <f>VLOOKUP(E891,'2018_commission_structure'!$A$1:$I$4,9,FALSE)</f>
        <v>500000</v>
      </c>
      <c r="J891" s="9">
        <f t="shared" si="133"/>
        <v>625000</v>
      </c>
      <c r="K891" s="10">
        <f t="shared" si="134"/>
        <v>750000</v>
      </c>
      <c r="L891" s="9">
        <f t="shared" si="135"/>
        <v>1000000</v>
      </c>
      <c r="M891" s="8">
        <f t="shared" si="136"/>
        <v>1.5868580000000001</v>
      </c>
      <c r="N891" t="str">
        <f t="shared" si="137"/>
        <v>150-200%</v>
      </c>
      <c r="O891" s="9">
        <f>MIN($H891,$I891)*INDEX('2018_commission_structure'!$A$1:$I$4,MATCH($E891,'2018_commission_structure'!$A$1:$A$4,0),MATCH(O$1,'2018_commission_structure'!$A$1:$I$1,0))</f>
        <v>50000</v>
      </c>
      <c r="P891" s="9">
        <f>IF(H891&gt;I891, MIN(H891-I891, J891-I891)*INDEX('2018_commission_structure'!$A$1:$I$4,MATCH($E891,'2018_commission_structure'!$A$1:$A$4,0),MATCH(P$1,'2018_commission_structure'!$A$1:$I$1,0)),0)</f>
        <v>18750</v>
      </c>
      <c r="Q891" s="9">
        <f>IF($H891&gt;J891, MIN($H891-J891, K891-J891)*INDEX('2018_commission_structure'!$A$1:$I$4,MATCH($E891,'2018_commission_structure'!$A$1:$A$4,0),MATCH(Q$1,'2018_commission_structure'!$A$1:$I$1,0)),0)</f>
        <v>22500</v>
      </c>
      <c r="R891" s="9">
        <f>IF($H891&gt;K891, MIN($H891-K891, L891-K891)*INDEX('2018_commission_structure'!$A$1:$I$4,MATCH($E891,'2018_commission_structure'!$A$1:$A$4,0),MATCH(R$1,'2018_commission_structure'!$A$1:$I$1,0)),0)</f>
        <v>9554.3799999999992</v>
      </c>
      <c r="S891" s="9">
        <f>IF(H891&gt;L891,(H891-L891)*INDEX('2018_commission_structure'!$A$1:$I$4,MATCH($E891,'2018_commission_structure'!$A$1:$A$4,0),MATCH(S$1,'2018_commission_structure'!$A$1:$I$1,0)),0)</f>
        <v>0</v>
      </c>
      <c r="T891" s="9">
        <f t="shared" si="138"/>
        <v>100804.38</v>
      </c>
      <c r="U891" s="9">
        <f t="shared" si="140"/>
        <v>136465.38</v>
      </c>
      <c r="V891" s="9">
        <f>MIN($I891,$H891)*INDEX('Key Metrics'!$E$16:$N$19,MATCH($E891,'Key Metrics'!$E$16:$E$19,0),MATCH(V$1,'Key Metrics'!$E$16:$M$16,0))</f>
        <v>60000</v>
      </c>
      <c r="W891" s="9">
        <f>IF($H891&gt;I891, MIN($H891-I891, J891-I891)*INDEX('Key Metrics'!$E$16:$N$19,MATCH($E891,'Key Metrics'!$E$16:$E$19,0),MATCH(W$1,'Key Metrics'!$E$16:$M$16,0)),0)</f>
        <v>21250</v>
      </c>
      <c r="X891" s="9">
        <f>IF($H891&gt;J891, MIN($H891-J891, K891-J891)*INDEX('Key Metrics'!$E$16:$N$19,MATCH($E891,'Key Metrics'!$E$16:$E$19,0),MATCH(X$1,'Key Metrics'!$E$16:$M$16,0)),0)</f>
        <v>25000</v>
      </c>
      <c r="Y891" s="9">
        <f>IF($H891&gt;K891, MIN($H891-K891, L891-K891)*INDEX('Key Metrics'!$E$16:$N$19,MATCH($E891,'Key Metrics'!$E$16:$E$19,0),MATCH(Y$1,'Key Metrics'!$E$16:$M$16,0)),0)</f>
        <v>9554.3799999999992</v>
      </c>
      <c r="Z891" s="9">
        <f>IF($H891&gt;L891,($H891-L891)*INDEX('Key Metrics'!$E$16:$N$19,MATCH($E891,'Key Metrics'!$E$16:$E$19,0),MATCH(Z$1,'Key Metrics'!$E$16:$M$16,0)),0)</f>
        <v>0</v>
      </c>
      <c r="AA891" s="9">
        <f t="shared" si="139"/>
        <v>115804.38</v>
      </c>
      <c r="AB891" s="9">
        <f t="shared" si="141"/>
        <v>115805.966858</v>
      </c>
    </row>
    <row r="892" spans="1:28" x14ac:dyDescent="0.55000000000000004">
      <c r="A892" t="str">
        <f t="shared" si="132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COUNTIF(deals_closed!$D$2:$D$20001,Calculations!B965)</f>
        <v>23</v>
      </c>
      <c r="H892" s="7">
        <f>SUMIF(deals_closed!$D:$D,Calculations!B965,deals_closed!$C:$C)</f>
        <v>855810</v>
      </c>
      <c r="I892" s="5">
        <f>VLOOKUP(E892,'2018_commission_structure'!$A$1:$I$4,9,FALSE)</f>
        <v>600000</v>
      </c>
      <c r="J892" s="9">
        <f t="shared" si="133"/>
        <v>750000</v>
      </c>
      <c r="K892" s="10">
        <f t="shared" si="134"/>
        <v>900000</v>
      </c>
      <c r="L892" s="9">
        <f t="shared" si="135"/>
        <v>1200000</v>
      </c>
      <c r="M892" s="8">
        <f t="shared" si="136"/>
        <v>1.42635</v>
      </c>
      <c r="N892" t="str">
        <f t="shared" si="137"/>
        <v>125-150%</v>
      </c>
      <c r="O892" s="9">
        <f>MIN($H892,$I892)*INDEX('2018_commission_structure'!$A$1:$I$4,MATCH($E892,'2018_commission_structure'!$A$1:$A$4,0),MATCH(O$1,'2018_commission_structure'!$A$1:$I$1,0))</f>
        <v>78000</v>
      </c>
      <c r="P892" s="9">
        <f>IF(H892&gt;I892, MIN(H892-I892, J892-I892)*INDEX('2018_commission_structure'!$A$1:$I$4,MATCH($E892,'2018_commission_structure'!$A$1:$A$4,0),MATCH(P$1,'2018_commission_structure'!$A$1:$I$1,0)),0)</f>
        <v>25500.000000000004</v>
      </c>
      <c r="Q892" s="9">
        <f>IF($H892&gt;J892, MIN($H892-J892, K892-J892)*INDEX('2018_commission_structure'!$A$1:$I$4,MATCH($E892,'2018_commission_structure'!$A$1:$A$4,0),MATCH(Q$1,'2018_commission_structure'!$A$1:$I$1,0)),0)</f>
        <v>22220.1</v>
      </c>
      <c r="R892" s="9">
        <f>IF($H892&gt;K892, MIN($H892-K892, L892-K892)*INDEX('2018_commission_structure'!$A$1:$I$4,MATCH($E892,'2018_commission_structure'!$A$1:$A$4,0),MATCH(R$1,'2018_commission_structure'!$A$1:$I$1,0)),0)</f>
        <v>0</v>
      </c>
      <c r="S892" s="9">
        <f>IF(H892&gt;L892,(H892-L892)*INDEX('2018_commission_structure'!$A$1:$I$4,MATCH($E892,'2018_commission_structure'!$A$1:$A$4,0),MATCH(S$1,'2018_commission_structure'!$A$1:$I$1,0)),0)</f>
        <v>0</v>
      </c>
      <c r="T892" s="9">
        <f t="shared" si="138"/>
        <v>125720.1</v>
      </c>
      <c r="U892" s="9">
        <f t="shared" si="140"/>
        <v>178479.1</v>
      </c>
      <c r="V892" s="9">
        <f>MIN($I892,$H892)*INDEX('Key Metrics'!$E$16:$N$19,MATCH($E892,'Key Metrics'!$E$16:$E$19,0),MATCH(V$1,'Key Metrics'!$E$16:$M$16,0))</f>
        <v>90000</v>
      </c>
      <c r="W892" s="9">
        <f>IF($H892&gt;I892, MIN($H892-I892, J892-I892)*INDEX('Key Metrics'!$E$16:$N$19,MATCH($E892,'Key Metrics'!$E$16:$E$19,0),MATCH(W$1,'Key Metrics'!$E$16:$M$16,0)),0)</f>
        <v>27000</v>
      </c>
      <c r="X892" s="9">
        <f>IF($H892&gt;J892, MIN($H892-J892, K892-J892)*INDEX('Key Metrics'!$E$16:$N$19,MATCH($E892,'Key Metrics'!$E$16:$E$19,0),MATCH(X$1,'Key Metrics'!$E$16:$M$16,0)),0)</f>
        <v>26452.5</v>
      </c>
      <c r="Y892" s="9">
        <f>IF($H892&gt;K892, MIN($H892-K892, L892-K892)*INDEX('Key Metrics'!$E$16:$N$19,MATCH($E892,'Key Metrics'!$E$16:$E$19,0),MATCH(Y$1,'Key Metrics'!$E$16:$M$16,0)),0)</f>
        <v>0</v>
      </c>
      <c r="Z892" s="9">
        <f>IF($H892&gt;L892,($H892-L892)*INDEX('Key Metrics'!$E$16:$N$19,MATCH($E892,'Key Metrics'!$E$16:$E$19,0),MATCH(Z$1,'Key Metrics'!$E$16:$M$16,0)),0)</f>
        <v>0</v>
      </c>
      <c r="AA892" s="9">
        <f t="shared" si="139"/>
        <v>143452.5</v>
      </c>
      <c r="AB892" s="9">
        <f t="shared" si="141"/>
        <v>143453.92634999999</v>
      </c>
    </row>
    <row r="893" spans="1:28" x14ac:dyDescent="0.55000000000000004">
      <c r="A893" t="str">
        <f t="shared" si="132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COUNTIF(deals_closed!$D$2:$D$20001,Calculations!B556)</f>
        <v>22</v>
      </c>
      <c r="H893" s="7">
        <f>SUMIF(deals_closed!$D:$D,Calculations!B556,deals_closed!$C:$C)</f>
        <v>734144</v>
      </c>
      <c r="I893" s="5">
        <f>VLOOKUP(E893,'2018_commission_structure'!$A$1:$I$4,9,FALSE)</f>
        <v>500000</v>
      </c>
      <c r="J893" s="9">
        <f t="shared" si="133"/>
        <v>625000</v>
      </c>
      <c r="K893" s="10">
        <f t="shared" si="134"/>
        <v>750000</v>
      </c>
      <c r="L893" s="9">
        <f t="shared" si="135"/>
        <v>1000000</v>
      </c>
      <c r="M893" s="8">
        <f t="shared" si="136"/>
        <v>1.468288</v>
      </c>
      <c r="N893" t="str">
        <f t="shared" si="137"/>
        <v>125-150%</v>
      </c>
      <c r="O893" s="9">
        <f>MIN($H893,$I893)*INDEX('2018_commission_structure'!$A$1:$I$4,MATCH($E893,'2018_commission_structure'!$A$1:$A$4,0),MATCH(O$1,'2018_commission_structure'!$A$1:$I$1,0))</f>
        <v>50000</v>
      </c>
      <c r="P893" s="9">
        <f>IF(H893&gt;I893, MIN(H893-I893, J893-I893)*INDEX('2018_commission_structure'!$A$1:$I$4,MATCH($E893,'2018_commission_structure'!$A$1:$A$4,0),MATCH(P$1,'2018_commission_structure'!$A$1:$I$1,0)),0)</f>
        <v>18750</v>
      </c>
      <c r="Q893" s="9">
        <f>IF($H893&gt;J893, MIN($H893-J893, K893-J893)*INDEX('2018_commission_structure'!$A$1:$I$4,MATCH($E893,'2018_commission_structure'!$A$1:$A$4,0),MATCH(Q$1,'2018_commission_structure'!$A$1:$I$1,0)),0)</f>
        <v>19645.919999999998</v>
      </c>
      <c r="R893" s="9">
        <f>IF($H893&gt;K893, MIN($H893-K893, L893-K893)*INDEX('2018_commission_structure'!$A$1:$I$4,MATCH($E893,'2018_commission_structure'!$A$1:$A$4,0),MATCH(R$1,'2018_commission_structure'!$A$1:$I$1,0)),0)</f>
        <v>0</v>
      </c>
      <c r="S893" s="9">
        <f>IF(H893&gt;L893,(H893-L893)*INDEX('2018_commission_structure'!$A$1:$I$4,MATCH($E893,'2018_commission_structure'!$A$1:$A$4,0),MATCH(S$1,'2018_commission_structure'!$A$1:$I$1,0)),0)</f>
        <v>0</v>
      </c>
      <c r="T893" s="9">
        <f t="shared" si="138"/>
        <v>88395.92</v>
      </c>
      <c r="U893" s="9">
        <f t="shared" si="140"/>
        <v>137011.91999999998</v>
      </c>
      <c r="V893" s="9">
        <f>MIN($I893,$H893)*INDEX('Key Metrics'!$E$16:$N$19,MATCH($E893,'Key Metrics'!$E$16:$E$19,0),MATCH(V$1,'Key Metrics'!$E$16:$M$16,0))</f>
        <v>60000</v>
      </c>
      <c r="W893" s="9">
        <f>IF($H893&gt;I893, MIN($H893-I893, J893-I893)*INDEX('Key Metrics'!$E$16:$N$19,MATCH($E893,'Key Metrics'!$E$16:$E$19,0),MATCH(W$1,'Key Metrics'!$E$16:$M$16,0)),0)</f>
        <v>21250</v>
      </c>
      <c r="X893" s="9">
        <f>IF($H893&gt;J893, MIN($H893-J893, K893-J893)*INDEX('Key Metrics'!$E$16:$N$19,MATCH($E893,'Key Metrics'!$E$16:$E$19,0),MATCH(X$1,'Key Metrics'!$E$16:$M$16,0)),0)</f>
        <v>21828.800000000003</v>
      </c>
      <c r="Y893" s="9">
        <f>IF($H893&gt;K893, MIN($H893-K893, L893-K893)*INDEX('Key Metrics'!$E$16:$N$19,MATCH($E893,'Key Metrics'!$E$16:$E$19,0),MATCH(Y$1,'Key Metrics'!$E$16:$M$16,0)),0)</f>
        <v>0</v>
      </c>
      <c r="Z893" s="9">
        <f>IF($H893&gt;L893,($H893-L893)*INDEX('Key Metrics'!$E$16:$N$19,MATCH($E893,'Key Metrics'!$E$16:$E$19,0),MATCH(Z$1,'Key Metrics'!$E$16:$M$16,0)),0)</f>
        <v>0</v>
      </c>
      <c r="AA893" s="9">
        <f t="shared" si="139"/>
        <v>103078.8</v>
      </c>
      <c r="AB893" s="9">
        <f t="shared" si="141"/>
        <v>103080.26828800001</v>
      </c>
    </row>
    <row r="894" spans="1:28" x14ac:dyDescent="0.55000000000000004">
      <c r="A894" t="str">
        <f t="shared" si="132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COUNTIF(deals_closed!$D$2:$D$20001,Calculations!B582)</f>
        <v>18</v>
      </c>
      <c r="H894" s="7">
        <f>SUMIF(deals_closed!$D:$D,Calculations!B582,deals_closed!$C:$C)</f>
        <v>596012</v>
      </c>
      <c r="I894" s="5">
        <f>VLOOKUP(E894,'2018_commission_structure'!$A$1:$I$4,9,FALSE)</f>
        <v>500000</v>
      </c>
      <c r="J894" s="9">
        <f t="shared" si="133"/>
        <v>625000</v>
      </c>
      <c r="K894" s="10">
        <f t="shared" si="134"/>
        <v>750000</v>
      </c>
      <c r="L894" s="9">
        <f t="shared" si="135"/>
        <v>1000000</v>
      </c>
      <c r="M894" s="8">
        <f t="shared" si="136"/>
        <v>1.192024</v>
      </c>
      <c r="N894" t="str">
        <f t="shared" si="137"/>
        <v>100-125%</v>
      </c>
      <c r="O894" s="9">
        <f>MIN($H894,$I894)*INDEX('2018_commission_structure'!$A$1:$I$4,MATCH($E894,'2018_commission_structure'!$A$1:$A$4,0),MATCH(O$1,'2018_commission_structure'!$A$1:$I$1,0))</f>
        <v>50000</v>
      </c>
      <c r="P894" s="9">
        <f>IF(H894&gt;I894, MIN(H894-I894, J894-I894)*INDEX('2018_commission_structure'!$A$1:$I$4,MATCH($E894,'2018_commission_structure'!$A$1:$A$4,0),MATCH(P$1,'2018_commission_structure'!$A$1:$I$1,0)),0)</f>
        <v>14401.8</v>
      </c>
      <c r="Q894" s="9">
        <f>IF($H894&gt;J894, MIN($H894-J894, K894-J894)*INDEX('2018_commission_structure'!$A$1:$I$4,MATCH($E894,'2018_commission_structure'!$A$1:$A$4,0),MATCH(Q$1,'2018_commission_structure'!$A$1:$I$1,0)),0)</f>
        <v>0</v>
      </c>
      <c r="R894" s="9">
        <f>IF($H894&gt;K894, MIN($H894-K894, L894-K894)*INDEX('2018_commission_structure'!$A$1:$I$4,MATCH($E894,'2018_commission_structure'!$A$1:$A$4,0),MATCH(R$1,'2018_commission_structure'!$A$1:$I$1,0)),0)</f>
        <v>0</v>
      </c>
      <c r="S894" s="9">
        <f>IF(H894&gt;L894,(H894-L894)*INDEX('2018_commission_structure'!$A$1:$I$4,MATCH($E894,'2018_commission_structure'!$A$1:$A$4,0),MATCH(S$1,'2018_commission_structure'!$A$1:$I$1,0)),0)</f>
        <v>0</v>
      </c>
      <c r="T894" s="9">
        <f t="shared" si="138"/>
        <v>64401.8</v>
      </c>
      <c r="U894" s="9">
        <f t="shared" si="140"/>
        <v>98551.8</v>
      </c>
      <c r="V894" s="9">
        <f>MIN($I894,$H894)*INDEX('Key Metrics'!$E$16:$N$19,MATCH($E894,'Key Metrics'!$E$16:$E$19,0),MATCH(V$1,'Key Metrics'!$E$16:$M$16,0))</f>
        <v>60000</v>
      </c>
      <c r="W894" s="9">
        <f>IF($H894&gt;I894, MIN($H894-I894, J894-I894)*INDEX('Key Metrics'!$E$16:$N$19,MATCH($E894,'Key Metrics'!$E$16:$E$19,0),MATCH(W$1,'Key Metrics'!$E$16:$M$16,0)),0)</f>
        <v>16322.04</v>
      </c>
      <c r="X894" s="9">
        <f>IF($H894&gt;J894, MIN($H894-J894, K894-J894)*INDEX('Key Metrics'!$E$16:$N$19,MATCH($E894,'Key Metrics'!$E$16:$E$19,0),MATCH(X$1,'Key Metrics'!$E$16:$M$16,0)),0)</f>
        <v>0</v>
      </c>
      <c r="Y894" s="9">
        <f>IF($H894&gt;K894, MIN($H894-K894, L894-K894)*INDEX('Key Metrics'!$E$16:$N$19,MATCH($E894,'Key Metrics'!$E$16:$E$19,0),MATCH(Y$1,'Key Metrics'!$E$16:$M$16,0)),0)</f>
        <v>0</v>
      </c>
      <c r="Z894" s="9">
        <f>IF($H894&gt;L894,($H894-L894)*INDEX('Key Metrics'!$E$16:$N$19,MATCH($E894,'Key Metrics'!$E$16:$E$19,0),MATCH(Z$1,'Key Metrics'!$E$16:$M$16,0)),0)</f>
        <v>0</v>
      </c>
      <c r="AA894" s="9">
        <f t="shared" si="139"/>
        <v>76322.040000000008</v>
      </c>
      <c r="AB894" s="9">
        <f t="shared" si="141"/>
        <v>76323.232024000012</v>
      </c>
    </row>
    <row r="895" spans="1:28" x14ac:dyDescent="0.55000000000000004">
      <c r="A895" t="str">
        <f t="shared" si="132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COUNTIF(deals_closed!$D$2:$D$20001,Calculations!B370)</f>
        <v>21</v>
      </c>
      <c r="H895" s="7">
        <f>SUMIF(deals_closed!$D:$D,Calculations!B370,deals_closed!$C:$C)</f>
        <v>695781</v>
      </c>
      <c r="I895" s="5">
        <f>VLOOKUP(E895,'2018_commission_structure'!$A$1:$I$4,9,FALSE)</f>
        <v>600000</v>
      </c>
      <c r="J895" s="9">
        <f t="shared" si="133"/>
        <v>750000</v>
      </c>
      <c r="K895" s="10">
        <f t="shared" si="134"/>
        <v>900000</v>
      </c>
      <c r="L895" s="9">
        <f t="shared" si="135"/>
        <v>1200000</v>
      </c>
      <c r="M895" s="8">
        <f t="shared" si="136"/>
        <v>1.159635</v>
      </c>
      <c r="N895" t="str">
        <f t="shared" si="137"/>
        <v>100-125%</v>
      </c>
      <c r="O895" s="9">
        <f>MIN($H895,$I895)*INDEX('2018_commission_structure'!$A$1:$I$4,MATCH($E895,'2018_commission_structure'!$A$1:$A$4,0),MATCH(O$1,'2018_commission_structure'!$A$1:$I$1,0))</f>
        <v>78000</v>
      </c>
      <c r="P895" s="9">
        <f>IF(H895&gt;I895, MIN(H895-I895, J895-I895)*INDEX('2018_commission_structure'!$A$1:$I$4,MATCH($E895,'2018_commission_structure'!$A$1:$A$4,0),MATCH(P$1,'2018_commission_structure'!$A$1:$I$1,0)),0)</f>
        <v>16282.77</v>
      </c>
      <c r="Q895" s="9">
        <f>IF($H895&gt;J895, MIN($H895-J895, K895-J895)*INDEX('2018_commission_structure'!$A$1:$I$4,MATCH($E895,'2018_commission_structure'!$A$1:$A$4,0),MATCH(Q$1,'2018_commission_structure'!$A$1:$I$1,0)),0)</f>
        <v>0</v>
      </c>
      <c r="R895" s="9">
        <f>IF($H895&gt;K895, MIN($H895-K895, L895-K895)*INDEX('2018_commission_structure'!$A$1:$I$4,MATCH($E895,'2018_commission_structure'!$A$1:$A$4,0),MATCH(R$1,'2018_commission_structure'!$A$1:$I$1,0)),0)</f>
        <v>0</v>
      </c>
      <c r="S895" s="9">
        <f>IF(H895&gt;L895,(H895-L895)*INDEX('2018_commission_structure'!$A$1:$I$4,MATCH($E895,'2018_commission_structure'!$A$1:$A$4,0),MATCH(S$1,'2018_commission_structure'!$A$1:$I$1,0)),0)</f>
        <v>0</v>
      </c>
      <c r="T895" s="9">
        <f t="shared" si="138"/>
        <v>94282.77</v>
      </c>
      <c r="U895" s="9">
        <f t="shared" si="140"/>
        <v>151986.77000000002</v>
      </c>
      <c r="V895" s="9">
        <f>MIN($I895,$H895)*INDEX('Key Metrics'!$E$16:$N$19,MATCH($E895,'Key Metrics'!$E$16:$E$19,0),MATCH(V$1,'Key Metrics'!$E$16:$M$16,0))</f>
        <v>90000</v>
      </c>
      <c r="W895" s="9">
        <f>IF($H895&gt;I895, MIN($H895-I895, J895-I895)*INDEX('Key Metrics'!$E$16:$N$19,MATCH($E895,'Key Metrics'!$E$16:$E$19,0),MATCH(W$1,'Key Metrics'!$E$16:$M$16,0)),0)</f>
        <v>17240.579999999998</v>
      </c>
      <c r="X895" s="9">
        <f>IF($H895&gt;J895, MIN($H895-J895, K895-J895)*INDEX('Key Metrics'!$E$16:$N$19,MATCH($E895,'Key Metrics'!$E$16:$E$19,0),MATCH(X$1,'Key Metrics'!$E$16:$M$16,0)),0)</f>
        <v>0</v>
      </c>
      <c r="Y895" s="9">
        <f>IF($H895&gt;K895, MIN($H895-K895, L895-K895)*INDEX('Key Metrics'!$E$16:$N$19,MATCH($E895,'Key Metrics'!$E$16:$E$19,0),MATCH(Y$1,'Key Metrics'!$E$16:$M$16,0)),0)</f>
        <v>0</v>
      </c>
      <c r="Z895" s="9">
        <f>IF($H895&gt;L895,($H895-L895)*INDEX('Key Metrics'!$E$16:$N$19,MATCH($E895,'Key Metrics'!$E$16:$E$19,0),MATCH(Z$1,'Key Metrics'!$E$16:$M$16,0)),0)</f>
        <v>0</v>
      </c>
      <c r="AA895" s="9">
        <f t="shared" si="139"/>
        <v>107240.58</v>
      </c>
      <c r="AB895" s="9">
        <f t="shared" si="141"/>
        <v>107241.73963500001</v>
      </c>
    </row>
    <row r="896" spans="1:28" x14ac:dyDescent="0.55000000000000004">
      <c r="A896" t="str">
        <f t="shared" si="132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COUNTIF(deals_closed!$D$2:$D$20001,Calculations!B634)</f>
        <v>20</v>
      </c>
      <c r="H896" s="7">
        <f>SUMIF(deals_closed!$D:$D,Calculations!B634,deals_closed!$C:$C)</f>
        <v>598593</v>
      </c>
      <c r="I896" s="5">
        <f>VLOOKUP(E896,'2018_commission_structure'!$A$1:$I$4,9,FALSE)</f>
        <v>500000</v>
      </c>
      <c r="J896" s="9">
        <f t="shared" si="133"/>
        <v>625000</v>
      </c>
      <c r="K896" s="10">
        <f t="shared" si="134"/>
        <v>750000</v>
      </c>
      <c r="L896" s="9">
        <f t="shared" si="135"/>
        <v>1000000</v>
      </c>
      <c r="M896" s="8">
        <f t="shared" si="136"/>
        <v>1.1971860000000001</v>
      </c>
      <c r="N896" t="str">
        <f t="shared" si="137"/>
        <v>100-125%</v>
      </c>
      <c r="O896" s="9">
        <f>MIN($H896,$I896)*INDEX('2018_commission_structure'!$A$1:$I$4,MATCH($E896,'2018_commission_structure'!$A$1:$A$4,0),MATCH(O$1,'2018_commission_structure'!$A$1:$I$1,0))</f>
        <v>50000</v>
      </c>
      <c r="P896" s="9">
        <f>IF(H896&gt;I896, MIN(H896-I896, J896-I896)*INDEX('2018_commission_structure'!$A$1:$I$4,MATCH($E896,'2018_commission_structure'!$A$1:$A$4,0),MATCH(P$1,'2018_commission_structure'!$A$1:$I$1,0)),0)</f>
        <v>14788.949999999999</v>
      </c>
      <c r="Q896" s="9">
        <f>IF($H896&gt;J896, MIN($H896-J896, K896-J896)*INDEX('2018_commission_structure'!$A$1:$I$4,MATCH($E896,'2018_commission_structure'!$A$1:$A$4,0),MATCH(Q$1,'2018_commission_structure'!$A$1:$I$1,0)),0)</f>
        <v>0</v>
      </c>
      <c r="R896" s="9">
        <f>IF($H896&gt;K896, MIN($H896-K896, L896-K896)*INDEX('2018_commission_structure'!$A$1:$I$4,MATCH($E896,'2018_commission_structure'!$A$1:$A$4,0),MATCH(R$1,'2018_commission_structure'!$A$1:$I$1,0)),0)</f>
        <v>0</v>
      </c>
      <c r="S896" s="9">
        <f>IF(H896&gt;L896,(H896-L896)*INDEX('2018_commission_structure'!$A$1:$I$4,MATCH($E896,'2018_commission_structure'!$A$1:$A$4,0),MATCH(S$1,'2018_commission_structure'!$A$1:$I$1,0)),0)</f>
        <v>0</v>
      </c>
      <c r="T896" s="9">
        <f t="shared" si="138"/>
        <v>64788.95</v>
      </c>
      <c r="U896" s="9">
        <f t="shared" si="140"/>
        <v>107072.95</v>
      </c>
      <c r="V896" s="9">
        <f>MIN($I896,$H896)*INDEX('Key Metrics'!$E$16:$N$19,MATCH($E896,'Key Metrics'!$E$16:$E$19,0),MATCH(V$1,'Key Metrics'!$E$16:$M$16,0))</f>
        <v>60000</v>
      </c>
      <c r="W896" s="9">
        <f>IF($H896&gt;I896, MIN($H896-I896, J896-I896)*INDEX('Key Metrics'!$E$16:$N$19,MATCH($E896,'Key Metrics'!$E$16:$E$19,0),MATCH(W$1,'Key Metrics'!$E$16:$M$16,0)),0)</f>
        <v>16760.810000000001</v>
      </c>
      <c r="X896" s="9">
        <f>IF($H896&gt;J896, MIN($H896-J896, K896-J896)*INDEX('Key Metrics'!$E$16:$N$19,MATCH($E896,'Key Metrics'!$E$16:$E$19,0),MATCH(X$1,'Key Metrics'!$E$16:$M$16,0)),0)</f>
        <v>0</v>
      </c>
      <c r="Y896" s="9">
        <f>IF($H896&gt;K896, MIN($H896-K896, L896-K896)*INDEX('Key Metrics'!$E$16:$N$19,MATCH($E896,'Key Metrics'!$E$16:$E$19,0),MATCH(Y$1,'Key Metrics'!$E$16:$M$16,0)),0)</f>
        <v>0</v>
      </c>
      <c r="Z896" s="9">
        <f>IF($H896&gt;L896,($H896-L896)*INDEX('Key Metrics'!$E$16:$N$19,MATCH($E896,'Key Metrics'!$E$16:$E$19,0),MATCH(Z$1,'Key Metrics'!$E$16:$M$16,0)),0)</f>
        <v>0</v>
      </c>
      <c r="AA896" s="9">
        <f t="shared" si="139"/>
        <v>76760.81</v>
      </c>
      <c r="AB896" s="9">
        <f t="shared" si="141"/>
        <v>76762.007186000003</v>
      </c>
    </row>
    <row r="897" spans="1:28" x14ac:dyDescent="0.55000000000000004">
      <c r="A897" t="str">
        <f t="shared" si="132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COUNTIF(deals_closed!$D$2:$D$20001,Calculations!B158)</f>
        <v>25</v>
      </c>
      <c r="H897" s="7">
        <f>SUMIF(deals_closed!$D:$D,Calculations!B158,deals_closed!$C:$C)</f>
        <v>739115</v>
      </c>
      <c r="I897" s="5">
        <f>VLOOKUP(E897,'2018_commission_structure'!$A$1:$I$4,9,FALSE)</f>
        <v>600000</v>
      </c>
      <c r="J897" s="9">
        <f t="shared" si="133"/>
        <v>750000</v>
      </c>
      <c r="K897" s="10">
        <f t="shared" si="134"/>
        <v>900000</v>
      </c>
      <c r="L897" s="9">
        <f t="shared" si="135"/>
        <v>1200000</v>
      </c>
      <c r="M897" s="8">
        <f t="shared" si="136"/>
        <v>1.2318583333333333</v>
      </c>
      <c r="N897" t="str">
        <f t="shared" si="137"/>
        <v>100-125%</v>
      </c>
      <c r="O897" s="9">
        <f>MIN($H897,$I897)*INDEX('2018_commission_structure'!$A$1:$I$4,MATCH($E897,'2018_commission_structure'!$A$1:$A$4,0),MATCH(O$1,'2018_commission_structure'!$A$1:$I$1,0))</f>
        <v>78000</v>
      </c>
      <c r="P897" s="9">
        <f>IF(H897&gt;I897, MIN(H897-I897, J897-I897)*INDEX('2018_commission_structure'!$A$1:$I$4,MATCH($E897,'2018_commission_structure'!$A$1:$A$4,0),MATCH(P$1,'2018_commission_structure'!$A$1:$I$1,0)),0)</f>
        <v>23649.550000000003</v>
      </c>
      <c r="Q897" s="9">
        <f>IF($H897&gt;J897, MIN($H897-J897, K897-J897)*INDEX('2018_commission_structure'!$A$1:$I$4,MATCH($E897,'2018_commission_structure'!$A$1:$A$4,0),MATCH(Q$1,'2018_commission_structure'!$A$1:$I$1,0)),0)</f>
        <v>0</v>
      </c>
      <c r="R897" s="9">
        <f>IF($H897&gt;K897, MIN($H897-K897, L897-K897)*INDEX('2018_commission_structure'!$A$1:$I$4,MATCH($E897,'2018_commission_structure'!$A$1:$A$4,0),MATCH(R$1,'2018_commission_structure'!$A$1:$I$1,0)),0)</f>
        <v>0</v>
      </c>
      <c r="S897" s="9">
        <f>IF(H897&gt;L897,(H897-L897)*INDEX('2018_commission_structure'!$A$1:$I$4,MATCH($E897,'2018_commission_structure'!$A$1:$A$4,0),MATCH(S$1,'2018_commission_structure'!$A$1:$I$1,0)),0)</f>
        <v>0</v>
      </c>
      <c r="T897" s="9">
        <f t="shared" si="138"/>
        <v>101649.55</v>
      </c>
      <c r="U897" s="9">
        <f t="shared" si="140"/>
        <v>152580.54999999999</v>
      </c>
      <c r="V897" s="9">
        <f>MIN($I897,$H897)*INDEX('Key Metrics'!$E$16:$N$19,MATCH($E897,'Key Metrics'!$E$16:$E$19,0),MATCH(V$1,'Key Metrics'!$E$16:$M$16,0))</f>
        <v>90000</v>
      </c>
      <c r="W897" s="9">
        <f>IF($H897&gt;I897, MIN($H897-I897, J897-I897)*INDEX('Key Metrics'!$E$16:$N$19,MATCH($E897,'Key Metrics'!$E$16:$E$19,0),MATCH(W$1,'Key Metrics'!$E$16:$M$16,0)),0)</f>
        <v>25040.7</v>
      </c>
      <c r="X897" s="9">
        <f>IF($H897&gt;J897, MIN($H897-J897, K897-J897)*INDEX('Key Metrics'!$E$16:$N$19,MATCH($E897,'Key Metrics'!$E$16:$E$19,0),MATCH(X$1,'Key Metrics'!$E$16:$M$16,0)),0)</f>
        <v>0</v>
      </c>
      <c r="Y897" s="9">
        <f>IF($H897&gt;K897, MIN($H897-K897, L897-K897)*INDEX('Key Metrics'!$E$16:$N$19,MATCH($E897,'Key Metrics'!$E$16:$E$19,0),MATCH(Y$1,'Key Metrics'!$E$16:$M$16,0)),0)</f>
        <v>0</v>
      </c>
      <c r="Z897" s="9">
        <f>IF($H897&gt;L897,($H897-L897)*INDEX('Key Metrics'!$E$16:$N$19,MATCH($E897,'Key Metrics'!$E$16:$E$19,0),MATCH(Z$1,'Key Metrics'!$E$16:$M$16,0)),0)</f>
        <v>0</v>
      </c>
      <c r="AA897" s="9">
        <f t="shared" si="139"/>
        <v>115040.7</v>
      </c>
      <c r="AB897" s="9">
        <f t="shared" si="141"/>
        <v>115041.93185833334</v>
      </c>
    </row>
    <row r="898" spans="1:28" x14ac:dyDescent="0.55000000000000004">
      <c r="A898" t="str">
        <f t="shared" ref="A898:A961" si="142">CONCATENATE(C898," ",D898)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COUNTIF(deals_closed!$D$2:$D$20001,Calculations!B107)</f>
        <v>22</v>
      </c>
      <c r="H898" s="7">
        <f>SUMIF(deals_closed!$D:$D,Calculations!B107,deals_closed!$C:$C)</f>
        <v>664319</v>
      </c>
      <c r="I898" s="5">
        <f>VLOOKUP(E898,'2018_commission_structure'!$A$1:$I$4,9,FALSE)</f>
        <v>750000</v>
      </c>
      <c r="J898" s="9">
        <f t="shared" ref="J898:J961" si="143">I898*1.25</f>
        <v>937500</v>
      </c>
      <c r="K898" s="10">
        <f t="shared" ref="K898:K961" si="144">I898*1.5</f>
        <v>1125000</v>
      </c>
      <c r="L898" s="9">
        <f t="shared" ref="L898:L961" si="145">I898*2</f>
        <v>1500000</v>
      </c>
      <c r="M898" s="8">
        <f t="shared" ref="M898:M961" si="146">H898/I898</f>
        <v>0.88575866666666669</v>
      </c>
      <c r="N898" t="str">
        <f t="shared" ref="N898:N961" si="147">IF(M898&lt;=100%,"0-100%",IF(M898&lt;=125%,"100-125%",IF(M898&lt;=150%,"125-150%",IF(M898&lt;=200%,"150-200%","&gt;200%"))))</f>
        <v>0-100%</v>
      </c>
      <c r="O898" s="9">
        <f>MIN($H898,$I898)*INDEX('2018_commission_structure'!$A$1:$I$4,MATCH($E898,'2018_commission_structure'!$A$1:$A$4,0),MATCH(O$1,'2018_commission_structure'!$A$1:$I$1,0))</f>
        <v>99647.849999999991</v>
      </c>
      <c r="P898" s="9">
        <f>IF(H898&gt;I898, MIN(H898-I898, J898-I898)*INDEX('2018_commission_structure'!$A$1:$I$4,MATCH($E898,'2018_commission_structure'!$A$1:$A$4,0),MATCH(P$1,'2018_commission_structure'!$A$1:$I$1,0)),0)</f>
        <v>0</v>
      </c>
      <c r="Q898" s="9">
        <f>IF($H898&gt;J898, MIN($H898-J898, K898-J898)*INDEX('2018_commission_structure'!$A$1:$I$4,MATCH($E898,'2018_commission_structure'!$A$1:$A$4,0),MATCH(Q$1,'2018_commission_structure'!$A$1:$I$1,0)),0)</f>
        <v>0</v>
      </c>
      <c r="R898" s="9">
        <f>IF($H898&gt;K898, MIN($H898-K898, L898-K898)*INDEX('2018_commission_structure'!$A$1:$I$4,MATCH($E898,'2018_commission_structure'!$A$1:$A$4,0),MATCH(R$1,'2018_commission_structure'!$A$1:$I$1,0)),0)</f>
        <v>0</v>
      </c>
      <c r="S898" s="9">
        <f>IF(H898&gt;L898,(H898-L898)*INDEX('2018_commission_structure'!$A$1:$I$4,MATCH($E898,'2018_commission_structure'!$A$1:$A$4,0),MATCH(S$1,'2018_commission_structure'!$A$1:$I$1,0)),0)</f>
        <v>0</v>
      </c>
      <c r="T898" s="9">
        <f t="shared" ref="T898:T961" si="148">SUM(O898:S898)</f>
        <v>99647.849999999991</v>
      </c>
      <c r="U898" s="9">
        <f t="shared" si="140"/>
        <v>180409.84999999998</v>
      </c>
      <c r="V898" s="9">
        <f>MIN($I898,$H898)*INDEX('Key Metrics'!$E$16:$N$19,MATCH($E898,'Key Metrics'!$E$16:$E$19,0),MATCH(V$1,'Key Metrics'!$E$16:$M$16,0))</f>
        <v>99647.849999999991</v>
      </c>
      <c r="W898" s="9">
        <f>IF($H898&gt;I898, MIN($H898-I898, J898-I898)*INDEX('Key Metrics'!$E$16:$N$19,MATCH($E898,'Key Metrics'!$E$16:$E$19,0),MATCH(W$1,'Key Metrics'!$E$16:$M$16,0)),0)</f>
        <v>0</v>
      </c>
      <c r="X898" s="9">
        <f>IF($H898&gt;J898, MIN($H898-J898, K898-J898)*INDEX('Key Metrics'!$E$16:$N$19,MATCH($E898,'Key Metrics'!$E$16:$E$19,0),MATCH(X$1,'Key Metrics'!$E$16:$M$16,0)),0)</f>
        <v>0</v>
      </c>
      <c r="Y898" s="9">
        <f>IF($H898&gt;K898, MIN($H898-K898, L898-K898)*INDEX('Key Metrics'!$E$16:$N$19,MATCH($E898,'Key Metrics'!$E$16:$E$19,0),MATCH(Y$1,'Key Metrics'!$E$16:$M$16,0)),0)</f>
        <v>0</v>
      </c>
      <c r="Z898" s="9">
        <f>IF($H898&gt;L898,($H898-L898)*INDEX('Key Metrics'!$E$16:$N$19,MATCH($E898,'Key Metrics'!$E$16:$E$19,0),MATCH(Z$1,'Key Metrics'!$E$16:$M$16,0)),0)</f>
        <v>0</v>
      </c>
      <c r="AA898" s="9">
        <f t="shared" ref="AA898:AA961" si="149">SUM(V898:Z898)</f>
        <v>99647.849999999991</v>
      </c>
      <c r="AB898" s="9">
        <f t="shared" si="141"/>
        <v>99648.735758666662</v>
      </c>
    </row>
    <row r="899" spans="1:28" x14ac:dyDescent="0.55000000000000004">
      <c r="A899" t="str">
        <f t="shared" si="142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COUNTIF(deals_closed!$D$2:$D$20001,Calculations!B79)</f>
        <v>23</v>
      </c>
      <c r="H899" s="7">
        <f>SUMIF(deals_closed!$D:$D,Calculations!B79,deals_closed!$C:$C)</f>
        <v>801961</v>
      </c>
      <c r="I899" s="5">
        <f>VLOOKUP(E899,'2018_commission_structure'!$A$1:$I$4,9,FALSE)</f>
        <v>500000</v>
      </c>
      <c r="J899" s="9">
        <f t="shared" si="143"/>
        <v>625000</v>
      </c>
      <c r="K899" s="10">
        <f t="shared" si="144"/>
        <v>750000</v>
      </c>
      <c r="L899" s="9">
        <f t="shared" si="145"/>
        <v>1000000</v>
      </c>
      <c r="M899" s="8">
        <f t="shared" si="146"/>
        <v>1.6039220000000001</v>
      </c>
      <c r="N899" t="str">
        <f t="shared" si="147"/>
        <v>150-200%</v>
      </c>
      <c r="O899" s="9">
        <f>MIN($H899,$I899)*INDEX('2018_commission_structure'!$A$1:$I$4,MATCH($E899,'2018_commission_structure'!$A$1:$A$4,0),MATCH(O$1,'2018_commission_structure'!$A$1:$I$1,0))</f>
        <v>50000</v>
      </c>
      <c r="P899" s="9">
        <f>IF(H899&gt;I899, MIN(H899-I899, J899-I899)*INDEX('2018_commission_structure'!$A$1:$I$4,MATCH($E899,'2018_commission_structure'!$A$1:$A$4,0),MATCH(P$1,'2018_commission_structure'!$A$1:$I$1,0)),0)</f>
        <v>18750</v>
      </c>
      <c r="Q899" s="9">
        <f>IF($H899&gt;J899, MIN($H899-J899, K899-J899)*INDEX('2018_commission_structure'!$A$1:$I$4,MATCH($E899,'2018_commission_structure'!$A$1:$A$4,0),MATCH(Q$1,'2018_commission_structure'!$A$1:$I$1,0)),0)</f>
        <v>22500</v>
      </c>
      <c r="R899" s="9">
        <f>IF($H899&gt;K899, MIN($H899-K899, L899-K899)*INDEX('2018_commission_structure'!$A$1:$I$4,MATCH($E899,'2018_commission_structure'!$A$1:$A$4,0),MATCH(R$1,'2018_commission_structure'!$A$1:$I$1,0)),0)</f>
        <v>11431.42</v>
      </c>
      <c r="S899" s="9">
        <f>IF(H899&gt;L899,(H899-L899)*INDEX('2018_commission_structure'!$A$1:$I$4,MATCH($E899,'2018_commission_structure'!$A$1:$A$4,0),MATCH(S$1,'2018_commission_structure'!$A$1:$I$1,0)),0)</f>
        <v>0</v>
      </c>
      <c r="T899" s="9">
        <f t="shared" si="148"/>
        <v>102681.42</v>
      </c>
      <c r="U899" s="9">
        <f t="shared" si="140"/>
        <v>167539.41999999998</v>
      </c>
      <c r="V899" s="9">
        <f>MIN($I899,$H899)*INDEX('Key Metrics'!$E$16:$N$19,MATCH($E899,'Key Metrics'!$E$16:$E$19,0),MATCH(V$1,'Key Metrics'!$E$16:$M$16,0))</f>
        <v>60000</v>
      </c>
      <c r="W899" s="9">
        <f>IF($H899&gt;I899, MIN($H899-I899, J899-I899)*INDEX('Key Metrics'!$E$16:$N$19,MATCH($E899,'Key Metrics'!$E$16:$E$19,0),MATCH(W$1,'Key Metrics'!$E$16:$M$16,0)),0)</f>
        <v>21250</v>
      </c>
      <c r="X899" s="9">
        <f>IF($H899&gt;J899, MIN($H899-J899, K899-J899)*INDEX('Key Metrics'!$E$16:$N$19,MATCH($E899,'Key Metrics'!$E$16:$E$19,0),MATCH(X$1,'Key Metrics'!$E$16:$M$16,0)),0)</f>
        <v>25000</v>
      </c>
      <c r="Y899" s="9">
        <f>IF($H899&gt;K899, MIN($H899-K899, L899-K899)*INDEX('Key Metrics'!$E$16:$N$19,MATCH($E899,'Key Metrics'!$E$16:$E$19,0),MATCH(Y$1,'Key Metrics'!$E$16:$M$16,0)),0)</f>
        <v>11431.42</v>
      </c>
      <c r="Z899" s="9">
        <f>IF($H899&gt;L899,($H899-L899)*INDEX('Key Metrics'!$E$16:$N$19,MATCH($E899,'Key Metrics'!$E$16:$E$19,0),MATCH(Z$1,'Key Metrics'!$E$16:$M$16,0)),0)</f>
        <v>0</v>
      </c>
      <c r="AA899" s="9">
        <f t="shared" si="149"/>
        <v>117681.42</v>
      </c>
      <c r="AB899" s="9">
        <f t="shared" si="141"/>
        <v>117683.02392199999</v>
      </c>
    </row>
    <row r="900" spans="1:28" x14ac:dyDescent="0.55000000000000004">
      <c r="A900" t="str">
        <f t="shared" si="142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COUNTIF(deals_closed!$D$2:$D$20001,Calculations!B112)</f>
        <v>17</v>
      </c>
      <c r="H900" s="7">
        <f>SUMIF(deals_closed!$D:$D,Calculations!B112,deals_closed!$C:$C)</f>
        <v>516004</v>
      </c>
      <c r="I900" s="5">
        <f>VLOOKUP(E900,'2018_commission_structure'!$A$1:$I$4,9,FALSE)</f>
        <v>750000</v>
      </c>
      <c r="J900" s="9">
        <f t="shared" si="143"/>
        <v>937500</v>
      </c>
      <c r="K900" s="10">
        <f t="shared" si="144"/>
        <v>1125000</v>
      </c>
      <c r="L900" s="9">
        <f t="shared" si="145"/>
        <v>1500000</v>
      </c>
      <c r="M900" s="8">
        <f t="shared" si="146"/>
        <v>0.68800533333333336</v>
      </c>
      <c r="N900" t="str">
        <f t="shared" si="147"/>
        <v>0-100%</v>
      </c>
      <c r="O900" s="9">
        <f>MIN($H900,$I900)*INDEX('2018_commission_structure'!$A$1:$I$4,MATCH($E900,'2018_commission_structure'!$A$1:$A$4,0),MATCH(O$1,'2018_commission_structure'!$A$1:$I$1,0))</f>
        <v>77400.599999999991</v>
      </c>
      <c r="P900" s="9">
        <f>IF(H900&gt;I900, MIN(H900-I900, J900-I900)*INDEX('2018_commission_structure'!$A$1:$I$4,MATCH($E900,'2018_commission_structure'!$A$1:$A$4,0),MATCH(P$1,'2018_commission_structure'!$A$1:$I$1,0)),0)</f>
        <v>0</v>
      </c>
      <c r="Q900" s="9">
        <f>IF($H900&gt;J900, MIN($H900-J900, K900-J900)*INDEX('2018_commission_structure'!$A$1:$I$4,MATCH($E900,'2018_commission_structure'!$A$1:$A$4,0),MATCH(Q$1,'2018_commission_structure'!$A$1:$I$1,0)),0)</f>
        <v>0</v>
      </c>
      <c r="R900" s="9">
        <f>IF($H900&gt;K900, MIN($H900-K900, L900-K900)*INDEX('2018_commission_structure'!$A$1:$I$4,MATCH($E900,'2018_commission_structure'!$A$1:$A$4,0),MATCH(R$1,'2018_commission_structure'!$A$1:$I$1,0)),0)</f>
        <v>0</v>
      </c>
      <c r="S900" s="9">
        <f>IF(H900&gt;L900,(H900-L900)*INDEX('2018_commission_structure'!$A$1:$I$4,MATCH($E900,'2018_commission_structure'!$A$1:$A$4,0),MATCH(S$1,'2018_commission_structure'!$A$1:$I$1,0)),0)</f>
        <v>0</v>
      </c>
      <c r="T900" s="9">
        <f t="shared" si="148"/>
        <v>77400.599999999991</v>
      </c>
      <c r="U900" s="9">
        <f t="shared" si="140"/>
        <v>168625.59999999998</v>
      </c>
      <c r="V900" s="9">
        <f>MIN($I900,$H900)*INDEX('Key Metrics'!$E$16:$N$19,MATCH($E900,'Key Metrics'!$E$16:$E$19,0),MATCH(V$1,'Key Metrics'!$E$16:$M$16,0))</f>
        <v>77400.599999999991</v>
      </c>
      <c r="W900" s="9">
        <f>IF($H900&gt;I900, MIN($H900-I900, J900-I900)*INDEX('Key Metrics'!$E$16:$N$19,MATCH($E900,'Key Metrics'!$E$16:$E$19,0),MATCH(W$1,'Key Metrics'!$E$16:$M$16,0)),0)</f>
        <v>0</v>
      </c>
      <c r="X900" s="9">
        <f>IF($H900&gt;J900, MIN($H900-J900, K900-J900)*INDEX('Key Metrics'!$E$16:$N$19,MATCH($E900,'Key Metrics'!$E$16:$E$19,0),MATCH(X$1,'Key Metrics'!$E$16:$M$16,0)),0)</f>
        <v>0</v>
      </c>
      <c r="Y900" s="9">
        <f>IF($H900&gt;K900, MIN($H900-K900, L900-K900)*INDEX('Key Metrics'!$E$16:$N$19,MATCH($E900,'Key Metrics'!$E$16:$E$19,0),MATCH(Y$1,'Key Metrics'!$E$16:$M$16,0)),0)</f>
        <v>0</v>
      </c>
      <c r="Z900" s="9">
        <f>IF($H900&gt;L900,($H900-L900)*INDEX('Key Metrics'!$E$16:$N$19,MATCH($E900,'Key Metrics'!$E$16:$E$19,0),MATCH(Z$1,'Key Metrics'!$E$16:$M$16,0)),0)</f>
        <v>0</v>
      </c>
      <c r="AA900" s="9">
        <f t="shared" si="149"/>
        <v>77400.599999999991</v>
      </c>
      <c r="AB900" s="9">
        <f t="shared" si="141"/>
        <v>77401.288005333321</v>
      </c>
    </row>
    <row r="901" spans="1:28" x14ac:dyDescent="0.55000000000000004">
      <c r="A901" t="str">
        <f t="shared" si="142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COUNTIF(deals_closed!$D$2:$D$20001,Calculations!B136)</f>
        <v>18</v>
      </c>
      <c r="H901" s="7">
        <f>SUMIF(deals_closed!$D:$D,Calculations!B136,deals_closed!$C:$C)</f>
        <v>677142</v>
      </c>
      <c r="I901" s="5">
        <f>VLOOKUP(E901,'2018_commission_structure'!$A$1:$I$4,9,FALSE)</f>
        <v>750000</v>
      </c>
      <c r="J901" s="9">
        <f t="shared" si="143"/>
        <v>937500</v>
      </c>
      <c r="K901" s="10">
        <f t="shared" si="144"/>
        <v>1125000</v>
      </c>
      <c r="L901" s="9">
        <f t="shared" si="145"/>
        <v>1500000</v>
      </c>
      <c r="M901" s="8">
        <f t="shared" si="146"/>
        <v>0.90285599999999999</v>
      </c>
      <c r="N901" t="str">
        <f t="shared" si="147"/>
        <v>0-100%</v>
      </c>
      <c r="O901" s="9">
        <f>MIN($H901,$I901)*INDEX('2018_commission_structure'!$A$1:$I$4,MATCH($E901,'2018_commission_structure'!$A$1:$A$4,0),MATCH(O$1,'2018_commission_structure'!$A$1:$I$1,0))</f>
        <v>101571.3</v>
      </c>
      <c r="P901" s="9">
        <f>IF(H901&gt;I901, MIN(H901-I901, J901-I901)*INDEX('2018_commission_structure'!$A$1:$I$4,MATCH($E901,'2018_commission_structure'!$A$1:$A$4,0),MATCH(P$1,'2018_commission_structure'!$A$1:$I$1,0)),0)</f>
        <v>0</v>
      </c>
      <c r="Q901" s="9">
        <f>IF($H901&gt;J901, MIN($H901-J901, K901-J901)*INDEX('2018_commission_structure'!$A$1:$I$4,MATCH($E901,'2018_commission_structure'!$A$1:$A$4,0),MATCH(Q$1,'2018_commission_structure'!$A$1:$I$1,0)),0)</f>
        <v>0</v>
      </c>
      <c r="R901" s="9">
        <f>IF($H901&gt;K901, MIN($H901-K901, L901-K901)*INDEX('2018_commission_structure'!$A$1:$I$4,MATCH($E901,'2018_commission_structure'!$A$1:$A$4,0),MATCH(R$1,'2018_commission_structure'!$A$1:$I$1,0)),0)</f>
        <v>0</v>
      </c>
      <c r="S901" s="9">
        <f>IF(H901&gt;L901,(H901-L901)*INDEX('2018_commission_structure'!$A$1:$I$4,MATCH($E901,'2018_commission_structure'!$A$1:$A$4,0),MATCH(S$1,'2018_commission_structure'!$A$1:$I$1,0)),0)</f>
        <v>0</v>
      </c>
      <c r="T901" s="9">
        <f t="shared" si="148"/>
        <v>101571.3</v>
      </c>
      <c r="U901" s="9">
        <f t="shared" si="140"/>
        <v>188401.3</v>
      </c>
      <c r="V901" s="9">
        <f>MIN($I901,$H901)*INDEX('Key Metrics'!$E$16:$N$19,MATCH($E901,'Key Metrics'!$E$16:$E$19,0),MATCH(V$1,'Key Metrics'!$E$16:$M$16,0))</f>
        <v>101571.3</v>
      </c>
      <c r="W901" s="9">
        <f>IF($H901&gt;I901, MIN($H901-I901, J901-I901)*INDEX('Key Metrics'!$E$16:$N$19,MATCH($E901,'Key Metrics'!$E$16:$E$19,0),MATCH(W$1,'Key Metrics'!$E$16:$M$16,0)),0)</f>
        <v>0</v>
      </c>
      <c r="X901" s="9">
        <f>IF($H901&gt;J901, MIN($H901-J901, K901-J901)*INDEX('Key Metrics'!$E$16:$N$19,MATCH($E901,'Key Metrics'!$E$16:$E$19,0),MATCH(X$1,'Key Metrics'!$E$16:$M$16,0)),0)</f>
        <v>0</v>
      </c>
      <c r="Y901" s="9">
        <f>IF($H901&gt;K901, MIN($H901-K901, L901-K901)*INDEX('Key Metrics'!$E$16:$N$19,MATCH($E901,'Key Metrics'!$E$16:$E$19,0),MATCH(Y$1,'Key Metrics'!$E$16:$M$16,0)),0)</f>
        <v>0</v>
      </c>
      <c r="Z901" s="9">
        <f>IF($H901&gt;L901,($H901-L901)*INDEX('Key Metrics'!$E$16:$N$19,MATCH($E901,'Key Metrics'!$E$16:$E$19,0),MATCH(Z$1,'Key Metrics'!$E$16:$M$16,0)),0)</f>
        <v>0</v>
      </c>
      <c r="AA901" s="9">
        <f t="shared" si="149"/>
        <v>101571.3</v>
      </c>
      <c r="AB901" s="9">
        <f t="shared" si="141"/>
        <v>101572.202856</v>
      </c>
    </row>
    <row r="902" spans="1:28" x14ac:dyDescent="0.55000000000000004">
      <c r="A902" t="str">
        <f t="shared" si="142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COUNTIF(deals_closed!$D$2:$D$20001,Calculations!B224)</f>
        <v>21</v>
      </c>
      <c r="H902" s="7">
        <f>SUMIF(deals_closed!$D:$D,Calculations!B224,deals_closed!$C:$C)</f>
        <v>698195</v>
      </c>
      <c r="I902" s="5">
        <f>VLOOKUP(E902,'2018_commission_structure'!$A$1:$I$4,9,FALSE)</f>
        <v>600000</v>
      </c>
      <c r="J902" s="9">
        <f t="shared" si="143"/>
        <v>750000</v>
      </c>
      <c r="K902" s="10">
        <f t="shared" si="144"/>
        <v>900000</v>
      </c>
      <c r="L902" s="9">
        <f t="shared" si="145"/>
        <v>1200000</v>
      </c>
      <c r="M902" s="8">
        <f t="shared" si="146"/>
        <v>1.1636583333333332</v>
      </c>
      <c r="N902" t="str">
        <f t="shared" si="147"/>
        <v>100-125%</v>
      </c>
      <c r="O902" s="9">
        <f>MIN($H902,$I902)*INDEX('2018_commission_structure'!$A$1:$I$4,MATCH($E902,'2018_commission_structure'!$A$1:$A$4,0),MATCH(O$1,'2018_commission_structure'!$A$1:$I$1,0))</f>
        <v>78000</v>
      </c>
      <c r="P902" s="9">
        <f>IF(H902&gt;I902, MIN(H902-I902, J902-I902)*INDEX('2018_commission_structure'!$A$1:$I$4,MATCH($E902,'2018_commission_structure'!$A$1:$A$4,0),MATCH(P$1,'2018_commission_structure'!$A$1:$I$1,0)),0)</f>
        <v>16693.150000000001</v>
      </c>
      <c r="Q902" s="9">
        <f>IF($H902&gt;J902, MIN($H902-J902, K902-J902)*INDEX('2018_commission_structure'!$A$1:$I$4,MATCH($E902,'2018_commission_structure'!$A$1:$A$4,0),MATCH(Q$1,'2018_commission_structure'!$A$1:$I$1,0)),0)</f>
        <v>0</v>
      </c>
      <c r="R902" s="9">
        <f>IF($H902&gt;K902, MIN($H902-K902, L902-K902)*INDEX('2018_commission_structure'!$A$1:$I$4,MATCH($E902,'2018_commission_structure'!$A$1:$A$4,0),MATCH(R$1,'2018_commission_structure'!$A$1:$I$1,0)),0)</f>
        <v>0</v>
      </c>
      <c r="S902" s="9">
        <f>IF(H902&gt;L902,(H902-L902)*INDEX('2018_commission_structure'!$A$1:$I$4,MATCH($E902,'2018_commission_structure'!$A$1:$A$4,0),MATCH(S$1,'2018_commission_structure'!$A$1:$I$1,0)),0)</f>
        <v>0</v>
      </c>
      <c r="T902" s="9">
        <f t="shared" si="148"/>
        <v>94693.15</v>
      </c>
      <c r="U902" s="9">
        <f t="shared" si="140"/>
        <v>154533.15</v>
      </c>
      <c r="V902" s="9">
        <f>MIN($I902,$H902)*INDEX('Key Metrics'!$E$16:$N$19,MATCH($E902,'Key Metrics'!$E$16:$E$19,0),MATCH(V$1,'Key Metrics'!$E$16:$M$16,0))</f>
        <v>90000</v>
      </c>
      <c r="W902" s="9">
        <f>IF($H902&gt;I902, MIN($H902-I902, J902-I902)*INDEX('Key Metrics'!$E$16:$N$19,MATCH($E902,'Key Metrics'!$E$16:$E$19,0),MATCH(W$1,'Key Metrics'!$E$16:$M$16,0)),0)</f>
        <v>17675.099999999999</v>
      </c>
      <c r="X902" s="9">
        <f>IF($H902&gt;J902, MIN($H902-J902, K902-J902)*INDEX('Key Metrics'!$E$16:$N$19,MATCH($E902,'Key Metrics'!$E$16:$E$19,0),MATCH(X$1,'Key Metrics'!$E$16:$M$16,0)),0)</f>
        <v>0</v>
      </c>
      <c r="Y902" s="9">
        <f>IF($H902&gt;K902, MIN($H902-K902, L902-K902)*INDEX('Key Metrics'!$E$16:$N$19,MATCH($E902,'Key Metrics'!$E$16:$E$19,0),MATCH(Y$1,'Key Metrics'!$E$16:$M$16,0)),0)</f>
        <v>0</v>
      </c>
      <c r="Z902" s="9">
        <f>IF($H902&gt;L902,($H902-L902)*INDEX('Key Metrics'!$E$16:$N$19,MATCH($E902,'Key Metrics'!$E$16:$E$19,0),MATCH(Z$1,'Key Metrics'!$E$16:$M$16,0)),0)</f>
        <v>0</v>
      </c>
      <c r="AA902" s="9">
        <f t="shared" si="149"/>
        <v>107675.1</v>
      </c>
      <c r="AB902" s="9">
        <f t="shared" si="141"/>
        <v>107676.26365833334</v>
      </c>
    </row>
    <row r="903" spans="1:28" x14ac:dyDescent="0.55000000000000004">
      <c r="A903" t="str">
        <f t="shared" si="142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COUNTIF(deals_closed!$D$2:$D$20001,Calculations!B695)</f>
        <v>23</v>
      </c>
      <c r="H903" s="7">
        <f>SUMIF(deals_closed!$D:$D,Calculations!B695,deals_closed!$C:$C)</f>
        <v>835659</v>
      </c>
      <c r="I903" s="5">
        <f>VLOOKUP(E903,'2018_commission_structure'!$A$1:$I$4,9,FALSE)</f>
        <v>600000</v>
      </c>
      <c r="J903" s="9">
        <f t="shared" si="143"/>
        <v>750000</v>
      </c>
      <c r="K903" s="10">
        <f t="shared" si="144"/>
        <v>900000</v>
      </c>
      <c r="L903" s="9">
        <f t="shared" si="145"/>
        <v>1200000</v>
      </c>
      <c r="M903" s="8">
        <f t="shared" si="146"/>
        <v>1.392765</v>
      </c>
      <c r="N903" t="str">
        <f t="shared" si="147"/>
        <v>125-150%</v>
      </c>
      <c r="O903" s="9">
        <f>MIN($H903,$I903)*INDEX('2018_commission_structure'!$A$1:$I$4,MATCH($E903,'2018_commission_structure'!$A$1:$A$4,0),MATCH(O$1,'2018_commission_structure'!$A$1:$I$1,0))</f>
        <v>78000</v>
      </c>
      <c r="P903" s="9">
        <f>IF(H903&gt;I903, MIN(H903-I903, J903-I903)*INDEX('2018_commission_structure'!$A$1:$I$4,MATCH($E903,'2018_commission_structure'!$A$1:$A$4,0),MATCH(P$1,'2018_commission_structure'!$A$1:$I$1,0)),0)</f>
        <v>25500.000000000004</v>
      </c>
      <c r="Q903" s="9">
        <f>IF($H903&gt;J903, MIN($H903-J903, K903-J903)*INDEX('2018_commission_structure'!$A$1:$I$4,MATCH($E903,'2018_commission_structure'!$A$1:$A$4,0),MATCH(Q$1,'2018_commission_structure'!$A$1:$I$1,0)),0)</f>
        <v>17988.39</v>
      </c>
      <c r="R903" s="9">
        <f>IF($H903&gt;K903, MIN($H903-K903, L903-K903)*INDEX('2018_commission_structure'!$A$1:$I$4,MATCH($E903,'2018_commission_structure'!$A$1:$A$4,0),MATCH(R$1,'2018_commission_structure'!$A$1:$I$1,0)),0)</f>
        <v>0</v>
      </c>
      <c r="S903" s="9">
        <f>IF(H903&gt;L903,(H903-L903)*INDEX('2018_commission_structure'!$A$1:$I$4,MATCH($E903,'2018_commission_structure'!$A$1:$A$4,0),MATCH(S$1,'2018_commission_structure'!$A$1:$I$1,0)),0)</f>
        <v>0</v>
      </c>
      <c r="T903" s="9">
        <f t="shared" si="148"/>
        <v>121488.39</v>
      </c>
      <c r="U903" s="9">
        <f t="shared" si="140"/>
        <v>178217.39</v>
      </c>
      <c r="V903" s="9">
        <f>MIN($I903,$H903)*INDEX('Key Metrics'!$E$16:$N$19,MATCH($E903,'Key Metrics'!$E$16:$E$19,0),MATCH(V$1,'Key Metrics'!$E$16:$M$16,0))</f>
        <v>90000</v>
      </c>
      <c r="W903" s="9">
        <f>IF($H903&gt;I903, MIN($H903-I903, J903-I903)*INDEX('Key Metrics'!$E$16:$N$19,MATCH($E903,'Key Metrics'!$E$16:$E$19,0),MATCH(W$1,'Key Metrics'!$E$16:$M$16,0)),0)</f>
        <v>27000</v>
      </c>
      <c r="X903" s="9">
        <f>IF($H903&gt;J903, MIN($H903-J903, K903-J903)*INDEX('Key Metrics'!$E$16:$N$19,MATCH($E903,'Key Metrics'!$E$16:$E$19,0),MATCH(X$1,'Key Metrics'!$E$16:$M$16,0)),0)</f>
        <v>21414.75</v>
      </c>
      <c r="Y903" s="9">
        <f>IF($H903&gt;K903, MIN($H903-K903, L903-K903)*INDEX('Key Metrics'!$E$16:$N$19,MATCH($E903,'Key Metrics'!$E$16:$E$19,0),MATCH(Y$1,'Key Metrics'!$E$16:$M$16,0)),0)</f>
        <v>0</v>
      </c>
      <c r="Z903" s="9">
        <f>IF($H903&gt;L903,($H903-L903)*INDEX('Key Metrics'!$E$16:$N$19,MATCH($E903,'Key Metrics'!$E$16:$E$19,0),MATCH(Z$1,'Key Metrics'!$E$16:$M$16,0)),0)</f>
        <v>0</v>
      </c>
      <c r="AA903" s="9">
        <f t="shared" si="149"/>
        <v>138414.75</v>
      </c>
      <c r="AB903" s="9">
        <f t="shared" si="141"/>
        <v>138416.142765</v>
      </c>
    </row>
    <row r="904" spans="1:28" x14ac:dyDescent="0.55000000000000004">
      <c r="A904" t="str">
        <f t="shared" si="142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COUNTIF(deals_closed!$D$2:$D$20001,Calculations!B206)</f>
        <v>25</v>
      </c>
      <c r="H904" s="7">
        <f>SUMIF(deals_closed!$D:$D,Calculations!B206,deals_closed!$C:$C)</f>
        <v>795363</v>
      </c>
      <c r="I904" s="5">
        <f>VLOOKUP(E904,'2018_commission_structure'!$A$1:$I$4,9,FALSE)</f>
        <v>600000</v>
      </c>
      <c r="J904" s="9">
        <f t="shared" si="143"/>
        <v>750000</v>
      </c>
      <c r="K904" s="10">
        <f t="shared" si="144"/>
        <v>900000</v>
      </c>
      <c r="L904" s="9">
        <f t="shared" si="145"/>
        <v>1200000</v>
      </c>
      <c r="M904" s="8">
        <f t="shared" si="146"/>
        <v>1.3256049999999999</v>
      </c>
      <c r="N904" t="str">
        <f t="shared" si="147"/>
        <v>125-150%</v>
      </c>
      <c r="O904" s="9">
        <f>MIN($H904,$I904)*INDEX('2018_commission_structure'!$A$1:$I$4,MATCH($E904,'2018_commission_structure'!$A$1:$A$4,0),MATCH(O$1,'2018_commission_structure'!$A$1:$I$1,0))</f>
        <v>78000</v>
      </c>
      <c r="P904" s="9">
        <f>IF(H904&gt;I904, MIN(H904-I904, J904-I904)*INDEX('2018_commission_structure'!$A$1:$I$4,MATCH($E904,'2018_commission_structure'!$A$1:$A$4,0),MATCH(P$1,'2018_commission_structure'!$A$1:$I$1,0)),0)</f>
        <v>25500.000000000004</v>
      </c>
      <c r="Q904" s="9">
        <f>IF($H904&gt;J904, MIN($H904-J904, K904-J904)*INDEX('2018_commission_structure'!$A$1:$I$4,MATCH($E904,'2018_commission_structure'!$A$1:$A$4,0),MATCH(Q$1,'2018_commission_structure'!$A$1:$I$1,0)),0)</f>
        <v>9526.23</v>
      </c>
      <c r="R904" s="9">
        <f>IF($H904&gt;K904, MIN($H904-K904, L904-K904)*INDEX('2018_commission_structure'!$A$1:$I$4,MATCH($E904,'2018_commission_structure'!$A$1:$A$4,0),MATCH(R$1,'2018_commission_structure'!$A$1:$I$1,0)),0)</f>
        <v>0</v>
      </c>
      <c r="S904" s="9">
        <f>IF(H904&gt;L904,(H904-L904)*INDEX('2018_commission_structure'!$A$1:$I$4,MATCH($E904,'2018_commission_structure'!$A$1:$A$4,0),MATCH(S$1,'2018_commission_structure'!$A$1:$I$1,0)),0)</f>
        <v>0</v>
      </c>
      <c r="T904" s="9">
        <f t="shared" si="148"/>
        <v>113026.23</v>
      </c>
      <c r="U904" s="9">
        <f t="shared" si="140"/>
        <v>167328.22999999998</v>
      </c>
      <c r="V904" s="9">
        <f>MIN($I904,$H904)*INDEX('Key Metrics'!$E$16:$N$19,MATCH($E904,'Key Metrics'!$E$16:$E$19,0),MATCH(V$1,'Key Metrics'!$E$16:$M$16,0))</f>
        <v>90000</v>
      </c>
      <c r="W904" s="9">
        <f>IF($H904&gt;I904, MIN($H904-I904, J904-I904)*INDEX('Key Metrics'!$E$16:$N$19,MATCH($E904,'Key Metrics'!$E$16:$E$19,0),MATCH(W$1,'Key Metrics'!$E$16:$M$16,0)),0)</f>
        <v>27000</v>
      </c>
      <c r="X904" s="9">
        <f>IF($H904&gt;J904, MIN($H904-J904, K904-J904)*INDEX('Key Metrics'!$E$16:$N$19,MATCH($E904,'Key Metrics'!$E$16:$E$19,0),MATCH(X$1,'Key Metrics'!$E$16:$M$16,0)),0)</f>
        <v>11340.75</v>
      </c>
      <c r="Y904" s="9">
        <f>IF($H904&gt;K904, MIN($H904-K904, L904-K904)*INDEX('Key Metrics'!$E$16:$N$19,MATCH($E904,'Key Metrics'!$E$16:$E$19,0),MATCH(Y$1,'Key Metrics'!$E$16:$M$16,0)),0)</f>
        <v>0</v>
      </c>
      <c r="Z904" s="9">
        <f>IF($H904&gt;L904,($H904-L904)*INDEX('Key Metrics'!$E$16:$N$19,MATCH($E904,'Key Metrics'!$E$16:$E$19,0),MATCH(Z$1,'Key Metrics'!$E$16:$M$16,0)),0)</f>
        <v>0</v>
      </c>
      <c r="AA904" s="9">
        <f t="shared" si="149"/>
        <v>128340.75</v>
      </c>
      <c r="AB904" s="9">
        <f t="shared" si="141"/>
        <v>128342.07560500001</v>
      </c>
    </row>
    <row r="905" spans="1:28" x14ac:dyDescent="0.55000000000000004">
      <c r="A905" t="str">
        <f t="shared" si="142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COUNTIF(deals_closed!$D$2:$D$20001,Calculations!B442)</f>
        <v>23</v>
      </c>
      <c r="H905" s="7">
        <f>SUMIF(deals_closed!$D:$D,Calculations!B442,deals_closed!$C:$C)</f>
        <v>795153</v>
      </c>
      <c r="I905" s="5">
        <f>VLOOKUP(E905,'2018_commission_structure'!$A$1:$I$4,9,FALSE)</f>
        <v>500000</v>
      </c>
      <c r="J905" s="9">
        <f t="shared" si="143"/>
        <v>625000</v>
      </c>
      <c r="K905" s="10">
        <f t="shared" si="144"/>
        <v>750000</v>
      </c>
      <c r="L905" s="9">
        <f t="shared" si="145"/>
        <v>1000000</v>
      </c>
      <c r="M905" s="8">
        <f t="shared" si="146"/>
        <v>1.590306</v>
      </c>
      <c r="N905" t="str">
        <f t="shared" si="147"/>
        <v>150-200%</v>
      </c>
      <c r="O905" s="9">
        <f>MIN($H905,$I905)*INDEX('2018_commission_structure'!$A$1:$I$4,MATCH($E905,'2018_commission_structure'!$A$1:$A$4,0),MATCH(O$1,'2018_commission_structure'!$A$1:$I$1,0))</f>
        <v>50000</v>
      </c>
      <c r="P905" s="9">
        <f>IF(H905&gt;I905, MIN(H905-I905, J905-I905)*INDEX('2018_commission_structure'!$A$1:$I$4,MATCH($E905,'2018_commission_structure'!$A$1:$A$4,0),MATCH(P$1,'2018_commission_structure'!$A$1:$I$1,0)),0)</f>
        <v>18750</v>
      </c>
      <c r="Q905" s="9">
        <f>IF($H905&gt;J905, MIN($H905-J905, K905-J905)*INDEX('2018_commission_structure'!$A$1:$I$4,MATCH($E905,'2018_commission_structure'!$A$1:$A$4,0),MATCH(Q$1,'2018_commission_structure'!$A$1:$I$1,0)),0)</f>
        <v>22500</v>
      </c>
      <c r="R905" s="9">
        <f>IF($H905&gt;K905, MIN($H905-K905, L905-K905)*INDEX('2018_commission_structure'!$A$1:$I$4,MATCH($E905,'2018_commission_structure'!$A$1:$A$4,0),MATCH(R$1,'2018_commission_structure'!$A$1:$I$1,0)),0)</f>
        <v>9933.66</v>
      </c>
      <c r="S905" s="9">
        <f>IF(H905&gt;L905,(H905-L905)*INDEX('2018_commission_structure'!$A$1:$I$4,MATCH($E905,'2018_commission_structure'!$A$1:$A$4,0),MATCH(S$1,'2018_commission_structure'!$A$1:$I$1,0)),0)</f>
        <v>0</v>
      </c>
      <c r="T905" s="9">
        <f t="shared" si="148"/>
        <v>101183.66</v>
      </c>
      <c r="U905" s="9">
        <f t="shared" si="140"/>
        <v>160057.66</v>
      </c>
      <c r="V905" s="9">
        <f>MIN($I905,$H905)*INDEX('Key Metrics'!$E$16:$N$19,MATCH($E905,'Key Metrics'!$E$16:$E$19,0),MATCH(V$1,'Key Metrics'!$E$16:$M$16,0))</f>
        <v>60000</v>
      </c>
      <c r="W905" s="9">
        <f>IF($H905&gt;I905, MIN($H905-I905, J905-I905)*INDEX('Key Metrics'!$E$16:$N$19,MATCH($E905,'Key Metrics'!$E$16:$E$19,0),MATCH(W$1,'Key Metrics'!$E$16:$M$16,0)),0)</f>
        <v>21250</v>
      </c>
      <c r="X905" s="9">
        <f>IF($H905&gt;J905, MIN($H905-J905, K905-J905)*INDEX('Key Metrics'!$E$16:$N$19,MATCH($E905,'Key Metrics'!$E$16:$E$19,0),MATCH(X$1,'Key Metrics'!$E$16:$M$16,0)),0)</f>
        <v>25000</v>
      </c>
      <c r="Y905" s="9">
        <f>IF($H905&gt;K905, MIN($H905-K905, L905-K905)*INDEX('Key Metrics'!$E$16:$N$19,MATCH($E905,'Key Metrics'!$E$16:$E$19,0),MATCH(Y$1,'Key Metrics'!$E$16:$M$16,0)),0)</f>
        <v>9933.66</v>
      </c>
      <c r="Z905" s="9">
        <f>IF($H905&gt;L905,($H905-L905)*INDEX('Key Metrics'!$E$16:$N$19,MATCH($E905,'Key Metrics'!$E$16:$E$19,0),MATCH(Z$1,'Key Metrics'!$E$16:$M$16,0)),0)</f>
        <v>0</v>
      </c>
      <c r="AA905" s="9">
        <f t="shared" si="149"/>
        <v>116183.66</v>
      </c>
      <c r="AB905" s="9">
        <f t="shared" si="141"/>
        <v>116185.250306</v>
      </c>
    </row>
    <row r="906" spans="1:28" x14ac:dyDescent="0.55000000000000004">
      <c r="A906" t="str">
        <f t="shared" si="142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COUNTIF(deals_closed!$D$2:$D$20001,Calculations!B242)</f>
        <v>19</v>
      </c>
      <c r="H906" s="7">
        <f>SUMIF(deals_closed!$D:$D,Calculations!B242,deals_closed!$C:$C)</f>
        <v>620798</v>
      </c>
      <c r="I906" s="5">
        <f>VLOOKUP(E906,'2018_commission_structure'!$A$1:$I$4,9,FALSE)</f>
        <v>500000</v>
      </c>
      <c r="J906" s="9">
        <f t="shared" si="143"/>
        <v>625000</v>
      </c>
      <c r="K906" s="10">
        <f t="shared" si="144"/>
        <v>750000</v>
      </c>
      <c r="L906" s="9">
        <f t="shared" si="145"/>
        <v>1000000</v>
      </c>
      <c r="M906" s="8">
        <f t="shared" si="146"/>
        <v>1.2415959999999999</v>
      </c>
      <c r="N906" t="str">
        <f t="shared" si="147"/>
        <v>100-125%</v>
      </c>
      <c r="O906" s="9">
        <f>MIN($H906,$I906)*INDEX('2018_commission_structure'!$A$1:$I$4,MATCH($E906,'2018_commission_structure'!$A$1:$A$4,0),MATCH(O$1,'2018_commission_structure'!$A$1:$I$1,0))</f>
        <v>50000</v>
      </c>
      <c r="P906" s="9">
        <f>IF(H906&gt;I906, MIN(H906-I906, J906-I906)*INDEX('2018_commission_structure'!$A$1:$I$4,MATCH($E906,'2018_commission_structure'!$A$1:$A$4,0),MATCH(P$1,'2018_commission_structure'!$A$1:$I$1,0)),0)</f>
        <v>18119.7</v>
      </c>
      <c r="Q906" s="9">
        <f>IF($H906&gt;J906, MIN($H906-J906, K906-J906)*INDEX('2018_commission_structure'!$A$1:$I$4,MATCH($E906,'2018_commission_structure'!$A$1:$A$4,0),MATCH(Q$1,'2018_commission_structure'!$A$1:$I$1,0)),0)</f>
        <v>0</v>
      </c>
      <c r="R906" s="9">
        <f>IF($H906&gt;K906, MIN($H906-K906, L906-K906)*INDEX('2018_commission_structure'!$A$1:$I$4,MATCH($E906,'2018_commission_structure'!$A$1:$A$4,0),MATCH(R$1,'2018_commission_structure'!$A$1:$I$1,0)),0)</f>
        <v>0</v>
      </c>
      <c r="S906" s="9">
        <f>IF(H906&gt;L906,(H906-L906)*INDEX('2018_commission_structure'!$A$1:$I$4,MATCH($E906,'2018_commission_structure'!$A$1:$A$4,0),MATCH(S$1,'2018_commission_structure'!$A$1:$I$1,0)),0)</f>
        <v>0</v>
      </c>
      <c r="T906" s="9">
        <f t="shared" si="148"/>
        <v>68119.7</v>
      </c>
      <c r="U906" s="9">
        <f t="shared" si="140"/>
        <v>122564.7</v>
      </c>
      <c r="V906" s="9">
        <f>MIN($I906,$H906)*INDEX('Key Metrics'!$E$16:$N$19,MATCH($E906,'Key Metrics'!$E$16:$E$19,0),MATCH(V$1,'Key Metrics'!$E$16:$M$16,0))</f>
        <v>60000</v>
      </c>
      <c r="W906" s="9">
        <f>IF($H906&gt;I906, MIN($H906-I906, J906-I906)*INDEX('Key Metrics'!$E$16:$N$19,MATCH($E906,'Key Metrics'!$E$16:$E$19,0),MATCH(W$1,'Key Metrics'!$E$16:$M$16,0)),0)</f>
        <v>20535.66</v>
      </c>
      <c r="X906" s="9">
        <f>IF($H906&gt;J906, MIN($H906-J906, K906-J906)*INDEX('Key Metrics'!$E$16:$N$19,MATCH($E906,'Key Metrics'!$E$16:$E$19,0),MATCH(X$1,'Key Metrics'!$E$16:$M$16,0)),0)</f>
        <v>0</v>
      </c>
      <c r="Y906" s="9">
        <f>IF($H906&gt;K906, MIN($H906-K906, L906-K906)*INDEX('Key Metrics'!$E$16:$N$19,MATCH($E906,'Key Metrics'!$E$16:$E$19,0),MATCH(Y$1,'Key Metrics'!$E$16:$M$16,0)),0)</f>
        <v>0</v>
      </c>
      <c r="Z906" s="9">
        <f>IF($H906&gt;L906,($H906-L906)*INDEX('Key Metrics'!$E$16:$N$19,MATCH($E906,'Key Metrics'!$E$16:$E$19,0),MATCH(Z$1,'Key Metrics'!$E$16:$M$16,0)),0)</f>
        <v>0</v>
      </c>
      <c r="AA906" s="9">
        <f t="shared" si="149"/>
        <v>80535.66</v>
      </c>
      <c r="AB906" s="9">
        <f t="shared" si="141"/>
        <v>80536.901596000011</v>
      </c>
    </row>
    <row r="907" spans="1:28" x14ac:dyDescent="0.55000000000000004">
      <c r="A907" t="str">
        <f t="shared" si="142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COUNTIF(deals_closed!$D$2:$D$20001,Calculations!B25)</f>
        <v>25</v>
      </c>
      <c r="H907" s="7">
        <f>SUMIF(deals_closed!$D:$D,Calculations!B25,deals_closed!$C:$C)</f>
        <v>921122</v>
      </c>
      <c r="I907" s="5">
        <f>VLOOKUP(E907,'2018_commission_structure'!$A$1:$I$4,9,FALSE)</f>
        <v>750000</v>
      </c>
      <c r="J907" s="9">
        <f t="shared" si="143"/>
        <v>937500</v>
      </c>
      <c r="K907" s="10">
        <f t="shared" si="144"/>
        <v>1125000</v>
      </c>
      <c r="L907" s="9">
        <f t="shared" si="145"/>
        <v>1500000</v>
      </c>
      <c r="M907" s="8">
        <f t="shared" si="146"/>
        <v>1.2281626666666667</v>
      </c>
      <c r="N907" t="str">
        <f t="shared" si="147"/>
        <v>100-125%</v>
      </c>
      <c r="O907" s="9">
        <f>MIN($H907,$I907)*INDEX('2018_commission_structure'!$A$1:$I$4,MATCH($E907,'2018_commission_structure'!$A$1:$A$4,0),MATCH(O$1,'2018_commission_structure'!$A$1:$I$1,0))</f>
        <v>112500</v>
      </c>
      <c r="P907" s="9">
        <f>IF(H907&gt;I907, MIN(H907-I907, J907-I907)*INDEX('2018_commission_structure'!$A$1:$I$4,MATCH($E907,'2018_commission_structure'!$A$1:$A$4,0),MATCH(P$1,'2018_commission_structure'!$A$1:$I$1,0)),0)</f>
        <v>32513.18</v>
      </c>
      <c r="Q907" s="9">
        <f>IF($H907&gt;J907, MIN($H907-J907, K907-J907)*INDEX('2018_commission_structure'!$A$1:$I$4,MATCH($E907,'2018_commission_structure'!$A$1:$A$4,0),MATCH(Q$1,'2018_commission_structure'!$A$1:$I$1,0)),0)</f>
        <v>0</v>
      </c>
      <c r="R907" s="9">
        <f>IF($H907&gt;K907, MIN($H907-K907, L907-K907)*INDEX('2018_commission_structure'!$A$1:$I$4,MATCH($E907,'2018_commission_structure'!$A$1:$A$4,0),MATCH(R$1,'2018_commission_structure'!$A$1:$I$1,0)),0)</f>
        <v>0</v>
      </c>
      <c r="S907" s="9">
        <f>IF(H907&gt;L907,(H907-L907)*INDEX('2018_commission_structure'!$A$1:$I$4,MATCH($E907,'2018_commission_structure'!$A$1:$A$4,0),MATCH(S$1,'2018_commission_structure'!$A$1:$I$1,0)),0)</f>
        <v>0</v>
      </c>
      <c r="T907" s="9">
        <f t="shared" si="148"/>
        <v>145013.18</v>
      </c>
      <c r="U907" s="9">
        <f t="shared" si="140"/>
        <v>228527.18</v>
      </c>
      <c r="V907" s="9">
        <f>MIN($I907,$H907)*INDEX('Key Metrics'!$E$16:$N$19,MATCH($E907,'Key Metrics'!$E$16:$E$19,0),MATCH(V$1,'Key Metrics'!$E$16:$M$16,0))</f>
        <v>112500</v>
      </c>
      <c r="W907" s="9">
        <f>IF($H907&gt;I907, MIN($H907-I907, J907-I907)*INDEX('Key Metrics'!$E$16:$N$19,MATCH($E907,'Key Metrics'!$E$16:$E$19,0),MATCH(W$1,'Key Metrics'!$E$16:$M$16,0)),0)</f>
        <v>37646.840000000004</v>
      </c>
      <c r="X907" s="9">
        <f>IF($H907&gt;J907, MIN($H907-J907, K907-J907)*INDEX('Key Metrics'!$E$16:$N$19,MATCH($E907,'Key Metrics'!$E$16:$E$19,0),MATCH(X$1,'Key Metrics'!$E$16:$M$16,0)),0)</f>
        <v>0</v>
      </c>
      <c r="Y907" s="9">
        <f>IF($H907&gt;K907, MIN($H907-K907, L907-K907)*INDEX('Key Metrics'!$E$16:$N$19,MATCH($E907,'Key Metrics'!$E$16:$E$19,0),MATCH(Y$1,'Key Metrics'!$E$16:$M$16,0)),0)</f>
        <v>0</v>
      </c>
      <c r="Z907" s="9">
        <f>IF($H907&gt;L907,($H907-L907)*INDEX('Key Metrics'!$E$16:$N$19,MATCH($E907,'Key Metrics'!$E$16:$E$19,0),MATCH(Z$1,'Key Metrics'!$E$16:$M$16,0)),0)</f>
        <v>0</v>
      </c>
      <c r="AA907" s="9">
        <f t="shared" si="149"/>
        <v>150146.84</v>
      </c>
      <c r="AB907" s="9">
        <f t="shared" si="141"/>
        <v>150148.06816266666</v>
      </c>
    </row>
    <row r="908" spans="1:28" x14ac:dyDescent="0.55000000000000004">
      <c r="A908" t="str">
        <f t="shared" si="142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COUNTIF(deals_closed!$D$2:$D$20001,Calculations!B920)</f>
        <v>21</v>
      </c>
      <c r="H908" s="7">
        <f>SUMIF(deals_closed!$D:$D,Calculations!B920,deals_closed!$C:$C)</f>
        <v>699976</v>
      </c>
      <c r="I908" s="5">
        <f>VLOOKUP(E908,'2018_commission_structure'!$A$1:$I$4,9,FALSE)</f>
        <v>750000</v>
      </c>
      <c r="J908" s="9">
        <f t="shared" si="143"/>
        <v>937500</v>
      </c>
      <c r="K908" s="10">
        <f t="shared" si="144"/>
        <v>1125000</v>
      </c>
      <c r="L908" s="9">
        <f t="shared" si="145"/>
        <v>1500000</v>
      </c>
      <c r="M908" s="8">
        <f t="shared" si="146"/>
        <v>0.93330133333333332</v>
      </c>
      <c r="N908" t="str">
        <f t="shared" si="147"/>
        <v>0-100%</v>
      </c>
      <c r="O908" s="9">
        <f>MIN($H908,$I908)*INDEX('2018_commission_structure'!$A$1:$I$4,MATCH($E908,'2018_commission_structure'!$A$1:$A$4,0),MATCH(O$1,'2018_commission_structure'!$A$1:$I$1,0))</f>
        <v>104996.4</v>
      </c>
      <c r="P908" s="9">
        <f>IF(H908&gt;I908, MIN(H908-I908, J908-I908)*INDEX('2018_commission_structure'!$A$1:$I$4,MATCH($E908,'2018_commission_structure'!$A$1:$A$4,0),MATCH(P$1,'2018_commission_structure'!$A$1:$I$1,0)),0)</f>
        <v>0</v>
      </c>
      <c r="Q908" s="9">
        <f>IF($H908&gt;J908, MIN($H908-J908, K908-J908)*INDEX('2018_commission_structure'!$A$1:$I$4,MATCH($E908,'2018_commission_structure'!$A$1:$A$4,0),MATCH(Q$1,'2018_commission_structure'!$A$1:$I$1,0)),0)</f>
        <v>0</v>
      </c>
      <c r="R908" s="9">
        <f>IF($H908&gt;K908, MIN($H908-K908, L908-K908)*INDEX('2018_commission_structure'!$A$1:$I$4,MATCH($E908,'2018_commission_structure'!$A$1:$A$4,0),MATCH(R$1,'2018_commission_structure'!$A$1:$I$1,0)),0)</f>
        <v>0</v>
      </c>
      <c r="S908" s="9">
        <f>IF(H908&gt;L908,(H908-L908)*INDEX('2018_commission_structure'!$A$1:$I$4,MATCH($E908,'2018_commission_structure'!$A$1:$A$4,0),MATCH(S$1,'2018_commission_structure'!$A$1:$I$1,0)),0)</f>
        <v>0</v>
      </c>
      <c r="T908" s="9">
        <f t="shared" si="148"/>
        <v>104996.4</v>
      </c>
      <c r="U908" s="9">
        <f t="shared" si="140"/>
        <v>209977.4</v>
      </c>
      <c r="V908" s="9">
        <f>MIN($I908,$H908)*INDEX('Key Metrics'!$E$16:$N$19,MATCH($E908,'Key Metrics'!$E$16:$E$19,0),MATCH(V$1,'Key Metrics'!$E$16:$M$16,0))</f>
        <v>104996.4</v>
      </c>
      <c r="W908" s="9">
        <f>IF($H908&gt;I908, MIN($H908-I908, J908-I908)*INDEX('Key Metrics'!$E$16:$N$19,MATCH($E908,'Key Metrics'!$E$16:$E$19,0),MATCH(W$1,'Key Metrics'!$E$16:$M$16,0)),0)</f>
        <v>0</v>
      </c>
      <c r="X908" s="9">
        <f>IF($H908&gt;J908, MIN($H908-J908, K908-J908)*INDEX('Key Metrics'!$E$16:$N$19,MATCH($E908,'Key Metrics'!$E$16:$E$19,0),MATCH(X$1,'Key Metrics'!$E$16:$M$16,0)),0)</f>
        <v>0</v>
      </c>
      <c r="Y908" s="9">
        <f>IF($H908&gt;K908, MIN($H908-K908, L908-K908)*INDEX('Key Metrics'!$E$16:$N$19,MATCH($E908,'Key Metrics'!$E$16:$E$19,0),MATCH(Y$1,'Key Metrics'!$E$16:$M$16,0)),0)</f>
        <v>0</v>
      </c>
      <c r="Z908" s="9">
        <f>IF($H908&gt;L908,($H908-L908)*INDEX('Key Metrics'!$E$16:$N$19,MATCH($E908,'Key Metrics'!$E$16:$E$19,0),MATCH(Z$1,'Key Metrics'!$E$16:$M$16,0)),0)</f>
        <v>0</v>
      </c>
      <c r="AA908" s="9">
        <f t="shared" si="149"/>
        <v>104996.4</v>
      </c>
      <c r="AB908" s="9">
        <f t="shared" si="141"/>
        <v>104997.33330133333</v>
      </c>
    </row>
    <row r="909" spans="1:28" x14ac:dyDescent="0.55000000000000004">
      <c r="A909" t="str">
        <f t="shared" si="142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COUNTIF(deals_closed!$D$2:$D$20001,Calculations!B852)</f>
        <v>18</v>
      </c>
      <c r="H909" s="7">
        <f>SUMIF(deals_closed!$D:$D,Calculations!B852,deals_closed!$C:$C)</f>
        <v>695864</v>
      </c>
      <c r="I909" s="5">
        <f>VLOOKUP(E909,'2018_commission_structure'!$A$1:$I$4,9,FALSE)</f>
        <v>500000</v>
      </c>
      <c r="J909" s="9">
        <f t="shared" si="143"/>
        <v>625000</v>
      </c>
      <c r="K909" s="10">
        <f t="shared" si="144"/>
        <v>750000</v>
      </c>
      <c r="L909" s="9">
        <f t="shared" si="145"/>
        <v>1000000</v>
      </c>
      <c r="M909" s="8">
        <f t="shared" si="146"/>
        <v>1.3917280000000001</v>
      </c>
      <c r="N909" t="str">
        <f t="shared" si="147"/>
        <v>125-150%</v>
      </c>
      <c r="O909" s="9">
        <f>MIN($H909,$I909)*INDEX('2018_commission_structure'!$A$1:$I$4,MATCH($E909,'2018_commission_structure'!$A$1:$A$4,0),MATCH(O$1,'2018_commission_structure'!$A$1:$I$1,0))</f>
        <v>50000</v>
      </c>
      <c r="P909" s="9">
        <f>IF(H909&gt;I909, MIN(H909-I909, J909-I909)*INDEX('2018_commission_structure'!$A$1:$I$4,MATCH($E909,'2018_commission_structure'!$A$1:$A$4,0),MATCH(P$1,'2018_commission_structure'!$A$1:$I$1,0)),0)</f>
        <v>18750</v>
      </c>
      <c r="Q909" s="9">
        <f>IF($H909&gt;J909, MIN($H909-J909, K909-J909)*INDEX('2018_commission_structure'!$A$1:$I$4,MATCH($E909,'2018_commission_structure'!$A$1:$A$4,0),MATCH(Q$1,'2018_commission_structure'!$A$1:$I$1,0)),0)</f>
        <v>12755.52</v>
      </c>
      <c r="R909" s="9">
        <f>IF($H909&gt;K909, MIN($H909-K909, L909-K909)*INDEX('2018_commission_structure'!$A$1:$I$4,MATCH($E909,'2018_commission_structure'!$A$1:$A$4,0),MATCH(R$1,'2018_commission_structure'!$A$1:$I$1,0)),0)</f>
        <v>0</v>
      </c>
      <c r="S909" s="9">
        <f>IF(H909&gt;L909,(H909-L909)*INDEX('2018_commission_structure'!$A$1:$I$4,MATCH($E909,'2018_commission_structure'!$A$1:$A$4,0),MATCH(S$1,'2018_commission_structure'!$A$1:$I$1,0)),0)</f>
        <v>0</v>
      </c>
      <c r="T909" s="9">
        <f t="shared" si="148"/>
        <v>81505.52</v>
      </c>
      <c r="U909" s="9">
        <f t="shared" si="140"/>
        <v>131774.52000000002</v>
      </c>
      <c r="V909" s="9">
        <f>MIN($I909,$H909)*INDEX('Key Metrics'!$E$16:$N$19,MATCH($E909,'Key Metrics'!$E$16:$E$19,0),MATCH(V$1,'Key Metrics'!$E$16:$M$16,0))</f>
        <v>60000</v>
      </c>
      <c r="W909" s="9">
        <f>IF($H909&gt;I909, MIN($H909-I909, J909-I909)*INDEX('Key Metrics'!$E$16:$N$19,MATCH($E909,'Key Metrics'!$E$16:$E$19,0),MATCH(W$1,'Key Metrics'!$E$16:$M$16,0)),0)</f>
        <v>21250</v>
      </c>
      <c r="X909" s="9">
        <f>IF($H909&gt;J909, MIN($H909-J909, K909-J909)*INDEX('Key Metrics'!$E$16:$N$19,MATCH($E909,'Key Metrics'!$E$16:$E$19,0),MATCH(X$1,'Key Metrics'!$E$16:$M$16,0)),0)</f>
        <v>14172.800000000001</v>
      </c>
      <c r="Y909" s="9">
        <f>IF($H909&gt;K909, MIN($H909-K909, L909-K909)*INDEX('Key Metrics'!$E$16:$N$19,MATCH($E909,'Key Metrics'!$E$16:$E$19,0),MATCH(Y$1,'Key Metrics'!$E$16:$M$16,0)),0)</f>
        <v>0</v>
      </c>
      <c r="Z909" s="9">
        <f>IF($H909&gt;L909,($H909-L909)*INDEX('Key Metrics'!$E$16:$N$19,MATCH($E909,'Key Metrics'!$E$16:$E$19,0),MATCH(Z$1,'Key Metrics'!$E$16:$M$16,0)),0)</f>
        <v>0</v>
      </c>
      <c r="AA909" s="9">
        <f t="shared" si="149"/>
        <v>95422.8</v>
      </c>
      <c r="AB909" s="9">
        <f t="shared" si="141"/>
        <v>95424.191728000005</v>
      </c>
    </row>
    <row r="910" spans="1:28" x14ac:dyDescent="0.55000000000000004">
      <c r="A910" t="str">
        <f t="shared" si="142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COUNTIF(deals_closed!$D$2:$D$20001,Calculations!B991)</f>
        <v>22</v>
      </c>
      <c r="H910" s="7">
        <f>SUMIF(deals_closed!$D:$D,Calculations!B991,deals_closed!$C:$C)</f>
        <v>838502</v>
      </c>
      <c r="I910" s="5">
        <f>VLOOKUP(E910,'2018_commission_structure'!$A$1:$I$4,9,FALSE)</f>
        <v>600000</v>
      </c>
      <c r="J910" s="9">
        <f t="shared" si="143"/>
        <v>750000</v>
      </c>
      <c r="K910" s="10">
        <f t="shared" si="144"/>
        <v>900000</v>
      </c>
      <c r="L910" s="9">
        <f t="shared" si="145"/>
        <v>1200000</v>
      </c>
      <c r="M910" s="8">
        <f t="shared" si="146"/>
        <v>1.3975033333333333</v>
      </c>
      <c r="N910" t="str">
        <f t="shared" si="147"/>
        <v>125-150%</v>
      </c>
      <c r="O910" s="9">
        <f>MIN($H910,$I910)*INDEX('2018_commission_structure'!$A$1:$I$4,MATCH($E910,'2018_commission_structure'!$A$1:$A$4,0),MATCH(O$1,'2018_commission_structure'!$A$1:$I$1,0))</f>
        <v>78000</v>
      </c>
      <c r="P910" s="9">
        <f>IF(H910&gt;I910, MIN(H910-I910, J910-I910)*INDEX('2018_commission_structure'!$A$1:$I$4,MATCH($E910,'2018_commission_structure'!$A$1:$A$4,0),MATCH(P$1,'2018_commission_structure'!$A$1:$I$1,0)),0)</f>
        <v>25500.000000000004</v>
      </c>
      <c r="Q910" s="9">
        <f>IF($H910&gt;J910, MIN($H910-J910, K910-J910)*INDEX('2018_commission_structure'!$A$1:$I$4,MATCH($E910,'2018_commission_structure'!$A$1:$A$4,0),MATCH(Q$1,'2018_commission_structure'!$A$1:$I$1,0)),0)</f>
        <v>18585.419999999998</v>
      </c>
      <c r="R910" s="9">
        <f>IF($H910&gt;K910, MIN($H910-K910, L910-K910)*INDEX('2018_commission_structure'!$A$1:$I$4,MATCH($E910,'2018_commission_structure'!$A$1:$A$4,0),MATCH(R$1,'2018_commission_structure'!$A$1:$I$1,0)),0)</f>
        <v>0</v>
      </c>
      <c r="S910" s="9">
        <f>IF(H910&gt;L910,(H910-L910)*INDEX('2018_commission_structure'!$A$1:$I$4,MATCH($E910,'2018_commission_structure'!$A$1:$A$4,0),MATCH(S$1,'2018_commission_structure'!$A$1:$I$1,0)),0)</f>
        <v>0</v>
      </c>
      <c r="T910" s="9">
        <f t="shared" si="148"/>
        <v>122085.42</v>
      </c>
      <c r="U910" s="9">
        <f t="shared" si="140"/>
        <v>197701.41999999998</v>
      </c>
      <c r="V910" s="9">
        <f>MIN($I910,$H910)*INDEX('Key Metrics'!$E$16:$N$19,MATCH($E910,'Key Metrics'!$E$16:$E$19,0),MATCH(V$1,'Key Metrics'!$E$16:$M$16,0))</f>
        <v>90000</v>
      </c>
      <c r="W910" s="9">
        <f>IF($H910&gt;I910, MIN($H910-I910, J910-I910)*INDEX('Key Metrics'!$E$16:$N$19,MATCH($E910,'Key Metrics'!$E$16:$E$19,0),MATCH(W$1,'Key Metrics'!$E$16:$M$16,0)),0)</f>
        <v>27000</v>
      </c>
      <c r="X910" s="9">
        <f>IF($H910&gt;J910, MIN($H910-J910, K910-J910)*INDEX('Key Metrics'!$E$16:$N$19,MATCH($E910,'Key Metrics'!$E$16:$E$19,0),MATCH(X$1,'Key Metrics'!$E$16:$M$16,0)),0)</f>
        <v>22125.5</v>
      </c>
      <c r="Y910" s="9">
        <f>IF($H910&gt;K910, MIN($H910-K910, L910-K910)*INDEX('Key Metrics'!$E$16:$N$19,MATCH($E910,'Key Metrics'!$E$16:$E$19,0),MATCH(Y$1,'Key Metrics'!$E$16:$M$16,0)),0)</f>
        <v>0</v>
      </c>
      <c r="Z910" s="9">
        <f>IF($H910&gt;L910,($H910-L910)*INDEX('Key Metrics'!$E$16:$N$19,MATCH($E910,'Key Metrics'!$E$16:$E$19,0),MATCH(Z$1,'Key Metrics'!$E$16:$M$16,0)),0)</f>
        <v>0</v>
      </c>
      <c r="AA910" s="9">
        <f t="shared" si="149"/>
        <v>139125.5</v>
      </c>
      <c r="AB910" s="9">
        <f t="shared" si="141"/>
        <v>139126.89750333334</v>
      </c>
    </row>
    <row r="911" spans="1:28" x14ac:dyDescent="0.55000000000000004">
      <c r="A911" t="str">
        <f t="shared" si="142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COUNTIF(deals_closed!$D$2:$D$20001,Calculations!B933)</f>
        <v>17</v>
      </c>
      <c r="H911" s="7">
        <f>SUMIF(deals_closed!$D:$D,Calculations!B933,deals_closed!$C:$C)</f>
        <v>522770</v>
      </c>
      <c r="I911" s="5">
        <f>VLOOKUP(E911,'2018_commission_structure'!$A$1:$I$4,9,FALSE)</f>
        <v>600000</v>
      </c>
      <c r="J911" s="9">
        <f t="shared" si="143"/>
        <v>750000</v>
      </c>
      <c r="K911" s="10">
        <f t="shared" si="144"/>
        <v>900000</v>
      </c>
      <c r="L911" s="9">
        <f t="shared" si="145"/>
        <v>1200000</v>
      </c>
      <c r="M911" s="8">
        <f t="shared" si="146"/>
        <v>0.8712833333333333</v>
      </c>
      <c r="N911" t="str">
        <f t="shared" si="147"/>
        <v>0-100%</v>
      </c>
      <c r="O911" s="9">
        <f>MIN($H911,$I911)*INDEX('2018_commission_structure'!$A$1:$I$4,MATCH($E911,'2018_commission_structure'!$A$1:$A$4,0),MATCH(O$1,'2018_commission_structure'!$A$1:$I$1,0))</f>
        <v>67960.100000000006</v>
      </c>
      <c r="P911" s="9">
        <f>IF(H911&gt;I911, MIN(H911-I911, J911-I911)*INDEX('2018_commission_structure'!$A$1:$I$4,MATCH($E911,'2018_commission_structure'!$A$1:$A$4,0),MATCH(P$1,'2018_commission_structure'!$A$1:$I$1,0)),0)</f>
        <v>0</v>
      </c>
      <c r="Q911" s="9">
        <f>IF($H911&gt;J911, MIN($H911-J911, K911-J911)*INDEX('2018_commission_structure'!$A$1:$I$4,MATCH($E911,'2018_commission_structure'!$A$1:$A$4,0),MATCH(Q$1,'2018_commission_structure'!$A$1:$I$1,0)),0)</f>
        <v>0</v>
      </c>
      <c r="R911" s="9">
        <f>IF($H911&gt;K911, MIN($H911-K911, L911-K911)*INDEX('2018_commission_structure'!$A$1:$I$4,MATCH($E911,'2018_commission_structure'!$A$1:$A$4,0),MATCH(R$1,'2018_commission_structure'!$A$1:$I$1,0)),0)</f>
        <v>0</v>
      </c>
      <c r="S911" s="9">
        <f>IF(H911&gt;L911,(H911-L911)*INDEX('2018_commission_structure'!$A$1:$I$4,MATCH($E911,'2018_commission_structure'!$A$1:$A$4,0),MATCH(S$1,'2018_commission_structure'!$A$1:$I$1,0)),0)</f>
        <v>0</v>
      </c>
      <c r="T911" s="9">
        <f t="shared" si="148"/>
        <v>67960.100000000006</v>
      </c>
      <c r="U911" s="9">
        <f t="shared" si="140"/>
        <v>122451.1</v>
      </c>
      <c r="V911" s="9">
        <f>MIN($I911,$H911)*INDEX('Key Metrics'!$E$16:$N$19,MATCH($E911,'Key Metrics'!$E$16:$E$19,0),MATCH(V$1,'Key Metrics'!$E$16:$M$16,0))</f>
        <v>78415.5</v>
      </c>
      <c r="W911" s="9">
        <f>IF($H911&gt;I911, MIN($H911-I911, J911-I911)*INDEX('Key Metrics'!$E$16:$N$19,MATCH($E911,'Key Metrics'!$E$16:$E$19,0),MATCH(W$1,'Key Metrics'!$E$16:$M$16,0)),0)</f>
        <v>0</v>
      </c>
      <c r="X911" s="9">
        <f>IF($H911&gt;J911, MIN($H911-J911, K911-J911)*INDEX('Key Metrics'!$E$16:$N$19,MATCH($E911,'Key Metrics'!$E$16:$E$19,0),MATCH(X$1,'Key Metrics'!$E$16:$M$16,0)),0)</f>
        <v>0</v>
      </c>
      <c r="Y911" s="9">
        <f>IF($H911&gt;K911, MIN($H911-K911, L911-K911)*INDEX('Key Metrics'!$E$16:$N$19,MATCH($E911,'Key Metrics'!$E$16:$E$19,0),MATCH(Y$1,'Key Metrics'!$E$16:$M$16,0)),0)</f>
        <v>0</v>
      </c>
      <c r="Z911" s="9">
        <f>IF($H911&gt;L911,($H911-L911)*INDEX('Key Metrics'!$E$16:$N$19,MATCH($E911,'Key Metrics'!$E$16:$E$19,0),MATCH(Z$1,'Key Metrics'!$E$16:$M$16,0)),0)</f>
        <v>0</v>
      </c>
      <c r="AA911" s="9">
        <f t="shared" si="149"/>
        <v>78415.5</v>
      </c>
      <c r="AB911" s="9">
        <f t="shared" si="141"/>
        <v>78416.371283333327</v>
      </c>
    </row>
    <row r="912" spans="1:28" x14ac:dyDescent="0.55000000000000004">
      <c r="A912" t="str">
        <f t="shared" si="142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COUNTIF(deals_closed!$D$2:$D$20001,Calculations!B830)</f>
        <v>25</v>
      </c>
      <c r="H912" s="7">
        <f>SUMIF(deals_closed!$D:$D,Calculations!B830,deals_closed!$C:$C)</f>
        <v>895664</v>
      </c>
      <c r="I912" s="5">
        <f>VLOOKUP(E912,'2018_commission_structure'!$A$1:$I$4,9,FALSE)</f>
        <v>600000</v>
      </c>
      <c r="J912" s="9">
        <f t="shared" si="143"/>
        <v>750000</v>
      </c>
      <c r="K912" s="10">
        <f t="shared" si="144"/>
        <v>900000</v>
      </c>
      <c r="L912" s="9">
        <f t="shared" si="145"/>
        <v>1200000</v>
      </c>
      <c r="M912" s="8">
        <f t="shared" si="146"/>
        <v>1.4927733333333333</v>
      </c>
      <c r="N912" t="str">
        <f t="shared" si="147"/>
        <v>125-150%</v>
      </c>
      <c r="O912" s="9">
        <f>MIN($H912,$I912)*INDEX('2018_commission_structure'!$A$1:$I$4,MATCH($E912,'2018_commission_structure'!$A$1:$A$4,0),MATCH(O$1,'2018_commission_structure'!$A$1:$I$1,0))</f>
        <v>78000</v>
      </c>
      <c r="P912" s="9">
        <f>IF(H912&gt;I912, MIN(H912-I912, J912-I912)*INDEX('2018_commission_structure'!$A$1:$I$4,MATCH($E912,'2018_commission_structure'!$A$1:$A$4,0),MATCH(P$1,'2018_commission_structure'!$A$1:$I$1,0)),0)</f>
        <v>25500.000000000004</v>
      </c>
      <c r="Q912" s="9">
        <f>IF($H912&gt;J912, MIN($H912-J912, K912-J912)*INDEX('2018_commission_structure'!$A$1:$I$4,MATCH($E912,'2018_commission_structure'!$A$1:$A$4,0),MATCH(Q$1,'2018_commission_structure'!$A$1:$I$1,0)),0)</f>
        <v>30589.439999999999</v>
      </c>
      <c r="R912" s="9">
        <f>IF($H912&gt;K912, MIN($H912-K912, L912-K912)*INDEX('2018_commission_structure'!$A$1:$I$4,MATCH($E912,'2018_commission_structure'!$A$1:$A$4,0),MATCH(R$1,'2018_commission_structure'!$A$1:$I$1,0)),0)</f>
        <v>0</v>
      </c>
      <c r="S912" s="9">
        <f>IF(H912&gt;L912,(H912-L912)*INDEX('2018_commission_structure'!$A$1:$I$4,MATCH($E912,'2018_commission_structure'!$A$1:$A$4,0),MATCH(S$1,'2018_commission_structure'!$A$1:$I$1,0)),0)</f>
        <v>0</v>
      </c>
      <c r="T912" s="9">
        <f t="shared" si="148"/>
        <v>134089.44</v>
      </c>
      <c r="U912" s="9">
        <f t="shared" si="140"/>
        <v>194322.44</v>
      </c>
      <c r="V912" s="9">
        <f>MIN($I912,$H912)*INDEX('Key Metrics'!$E$16:$N$19,MATCH($E912,'Key Metrics'!$E$16:$E$19,0),MATCH(V$1,'Key Metrics'!$E$16:$M$16,0))</f>
        <v>90000</v>
      </c>
      <c r="W912" s="9">
        <f>IF($H912&gt;I912, MIN($H912-I912, J912-I912)*INDEX('Key Metrics'!$E$16:$N$19,MATCH($E912,'Key Metrics'!$E$16:$E$19,0),MATCH(W$1,'Key Metrics'!$E$16:$M$16,0)),0)</f>
        <v>27000</v>
      </c>
      <c r="X912" s="9">
        <f>IF($H912&gt;J912, MIN($H912-J912, K912-J912)*INDEX('Key Metrics'!$E$16:$N$19,MATCH($E912,'Key Metrics'!$E$16:$E$19,0),MATCH(X$1,'Key Metrics'!$E$16:$M$16,0)),0)</f>
        <v>36416</v>
      </c>
      <c r="Y912" s="9">
        <f>IF($H912&gt;K912, MIN($H912-K912, L912-K912)*INDEX('Key Metrics'!$E$16:$N$19,MATCH($E912,'Key Metrics'!$E$16:$E$19,0),MATCH(Y$1,'Key Metrics'!$E$16:$M$16,0)),0)</f>
        <v>0</v>
      </c>
      <c r="Z912" s="9">
        <f>IF($H912&gt;L912,($H912-L912)*INDEX('Key Metrics'!$E$16:$N$19,MATCH($E912,'Key Metrics'!$E$16:$E$19,0),MATCH(Z$1,'Key Metrics'!$E$16:$M$16,0)),0)</f>
        <v>0</v>
      </c>
      <c r="AA912" s="9">
        <f t="shared" si="149"/>
        <v>153416</v>
      </c>
      <c r="AB912" s="9">
        <f t="shared" si="141"/>
        <v>153417.49277333333</v>
      </c>
    </row>
    <row r="913" spans="1:28" x14ac:dyDescent="0.55000000000000004">
      <c r="A913" t="str">
        <f t="shared" si="142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COUNTIF(deals_closed!$D$2:$D$20001,Calculations!B30)</f>
        <v>17</v>
      </c>
      <c r="H913" s="7">
        <f>SUMIF(deals_closed!$D:$D,Calculations!B30,deals_closed!$C:$C)</f>
        <v>714914</v>
      </c>
      <c r="I913" s="5">
        <f>VLOOKUP(E913,'2018_commission_structure'!$A$1:$I$4,9,FALSE)</f>
        <v>750000</v>
      </c>
      <c r="J913" s="9">
        <f t="shared" si="143"/>
        <v>937500</v>
      </c>
      <c r="K913" s="10">
        <f t="shared" si="144"/>
        <v>1125000</v>
      </c>
      <c r="L913" s="9">
        <f t="shared" si="145"/>
        <v>1500000</v>
      </c>
      <c r="M913" s="8">
        <f t="shared" si="146"/>
        <v>0.95321866666666666</v>
      </c>
      <c r="N913" t="str">
        <f t="shared" si="147"/>
        <v>0-100%</v>
      </c>
      <c r="O913" s="9">
        <f>MIN($H913,$I913)*INDEX('2018_commission_structure'!$A$1:$I$4,MATCH($E913,'2018_commission_structure'!$A$1:$A$4,0),MATCH(O$1,'2018_commission_structure'!$A$1:$I$1,0))</f>
        <v>107237.09999999999</v>
      </c>
      <c r="P913" s="9">
        <f>IF(H913&gt;I913, MIN(H913-I913, J913-I913)*INDEX('2018_commission_structure'!$A$1:$I$4,MATCH($E913,'2018_commission_structure'!$A$1:$A$4,0),MATCH(P$1,'2018_commission_structure'!$A$1:$I$1,0)),0)</f>
        <v>0</v>
      </c>
      <c r="Q913" s="9">
        <f>IF($H913&gt;J913, MIN($H913-J913, K913-J913)*INDEX('2018_commission_structure'!$A$1:$I$4,MATCH($E913,'2018_commission_structure'!$A$1:$A$4,0),MATCH(Q$1,'2018_commission_structure'!$A$1:$I$1,0)),0)</f>
        <v>0</v>
      </c>
      <c r="R913" s="9">
        <f>IF($H913&gt;K913, MIN($H913-K913, L913-K913)*INDEX('2018_commission_structure'!$A$1:$I$4,MATCH($E913,'2018_commission_structure'!$A$1:$A$4,0),MATCH(R$1,'2018_commission_structure'!$A$1:$I$1,0)),0)</f>
        <v>0</v>
      </c>
      <c r="S913" s="9">
        <f>IF(H913&gt;L913,(H913-L913)*INDEX('2018_commission_structure'!$A$1:$I$4,MATCH($E913,'2018_commission_structure'!$A$1:$A$4,0),MATCH(S$1,'2018_commission_structure'!$A$1:$I$1,0)),0)</f>
        <v>0</v>
      </c>
      <c r="T913" s="9">
        <f t="shared" si="148"/>
        <v>107237.09999999999</v>
      </c>
      <c r="U913" s="9">
        <f t="shared" si="140"/>
        <v>182916.09999999998</v>
      </c>
      <c r="V913" s="9">
        <f>MIN($I913,$H913)*INDEX('Key Metrics'!$E$16:$N$19,MATCH($E913,'Key Metrics'!$E$16:$E$19,0),MATCH(V$1,'Key Metrics'!$E$16:$M$16,0))</f>
        <v>107237.09999999999</v>
      </c>
      <c r="W913" s="9">
        <f>IF($H913&gt;I913, MIN($H913-I913, J913-I913)*INDEX('Key Metrics'!$E$16:$N$19,MATCH($E913,'Key Metrics'!$E$16:$E$19,0),MATCH(W$1,'Key Metrics'!$E$16:$M$16,0)),0)</f>
        <v>0</v>
      </c>
      <c r="X913" s="9">
        <f>IF($H913&gt;J913, MIN($H913-J913, K913-J913)*INDEX('Key Metrics'!$E$16:$N$19,MATCH($E913,'Key Metrics'!$E$16:$E$19,0),MATCH(X$1,'Key Metrics'!$E$16:$M$16,0)),0)</f>
        <v>0</v>
      </c>
      <c r="Y913" s="9">
        <f>IF($H913&gt;K913, MIN($H913-K913, L913-K913)*INDEX('Key Metrics'!$E$16:$N$19,MATCH($E913,'Key Metrics'!$E$16:$E$19,0),MATCH(Y$1,'Key Metrics'!$E$16:$M$16,0)),0)</f>
        <v>0</v>
      </c>
      <c r="Z913" s="9">
        <f>IF($H913&gt;L913,($H913-L913)*INDEX('Key Metrics'!$E$16:$N$19,MATCH($E913,'Key Metrics'!$E$16:$E$19,0),MATCH(Z$1,'Key Metrics'!$E$16:$M$16,0)),0)</f>
        <v>0</v>
      </c>
      <c r="AA913" s="9">
        <f t="shared" si="149"/>
        <v>107237.09999999999</v>
      </c>
      <c r="AB913" s="9">
        <f t="shared" si="141"/>
        <v>107238.05321866665</v>
      </c>
    </row>
    <row r="914" spans="1:28" x14ac:dyDescent="0.55000000000000004">
      <c r="A914" t="str">
        <f t="shared" si="142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COUNTIF(deals_closed!$D$2:$D$20001,Calculations!B551)</f>
        <v>31</v>
      </c>
      <c r="H914" s="7">
        <f>SUMIF(deals_closed!$D:$D,Calculations!B551,deals_closed!$C:$C)</f>
        <v>1224207</v>
      </c>
      <c r="I914" s="5">
        <f>VLOOKUP(E914,'2018_commission_structure'!$A$1:$I$4,9,FALSE)</f>
        <v>500000</v>
      </c>
      <c r="J914" s="9">
        <f t="shared" si="143"/>
        <v>625000</v>
      </c>
      <c r="K914" s="10">
        <f t="shared" si="144"/>
        <v>750000</v>
      </c>
      <c r="L914" s="9">
        <f t="shared" si="145"/>
        <v>1000000</v>
      </c>
      <c r="M914" s="8">
        <f t="shared" si="146"/>
        <v>2.4484140000000001</v>
      </c>
      <c r="N914" t="str">
        <f t="shared" si="147"/>
        <v>&gt;200%</v>
      </c>
      <c r="O914" s="9">
        <f>MIN($H914,$I914)*INDEX('2018_commission_structure'!$A$1:$I$4,MATCH($E914,'2018_commission_structure'!$A$1:$A$4,0),MATCH(O$1,'2018_commission_structure'!$A$1:$I$1,0))</f>
        <v>50000</v>
      </c>
      <c r="P914" s="9">
        <f>IF(H914&gt;I914, MIN(H914-I914, J914-I914)*INDEX('2018_commission_structure'!$A$1:$I$4,MATCH($E914,'2018_commission_structure'!$A$1:$A$4,0),MATCH(P$1,'2018_commission_structure'!$A$1:$I$1,0)),0)</f>
        <v>18750</v>
      </c>
      <c r="Q914" s="9">
        <f>IF($H914&gt;J914, MIN($H914-J914, K914-J914)*INDEX('2018_commission_structure'!$A$1:$I$4,MATCH($E914,'2018_commission_structure'!$A$1:$A$4,0),MATCH(Q$1,'2018_commission_structure'!$A$1:$I$1,0)),0)</f>
        <v>22500</v>
      </c>
      <c r="R914" s="9">
        <f>IF($H914&gt;K914, MIN($H914-K914, L914-K914)*INDEX('2018_commission_structure'!$A$1:$I$4,MATCH($E914,'2018_commission_structure'!$A$1:$A$4,0),MATCH(R$1,'2018_commission_structure'!$A$1:$I$1,0)),0)</f>
        <v>55000</v>
      </c>
      <c r="S914" s="9">
        <f>IF(H914&gt;L914,(H914-L914)*INDEX('2018_commission_structure'!$A$1:$I$4,MATCH($E914,'2018_commission_structure'!$A$1:$A$4,0),MATCH(S$1,'2018_commission_structure'!$A$1:$I$1,0)),0)</f>
        <v>22420.7</v>
      </c>
      <c r="T914" s="9">
        <f t="shared" si="148"/>
        <v>168670.7</v>
      </c>
      <c r="U914" s="9">
        <f t="shared" si="140"/>
        <v>203361.7</v>
      </c>
      <c r="V914" s="9">
        <f>MIN($I914,$H914)*INDEX('Key Metrics'!$E$16:$N$19,MATCH($E914,'Key Metrics'!$E$16:$E$19,0),MATCH(V$1,'Key Metrics'!$E$16:$M$16,0))</f>
        <v>60000</v>
      </c>
      <c r="W914" s="9">
        <f>IF($H914&gt;I914, MIN($H914-I914, J914-I914)*INDEX('Key Metrics'!$E$16:$N$19,MATCH($E914,'Key Metrics'!$E$16:$E$19,0),MATCH(W$1,'Key Metrics'!$E$16:$M$16,0)),0)</f>
        <v>21250</v>
      </c>
      <c r="X914" s="9">
        <f>IF($H914&gt;J914, MIN($H914-J914, K914-J914)*INDEX('Key Metrics'!$E$16:$N$19,MATCH($E914,'Key Metrics'!$E$16:$E$19,0),MATCH(X$1,'Key Metrics'!$E$16:$M$16,0)),0)</f>
        <v>25000</v>
      </c>
      <c r="Y914" s="9">
        <f>IF($H914&gt;K914, MIN($H914-K914, L914-K914)*INDEX('Key Metrics'!$E$16:$N$19,MATCH($E914,'Key Metrics'!$E$16:$E$19,0),MATCH(Y$1,'Key Metrics'!$E$16:$M$16,0)),0)</f>
        <v>55000</v>
      </c>
      <c r="Z914" s="9">
        <f>IF($H914&gt;L914,($H914-L914)*INDEX('Key Metrics'!$E$16:$N$19,MATCH($E914,'Key Metrics'!$E$16:$E$19,0),MATCH(Z$1,'Key Metrics'!$E$16:$M$16,0)),0)</f>
        <v>22420.7</v>
      </c>
      <c r="AA914" s="9">
        <f t="shared" si="149"/>
        <v>183670.7</v>
      </c>
      <c r="AB914" s="9">
        <f t="shared" si="141"/>
        <v>183673.14841400002</v>
      </c>
    </row>
    <row r="915" spans="1:28" x14ac:dyDescent="0.55000000000000004">
      <c r="A915" t="str">
        <f t="shared" si="142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COUNTIF(deals_closed!$D$2:$D$20001,Calculations!B888)</f>
        <v>28</v>
      </c>
      <c r="H915" s="7">
        <f>SUMIF(deals_closed!$D:$D,Calculations!B888,deals_closed!$C:$C)</f>
        <v>948183</v>
      </c>
      <c r="I915" s="5">
        <f>VLOOKUP(E915,'2018_commission_structure'!$A$1:$I$4,9,FALSE)</f>
        <v>500000</v>
      </c>
      <c r="J915" s="9">
        <f t="shared" si="143"/>
        <v>625000</v>
      </c>
      <c r="K915" s="10">
        <f t="shared" si="144"/>
        <v>750000</v>
      </c>
      <c r="L915" s="9">
        <f t="shared" si="145"/>
        <v>1000000</v>
      </c>
      <c r="M915" s="8">
        <f t="shared" si="146"/>
        <v>1.896366</v>
      </c>
      <c r="N915" t="str">
        <f t="shared" si="147"/>
        <v>150-200%</v>
      </c>
      <c r="O915" s="9">
        <f>MIN($H915,$I915)*INDEX('2018_commission_structure'!$A$1:$I$4,MATCH($E915,'2018_commission_structure'!$A$1:$A$4,0),MATCH(O$1,'2018_commission_structure'!$A$1:$I$1,0))</f>
        <v>50000</v>
      </c>
      <c r="P915" s="9">
        <f>IF(H915&gt;I915, MIN(H915-I915, J915-I915)*INDEX('2018_commission_structure'!$A$1:$I$4,MATCH($E915,'2018_commission_structure'!$A$1:$A$4,0),MATCH(P$1,'2018_commission_structure'!$A$1:$I$1,0)),0)</f>
        <v>18750</v>
      </c>
      <c r="Q915" s="9">
        <f>IF($H915&gt;J915, MIN($H915-J915, K915-J915)*INDEX('2018_commission_structure'!$A$1:$I$4,MATCH($E915,'2018_commission_structure'!$A$1:$A$4,0),MATCH(Q$1,'2018_commission_structure'!$A$1:$I$1,0)),0)</f>
        <v>22500</v>
      </c>
      <c r="R915" s="9">
        <f>IF($H915&gt;K915, MIN($H915-K915, L915-K915)*INDEX('2018_commission_structure'!$A$1:$I$4,MATCH($E915,'2018_commission_structure'!$A$1:$A$4,0),MATCH(R$1,'2018_commission_structure'!$A$1:$I$1,0)),0)</f>
        <v>43600.26</v>
      </c>
      <c r="S915" s="9">
        <f>IF(H915&gt;L915,(H915-L915)*INDEX('2018_commission_structure'!$A$1:$I$4,MATCH($E915,'2018_commission_structure'!$A$1:$A$4,0),MATCH(S$1,'2018_commission_structure'!$A$1:$I$1,0)),0)</f>
        <v>0</v>
      </c>
      <c r="T915" s="9">
        <f t="shared" si="148"/>
        <v>134850.26</v>
      </c>
      <c r="U915" s="9">
        <f t="shared" si="140"/>
        <v>173678.26</v>
      </c>
      <c r="V915" s="9">
        <f>MIN($I915,$H915)*INDEX('Key Metrics'!$E$16:$N$19,MATCH($E915,'Key Metrics'!$E$16:$E$19,0),MATCH(V$1,'Key Metrics'!$E$16:$M$16,0))</f>
        <v>60000</v>
      </c>
      <c r="W915" s="9">
        <f>IF($H915&gt;I915, MIN($H915-I915, J915-I915)*INDEX('Key Metrics'!$E$16:$N$19,MATCH($E915,'Key Metrics'!$E$16:$E$19,0),MATCH(W$1,'Key Metrics'!$E$16:$M$16,0)),0)</f>
        <v>21250</v>
      </c>
      <c r="X915" s="9">
        <f>IF($H915&gt;J915, MIN($H915-J915, K915-J915)*INDEX('Key Metrics'!$E$16:$N$19,MATCH($E915,'Key Metrics'!$E$16:$E$19,0),MATCH(X$1,'Key Metrics'!$E$16:$M$16,0)),0)</f>
        <v>25000</v>
      </c>
      <c r="Y915" s="9">
        <f>IF($H915&gt;K915, MIN($H915-K915, L915-K915)*INDEX('Key Metrics'!$E$16:$N$19,MATCH($E915,'Key Metrics'!$E$16:$E$19,0),MATCH(Y$1,'Key Metrics'!$E$16:$M$16,0)),0)</f>
        <v>43600.26</v>
      </c>
      <c r="Z915" s="9">
        <f>IF($H915&gt;L915,($H915-L915)*INDEX('Key Metrics'!$E$16:$N$19,MATCH($E915,'Key Metrics'!$E$16:$E$19,0),MATCH(Z$1,'Key Metrics'!$E$16:$M$16,0)),0)</f>
        <v>0</v>
      </c>
      <c r="AA915" s="9">
        <f t="shared" si="149"/>
        <v>149850.26</v>
      </c>
      <c r="AB915" s="9">
        <f t="shared" si="141"/>
        <v>149852.15636600001</v>
      </c>
    </row>
    <row r="916" spans="1:28" x14ac:dyDescent="0.55000000000000004">
      <c r="A916" t="str">
        <f t="shared" si="142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COUNTIF(deals_closed!$D$2:$D$20001,Calculations!B578)</f>
        <v>16</v>
      </c>
      <c r="H916" s="7">
        <f>SUMIF(deals_closed!$D:$D,Calculations!B578,deals_closed!$C:$C)</f>
        <v>457979</v>
      </c>
      <c r="I916" s="5">
        <f>VLOOKUP(E916,'2018_commission_structure'!$A$1:$I$4,9,FALSE)</f>
        <v>750000</v>
      </c>
      <c r="J916" s="9">
        <f t="shared" si="143"/>
        <v>937500</v>
      </c>
      <c r="K916" s="10">
        <f t="shared" si="144"/>
        <v>1125000</v>
      </c>
      <c r="L916" s="9">
        <f t="shared" si="145"/>
        <v>1500000</v>
      </c>
      <c r="M916" s="8">
        <f t="shared" si="146"/>
        <v>0.61063866666666666</v>
      </c>
      <c r="N916" t="str">
        <f t="shared" si="147"/>
        <v>0-100%</v>
      </c>
      <c r="O916" s="9">
        <f>MIN($H916,$I916)*INDEX('2018_commission_structure'!$A$1:$I$4,MATCH($E916,'2018_commission_structure'!$A$1:$A$4,0),MATCH(O$1,'2018_commission_structure'!$A$1:$I$1,0))</f>
        <v>68696.849999999991</v>
      </c>
      <c r="P916" s="9">
        <f>IF(H916&gt;I916, MIN(H916-I916, J916-I916)*INDEX('2018_commission_structure'!$A$1:$I$4,MATCH($E916,'2018_commission_structure'!$A$1:$A$4,0),MATCH(P$1,'2018_commission_structure'!$A$1:$I$1,0)),0)</f>
        <v>0</v>
      </c>
      <c r="Q916" s="9">
        <f>IF($H916&gt;J916, MIN($H916-J916, K916-J916)*INDEX('2018_commission_structure'!$A$1:$I$4,MATCH($E916,'2018_commission_structure'!$A$1:$A$4,0),MATCH(Q$1,'2018_commission_structure'!$A$1:$I$1,0)),0)</f>
        <v>0</v>
      </c>
      <c r="R916" s="9">
        <f>IF($H916&gt;K916, MIN($H916-K916, L916-K916)*INDEX('2018_commission_structure'!$A$1:$I$4,MATCH($E916,'2018_commission_structure'!$A$1:$A$4,0),MATCH(R$1,'2018_commission_structure'!$A$1:$I$1,0)),0)</f>
        <v>0</v>
      </c>
      <c r="S916" s="9">
        <f>IF(H916&gt;L916,(H916-L916)*INDEX('2018_commission_structure'!$A$1:$I$4,MATCH($E916,'2018_commission_structure'!$A$1:$A$4,0),MATCH(S$1,'2018_commission_structure'!$A$1:$I$1,0)),0)</f>
        <v>0</v>
      </c>
      <c r="T916" s="9">
        <f t="shared" si="148"/>
        <v>68696.849999999991</v>
      </c>
      <c r="U916" s="9">
        <f t="shared" si="140"/>
        <v>149287.84999999998</v>
      </c>
      <c r="V916" s="9">
        <f>MIN($I916,$H916)*INDEX('Key Metrics'!$E$16:$N$19,MATCH($E916,'Key Metrics'!$E$16:$E$19,0),MATCH(V$1,'Key Metrics'!$E$16:$M$16,0))</f>
        <v>68696.849999999991</v>
      </c>
      <c r="W916" s="9">
        <f>IF($H916&gt;I916, MIN($H916-I916, J916-I916)*INDEX('Key Metrics'!$E$16:$N$19,MATCH($E916,'Key Metrics'!$E$16:$E$19,0),MATCH(W$1,'Key Metrics'!$E$16:$M$16,0)),0)</f>
        <v>0</v>
      </c>
      <c r="X916" s="9">
        <f>IF($H916&gt;J916, MIN($H916-J916, K916-J916)*INDEX('Key Metrics'!$E$16:$N$19,MATCH($E916,'Key Metrics'!$E$16:$E$19,0),MATCH(X$1,'Key Metrics'!$E$16:$M$16,0)),0)</f>
        <v>0</v>
      </c>
      <c r="Y916" s="9">
        <f>IF($H916&gt;K916, MIN($H916-K916, L916-K916)*INDEX('Key Metrics'!$E$16:$N$19,MATCH($E916,'Key Metrics'!$E$16:$E$19,0),MATCH(Y$1,'Key Metrics'!$E$16:$M$16,0)),0)</f>
        <v>0</v>
      </c>
      <c r="Z916" s="9">
        <f>IF($H916&gt;L916,($H916-L916)*INDEX('Key Metrics'!$E$16:$N$19,MATCH($E916,'Key Metrics'!$E$16:$E$19,0),MATCH(Z$1,'Key Metrics'!$E$16:$M$16,0)),0)</f>
        <v>0</v>
      </c>
      <c r="AA916" s="9">
        <f t="shared" si="149"/>
        <v>68696.849999999991</v>
      </c>
      <c r="AB916" s="9">
        <f t="shared" si="141"/>
        <v>68697.460638666656</v>
      </c>
    </row>
    <row r="917" spans="1:28" x14ac:dyDescent="0.55000000000000004">
      <c r="A917" t="str">
        <f t="shared" si="142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COUNTIF(deals_closed!$D$2:$D$20001,Calculations!B153)</f>
        <v>14</v>
      </c>
      <c r="H917" s="7">
        <f>SUMIF(deals_closed!$D:$D,Calculations!B153,deals_closed!$C:$C)</f>
        <v>503861</v>
      </c>
      <c r="I917" s="5">
        <f>VLOOKUP(E917,'2018_commission_structure'!$A$1:$I$4,9,FALSE)</f>
        <v>750000</v>
      </c>
      <c r="J917" s="9">
        <f t="shared" si="143"/>
        <v>937500</v>
      </c>
      <c r="K917" s="10">
        <f t="shared" si="144"/>
        <v>1125000</v>
      </c>
      <c r="L917" s="9">
        <f t="shared" si="145"/>
        <v>1500000</v>
      </c>
      <c r="M917" s="8">
        <f t="shared" si="146"/>
        <v>0.67181466666666667</v>
      </c>
      <c r="N917" t="str">
        <f t="shared" si="147"/>
        <v>0-100%</v>
      </c>
      <c r="O917" s="9">
        <f>MIN($H917,$I917)*INDEX('2018_commission_structure'!$A$1:$I$4,MATCH($E917,'2018_commission_structure'!$A$1:$A$4,0),MATCH(O$1,'2018_commission_structure'!$A$1:$I$1,0))</f>
        <v>75579.149999999994</v>
      </c>
      <c r="P917" s="9">
        <f>IF(H917&gt;I917, MIN(H917-I917, J917-I917)*INDEX('2018_commission_structure'!$A$1:$I$4,MATCH($E917,'2018_commission_structure'!$A$1:$A$4,0),MATCH(P$1,'2018_commission_structure'!$A$1:$I$1,0)),0)</f>
        <v>0</v>
      </c>
      <c r="Q917" s="9">
        <f>IF($H917&gt;J917, MIN($H917-J917, K917-J917)*INDEX('2018_commission_structure'!$A$1:$I$4,MATCH($E917,'2018_commission_structure'!$A$1:$A$4,0),MATCH(Q$1,'2018_commission_structure'!$A$1:$I$1,0)),0)</f>
        <v>0</v>
      </c>
      <c r="R917" s="9">
        <f>IF($H917&gt;K917, MIN($H917-K917, L917-K917)*INDEX('2018_commission_structure'!$A$1:$I$4,MATCH($E917,'2018_commission_structure'!$A$1:$A$4,0),MATCH(R$1,'2018_commission_structure'!$A$1:$I$1,0)),0)</f>
        <v>0</v>
      </c>
      <c r="S917" s="9">
        <f>IF(H917&gt;L917,(H917-L917)*INDEX('2018_commission_structure'!$A$1:$I$4,MATCH($E917,'2018_commission_structure'!$A$1:$A$4,0),MATCH(S$1,'2018_commission_structure'!$A$1:$I$1,0)),0)</f>
        <v>0</v>
      </c>
      <c r="T917" s="9">
        <f t="shared" si="148"/>
        <v>75579.149999999994</v>
      </c>
      <c r="U917" s="9">
        <f t="shared" si="140"/>
        <v>187431.15</v>
      </c>
      <c r="V917" s="9">
        <f>MIN($I917,$H917)*INDEX('Key Metrics'!$E$16:$N$19,MATCH($E917,'Key Metrics'!$E$16:$E$19,0),MATCH(V$1,'Key Metrics'!$E$16:$M$16,0))</f>
        <v>75579.149999999994</v>
      </c>
      <c r="W917" s="9">
        <f>IF($H917&gt;I917, MIN($H917-I917, J917-I917)*INDEX('Key Metrics'!$E$16:$N$19,MATCH($E917,'Key Metrics'!$E$16:$E$19,0),MATCH(W$1,'Key Metrics'!$E$16:$M$16,0)),0)</f>
        <v>0</v>
      </c>
      <c r="X917" s="9">
        <f>IF($H917&gt;J917, MIN($H917-J917, K917-J917)*INDEX('Key Metrics'!$E$16:$N$19,MATCH($E917,'Key Metrics'!$E$16:$E$19,0),MATCH(X$1,'Key Metrics'!$E$16:$M$16,0)),0)</f>
        <v>0</v>
      </c>
      <c r="Y917" s="9">
        <f>IF($H917&gt;K917, MIN($H917-K917, L917-K917)*INDEX('Key Metrics'!$E$16:$N$19,MATCH($E917,'Key Metrics'!$E$16:$E$19,0),MATCH(Y$1,'Key Metrics'!$E$16:$M$16,0)),0)</f>
        <v>0</v>
      </c>
      <c r="Z917" s="9">
        <f>IF($H917&gt;L917,($H917-L917)*INDEX('Key Metrics'!$E$16:$N$19,MATCH($E917,'Key Metrics'!$E$16:$E$19,0),MATCH(Z$1,'Key Metrics'!$E$16:$M$16,0)),0)</f>
        <v>0</v>
      </c>
      <c r="AA917" s="9">
        <f t="shared" si="149"/>
        <v>75579.149999999994</v>
      </c>
      <c r="AB917" s="9">
        <f t="shared" si="141"/>
        <v>75579.821814666662</v>
      </c>
    </row>
    <row r="918" spans="1:28" x14ac:dyDescent="0.55000000000000004">
      <c r="A918" t="str">
        <f t="shared" si="142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COUNTIF(deals_closed!$D$2:$D$20001,Calculations!B213)</f>
        <v>19</v>
      </c>
      <c r="H918" s="7">
        <f>SUMIF(deals_closed!$D:$D,Calculations!B213,deals_closed!$C:$C)</f>
        <v>638646</v>
      </c>
      <c r="I918" s="5">
        <f>VLOOKUP(E918,'2018_commission_structure'!$A$1:$I$4,9,FALSE)</f>
        <v>750000</v>
      </c>
      <c r="J918" s="9">
        <f t="shared" si="143"/>
        <v>937500</v>
      </c>
      <c r="K918" s="10">
        <f t="shared" si="144"/>
        <v>1125000</v>
      </c>
      <c r="L918" s="9">
        <f t="shared" si="145"/>
        <v>1500000</v>
      </c>
      <c r="M918" s="8">
        <f t="shared" si="146"/>
        <v>0.85152799999999995</v>
      </c>
      <c r="N918" t="str">
        <f t="shared" si="147"/>
        <v>0-100%</v>
      </c>
      <c r="O918" s="9">
        <f>MIN($H918,$I918)*INDEX('2018_commission_structure'!$A$1:$I$4,MATCH($E918,'2018_commission_structure'!$A$1:$A$4,0),MATCH(O$1,'2018_commission_structure'!$A$1:$I$1,0))</f>
        <v>95796.9</v>
      </c>
      <c r="P918" s="9">
        <f>IF(H918&gt;I918, MIN(H918-I918, J918-I918)*INDEX('2018_commission_structure'!$A$1:$I$4,MATCH($E918,'2018_commission_structure'!$A$1:$A$4,0),MATCH(P$1,'2018_commission_structure'!$A$1:$I$1,0)),0)</f>
        <v>0</v>
      </c>
      <c r="Q918" s="9">
        <f>IF($H918&gt;J918, MIN($H918-J918, K918-J918)*INDEX('2018_commission_structure'!$A$1:$I$4,MATCH($E918,'2018_commission_structure'!$A$1:$A$4,0),MATCH(Q$1,'2018_commission_structure'!$A$1:$I$1,0)),0)</f>
        <v>0</v>
      </c>
      <c r="R918" s="9">
        <f>IF($H918&gt;K918, MIN($H918-K918, L918-K918)*INDEX('2018_commission_structure'!$A$1:$I$4,MATCH($E918,'2018_commission_structure'!$A$1:$A$4,0),MATCH(R$1,'2018_commission_structure'!$A$1:$I$1,0)),0)</f>
        <v>0</v>
      </c>
      <c r="S918" s="9">
        <f>IF(H918&gt;L918,(H918-L918)*INDEX('2018_commission_structure'!$A$1:$I$4,MATCH($E918,'2018_commission_structure'!$A$1:$A$4,0),MATCH(S$1,'2018_commission_structure'!$A$1:$I$1,0)),0)</f>
        <v>0</v>
      </c>
      <c r="T918" s="9">
        <f t="shared" si="148"/>
        <v>95796.9</v>
      </c>
      <c r="U918" s="9">
        <f t="shared" si="140"/>
        <v>179847.9</v>
      </c>
      <c r="V918" s="9">
        <f>MIN($I918,$H918)*INDEX('Key Metrics'!$E$16:$N$19,MATCH($E918,'Key Metrics'!$E$16:$E$19,0),MATCH(V$1,'Key Metrics'!$E$16:$M$16,0))</f>
        <v>95796.9</v>
      </c>
      <c r="W918" s="9">
        <f>IF($H918&gt;I918, MIN($H918-I918, J918-I918)*INDEX('Key Metrics'!$E$16:$N$19,MATCH($E918,'Key Metrics'!$E$16:$E$19,0),MATCH(W$1,'Key Metrics'!$E$16:$M$16,0)),0)</f>
        <v>0</v>
      </c>
      <c r="X918" s="9">
        <f>IF($H918&gt;J918, MIN($H918-J918, K918-J918)*INDEX('Key Metrics'!$E$16:$N$19,MATCH($E918,'Key Metrics'!$E$16:$E$19,0),MATCH(X$1,'Key Metrics'!$E$16:$M$16,0)),0)</f>
        <v>0</v>
      </c>
      <c r="Y918" s="9">
        <f>IF($H918&gt;K918, MIN($H918-K918, L918-K918)*INDEX('Key Metrics'!$E$16:$N$19,MATCH($E918,'Key Metrics'!$E$16:$E$19,0),MATCH(Y$1,'Key Metrics'!$E$16:$M$16,0)),0)</f>
        <v>0</v>
      </c>
      <c r="Z918" s="9">
        <f>IF($H918&gt;L918,($H918-L918)*INDEX('Key Metrics'!$E$16:$N$19,MATCH($E918,'Key Metrics'!$E$16:$E$19,0),MATCH(Z$1,'Key Metrics'!$E$16:$M$16,0)),0)</f>
        <v>0</v>
      </c>
      <c r="AA918" s="9">
        <f t="shared" si="149"/>
        <v>95796.9</v>
      </c>
      <c r="AB918" s="9">
        <f t="shared" si="141"/>
        <v>95797.751527999993</v>
      </c>
    </row>
    <row r="919" spans="1:28" x14ac:dyDescent="0.55000000000000004">
      <c r="A919" t="str">
        <f t="shared" si="142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COUNTIF(deals_closed!$D$2:$D$20001,Calculations!B191)</f>
        <v>27</v>
      </c>
      <c r="H919" s="7">
        <f>SUMIF(deals_closed!$D:$D,Calculations!B191,deals_closed!$C:$C)</f>
        <v>885458</v>
      </c>
      <c r="I919" s="5">
        <f>VLOOKUP(E919,'2018_commission_structure'!$A$1:$I$4,9,FALSE)</f>
        <v>750000</v>
      </c>
      <c r="J919" s="9">
        <f t="shared" si="143"/>
        <v>937500</v>
      </c>
      <c r="K919" s="10">
        <f t="shared" si="144"/>
        <v>1125000</v>
      </c>
      <c r="L919" s="9">
        <f t="shared" si="145"/>
        <v>1500000</v>
      </c>
      <c r="M919" s="8">
        <f t="shared" si="146"/>
        <v>1.1806106666666667</v>
      </c>
      <c r="N919" t="str">
        <f t="shared" si="147"/>
        <v>100-125%</v>
      </c>
      <c r="O919" s="9">
        <f>MIN($H919,$I919)*INDEX('2018_commission_structure'!$A$1:$I$4,MATCH($E919,'2018_commission_structure'!$A$1:$A$4,0),MATCH(O$1,'2018_commission_structure'!$A$1:$I$1,0))</f>
        <v>112500</v>
      </c>
      <c r="P919" s="9">
        <f>IF(H919&gt;I919, MIN(H919-I919, J919-I919)*INDEX('2018_commission_structure'!$A$1:$I$4,MATCH($E919,'2018_commission_structure'!$A$1:$A$4,0),MATCH(P$1,'2018_commission_structure'!$A$1:$I$1,0)),0)</f>
        <v>25737.02</v>
      </c>
      <c r="Q919" s="9">
        <f>IF($H919&gt;J919, MIN($H919-J919, K919-J919)*INDEX('2018_commission_structure'!$A$1:$I$4,MATCH($E919,'2018_commission_structure'!$A$1:$A$4,0),MATCH(Q$1,'2018_commission_structure'!$A$1:$I$1,0)),0)</f>
        <v>0</v>
      </c>
      <c r="R919" s="9">
        <f>IF($H919&gt;K919, MIN($H919-K919, L919-K919)*INDEX('2018_commission_structure'!$A$1:$I$4,MATCH($E919,'2018_commission_structure'!$A$1:$A$4,0),MATCH(R$1,'2018_commission_structure'!$A$1:$I$1,0)),0)</f>
        <v>0</v>
      </c>
      <c r="S919" s="9">
        <f>IF(H919&gt;L919,(H919-L919)*INDEX('2018_commission_structure'!$A$1:$I$4,MATCH($E919,'2018_commission_structure'!$A$1:$A$4,0),MATCH(S$1,'2018_commission_structure'!$A$1:$I$1,0)),0)</f>
        <v>0</v>
      </c>
      <c r="T919" s="9">
        <f t="shared" si="148"/>
        <v>138237.01999999999</v>
      </c>
      <c r="U919" s="9">
        <f t="shared" si="140"/>
        <v>217008.02</v>
      </c>
      <c r="V919" s="9">
        <f>MIN($I919,$H919)*INDEX('Key Metrics'!$E$16:$N$19,MATCH($E919,'Key Metrics'!$E$16:$E$19,0),MATCH(V$1,'Key Metrics'!$E$16:$M$16,0))</f>
        <v>112500</v>
      </c>
      <c r="W919" s="9">
        <f>IF($H919&gt;I919, MIN($H919-I919, J919-I919)*INDEX('Key Metrics'!$E$16:$N$19,MATCH($E919,'Key Metrics'!$E$16:$E$19,0),MATCH(W$1,'Key Metrics'!$E$16:$M$16,0)),0)</f>
        <v>29800.76</v>
      </c>
      <c r="X919" s="9">
        <f>IF($H919&gt;J919, MIN($H919-J919, K919-J919)*INDEX('Key Metrics'!$E$16:$N$19,MATCH($E919,'Key Metrics'!$E$16:$E$19,0),MATCH(X$1,'Key Metrics'!$E$16:$M$16,0)),0)</f>
        <v>0</v>
      </c>
      <c r="Y919" s="9">
        <f>IF($H919&gt;K919, MIN($H919-K919, L919-K919)*INDEX('Key Metrics'!$E$16:$N$19,MATCH($E919,'Key Metrics'!$E$16:$E$19,0),MATCH(Y$1,'Key Metrics'!$E$16:$M$16,0)),0)</f>
        <v>0</v>
      </c>
      <c r="Z919" s="9">
        <f>IF($H919&gt;L919,($H919-L919)*INDEX('Key Metrics'!$E$16:$N$19,MATCH($E919,'Key Metrics'!$E$16:$E$19,0),MATCH(Z$1,'Key Metrics'!$E$16:$M$16,0)),0)</f>
        <v>0</v>
      </c>
      <c r="AA919" s="9">
        <f t="shared" si="149"/>
        <v>142300.76</v>
      </c>
      <c r="AB919" s="9">
        <f t="shared" si="141"/>
        <v>142301.94061066667</v>
      </c>
    </row>
    <row r="920" spans="1:28" x14ac:dyDescent="0.55000000000000004">
      <c r="A920" t="str">
        <f t="shared" si="142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COUNTIF(deals_closed!$D$2:$D$20001,Calculations!B546)</f>
        <v>18</v>
      </c>
      <c r="H920" s="7">
        <f>SUMIF(deals_closed!$D:$D,Calculations!B546,deals_closed!$C:$C)</f>
        <v>621016</v>
      </c>
      <c r="I920" s="5">
        <f>VLOOKUP(E920,'2018_commission_structure'!$A$1:$I$4,9,FALSE)</f>
        <v>750000</v>
      </c>
      <c r="J920" s="9">
        <f t="shared" si="143"/>
        <v>937500</v>
      </c>
      <c r="K920" s="10">
        <f t="shared" si="144"/>
        <v>1125000</v>
      </c>
      <c r="L920" s="9">
        <f t="shared" si="145"/>
        <v>1500000</v>
      </c>
      <c r="M920" s="8">
        <f t="shared" si="146"/>
        <v>0.82802133333333339</v>
      </c>
      <c r="N920" t="str">
        <f t="shared" si="147"/>
        <v>0-100%</v>
      </c>
      <c r="O920" s="9">
        <f>MIN($H920,$I920)*INDEX('2018_commission_structure'!$A$1:$I$4,MATCH($E920,'2018_commission_structure'!$A$1:$A$4,0),MATCH(O$1,'2018_commission_structure'!$A$1:$I$1,0))</f>
        <v>93152.4</v>
      </c>
      <c r="P920" s="9">
        <f>IF(H920&gt;I920, MIN(H920-I920, J920-I920)*INDEX('2018_commission_structure'!$A$1:$I$4,MATCH($E920,'2018_commission_structure'!$A$1:$A$4,0),MATCH(P$1,'2018_commission_structure'!$A$1:$I$1,0)),0)</f>
        <v>0</v>
      </c>
      <c r="Q920" s="9">
        <f>IF($H920&gt;J920, MIN($H920-J920, K920-J920)*INDEX('2018_commission_structure'!$A$1:$I$4,MATCH($E920,'2018_commission_structure'!$A$1:$A$4,0),MATCH(Q$1,'2018_commission_structure'!$A$1:$I$1,0)),0)</f>
        <v>0</v>
      </c>
      <c r="R920" s="9">
        <f>IF($H920&gt;K920, MIN($H920-K920, L920-K920)*INDEX('2018_commission_structure'!$A$1:$I$4,MATCH($E920,'2018_commission_structure'!$A$1:$A$4,0),MATCH(R$1,'2018_commission_structure'!$A$1:$I$1,0)),0)</f>
        <v>0</v>
      </c>
      <c r="S920" s="9">
        <f>IF(H920&gt;L920,(H920-L920)*INDEX('2018_commission_structure'!$A$1:$I$4,MATCH($E920,'2018_commission_structure'!$A$1:$A$4,0),MATCH(S$1,'2018_commission_structure'!$A$1:$I$1,0)),0)</f>
        <v>0</v>
      </c>
      <c r="T920" s="9">
        <f t="shared" si="148"/>
        <v>93152.4</v>
      </c>
      <c r="U920" s="9">
        <f t="shared" si="140"/>
        <v>193210.4</v>
      </c>
      <c r="V920" s="9">
        <f>MIN($I920,$H920)*INDEX('Key Metrics'!$E$16:$N$19,MATCH($E920,'Key Metrics'!$E$16:$E$19,0),MATCH(V$1,'Key Metrics'!$E$16:$M$16,0))</f>
        <v>93152.4</v>
      </c>
      <c r="W920" s="9">
        <f>IF($H920&gt;I920, MIN($H920-I920, J920-I920)*INDEX('Key Metrics'!$E$16:$N$19,MATCH($E920,'Key Metrics'!$E$16:$E$19,0),MATCH(W$1,'Key Metrics'!$E$16:$M$16,0)),0)</f>
        <v>0</v>
      </c>
      <c r="X920" s="9">
        <f>IF($H920&gt;J920, MIN($H920-J920, K920-J920)*INDEX('Key Metrics'!$E$16:$N$19,MATCH($E920,'Key Metrics'!$E$16:$E$19,0),MATCH(X$1,'Key Metrics'!$E$16:$M$16,0)),0)</f>
        <v>0</v>
      </c>
      <c r="Y920" s="9">
        <f>IF($H920&gt;K920, MIN($H920-K920, L920-K920)*INDEX('Key Metrics'!$E$16:$N$19,MATCH($E920,'Key Metrics'!$E$16:$E$19,0),MATCH(Y$1,'Key Metrics'!$E$16:$M$16,0)),0)</f>
        <v>0</v>
      </c>
      <c r="Z920" s="9">
        <f>IF($H920&gt;L920,($H920-L920)*INDEX('Key Metrics'!$E$16:$N$19,MATCH($E920,'Key Metrics'!$E$16:$E$19,0),MATCH(Z$1,'Key Metrics'!$E$16:$M$16,0)),0)</f>
        <v>0</v>
      </c>
      <c r="AA920" s="9">
        <f t="shared" si="149"/>
        <v>93152.4</v>
      </c>
      <c r="AB920" s="9">
        <f t="shared" si="141"/>
        <v>93153.228021333329</v>
      </c>
    </row>
    <row r="921" spans="1:28" x14ac:dyDescent="0.55000000000000004">
      <c r="A921" t="str">
        <f t="shared" si="142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COUNTIF(deals_closed!$D$2:$D$20001,Calculations!B55)</f>
        <v>14</v>
      </c>
      <c r="H921" s="7">
        <f>SUMIF(deals_closed!$D:$D,Calculations!B55,deals_closed!$C:$C)</f>
        <v>374529</v>
      </c>
      <c r="I921" s="5">
        <f>VLOOKUP(E921,'2018_commission_structure'!$A$1:$I$4,9,FALSE)</f>
        <v>500000</v>
      </c>
      <c r="J921" s="9">
        <f t="shared" si="143"/>
        <v>625000</v>
      </c>
      <c r="K921" s="10">
        <f t="shared" si="144"/>
        <v>750000</v>
      </c>
      <c r="L921" s="9">
        <f t="shared" si="145"/>
        <v>1000000</v>
      </c>
      <c r="M921" s="8">
        <f t="shared" si="146"/>
        <v>0.749058</v>
      </c>
      <c r="N921" t="str">
        <f t="shared" si="147"/>
        <v>0-100%</v>
      </c>
      <c r="O921" s="9">
        <f>MIN($H921,$I921)*INDEX('2018_commission_structure'!$A$1:$I$4,MATCH($E921,'2018_commission_structure'!$A$1:$A$4,0),MATCH(O$1,'2018_commission_structure'!$A$1:$I$1,0))</f>
        <v>37452.9</v>
      </c>
      <c r="P921" s="9">
        <f>IF(H921&gt;I921, MIN(H921-I921, J921-I921)*INDEX('2018_commission_structure'!$A$1:$I$4,MATCH($E921,'2018_commission_structure'!$A$1:$A$4,0),MATCH(P$1,'2018_commission_structure'!$A$1:$I$1,0)),0)</f>
        <v>0</v>
      </c>
      <c r="Q921" s="9">
        <f>IF($H921&gt;J921, MIN($H921-J921, K921-J921)*INDEX('2018_commission_structure'!$A$1:$I$4,MATCH($E921,'2018_commission_structure'!$A$1:$A$4,0),MATCH(Q$1,'2018_commission_structure'!$A$1:$I$1,0)),0)</f>
        <v>0</v>
      </c>
      <c r="R921" s="9">
        <f>IF($H921&gt;K921, MIN($H921-K921, L921-K921)*INDEX('2018_commission_structure'!$A$1:$I$4,MATCH($E921,'2018_commission_structure'!$A$1:$A$4,0),MATCH(R$1,'2018_commission_structure'!$A$1:$I$1,0)),0)</f>
        <v>0</v>
      </c>
      <c r="S921" s="9">
        <f>IF(H921&gt;L921,(H921-L921)*INDEX('2018_commission_structure'!$A$1:$I$4,MATCH($E921,'2018_commission_structure'!$A$1:$A$4,0),MATCH(S$1,'2018_commission_structure'!$A$1:$I$1,0)),0)</f>
        <v>0</v>
      </c>
      <c r="T921" s="9">
        <f t="shared" si="148"/>
        <v>37452.9</v>
      </c>
      <c r="U921" s="9">
        <f t="shared" si="140"/>
        <v>71890.899999999994</v>
      </c>
      <c r="V921" s="9">
        <f>MIN($I921,$H921)*INDEX('Key Metrics'!$E$16:$N$19,MATCH($E921,'Key Metrics'!$E$16:$E$19,0),MATCH(V$1,'Key Metrics'!$E$16:$M$16,0))</f>
        <v>44943.479999999996</v>
      </c>
      <c r="W921" s="9">
        <f>IF($H921&gt;I921, MIN($H921-I921, J921-I921)*INDEX('Key Metrics'!$E$16:$N$19,MATCH($E921,'Key Metrics'!$E$16:$E$19,0),MATCH(W$1,'Key Metrics'!$E$16:$M$16,0)),0)</f>
        <v>0</v>
      </c>
      <c r="X921" s="9">
        <f>IF($H921&gt;J921, MIN($H921-J921, K921-J921)*INDEX('Key Metrics'!$E$16:$N$19,MATCH($E921,'Key Metrics'!$E$16:$E$19,0),MATCH(X$1,'Key Metrics'!$E$16:$M$16,0)),0)</f>
        <v>0</v>
      </c>
      <c r="Y921" s="9">
        <f>IF($H921&gt;K921, MIN($H921-K921, L921-K921)*INDEX('Key Metrics'!$E$16:$N$19,MATCH($E921,'Key Metrics'!$E$16:$E$19,0),MATCH(Y$1,'Key Metrics'!$E$16:$M$16,0)),0)</f>
        <v>0</v>
      </c>
      <c r="Z921" s="9">
        <f>IF($H921&gt;L921,($H921-L921)*INDEX('Key Metrics'!$E$16:$N$19,MATCH($E921,'Key Metrics'!$E$16:$E$19,0),MATCH(Z$1,'Key Metrics'!$E$16:$M$16,0)),0)</f>
        <v>0</v>
      </c>
      <c r="AA921" s="9">
        <f t="shared" si="149"/>
        <v>44943.479999999996</v>
      </c>
      <c r="AB921" s="9">
        <f t="shared" si="141"/>
        <v>44944.229057999997</v>
      </c>
    </row>
    <row r="922" spans="1:28" x14ac:dyDescent="0.55000000000000004">
      <c r="A922" t="str">
        <f t="shared" si="142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COUNTIF(deals_closed!$D$2:$D$20001,Calculations!B422)</f>
        <v>26</v>
      </c>
      <c r="H922" s="7">
        <f>SUMIF(deals_closed!$D:$D,Calculations!B422,deals_closed!$C:$C)</f>
        <v>995314</v>
      </c>
      <c r="I922" s="5">
        <f>VLOOKUP(E922,'2018_commission_structure'!$A$1:$I$4,9,FALSE)</f>
        <v>500000</v>
      </c>
      <c r="J922" s="9">
        <f t="shared" si="143"/>
        <v>625000</v>
      </c>
      <c r="K922" s="10">
        <f t="shared" si="144"/>
        <v>750000</v>
      </c>
      <c r="L922" s="9">
        <f t="shared" si="145"/>
        <v>1000000</v>
      </c>
      <c r="M922" s="8">
        <f t="shared" si="146"/>
        <v>1.9906280000000001</v>
      </c>
      <c r="N922" t="str">
        <f t="shared" si="147"/>
        <v>150-200%</v>
      </c>
      <c r="O922" s="9">
        <f>MIN($H922,$I922)*INDEX('2018_commission_structure'!$A$1:$I$4,MATCH($E922,'2018_commission_structure'!$A$1:$A$4,0),MATCH(O$1,'2018_commission_structure'!$A$1:$I$1,0))</f>
        <v>50000</v>
      </c>
      <c r="P922" s="9">
        <f>IF(H922&gt;I922, MIN(H922-I922, J922-I922)*INDEX('2018_commission_structure'!$A$1:$I$4,MATCH($E922,'2018_commission_structure'!$A$1:$A$4,0),MATCH(P$1,'2018_commission_structure'!$A$1:$I$1,0)),0)</f>
        <v>18750</v>
      </c>
      <c r="Q922" s="9">
        <f>IF($H922&gt;J922, MIN($H922-J922, K922-J922)*INDEX('2018_commission_structure'!$A$1:$I$4,MATCH($E922,'2018_commission_structure'!$A$1:$A$4,0),MATCH(Q$1,'2018_commission_structure'!$A$1:$I$1,0)),0)</f>
        <v>22500</v>
      </c>
      <c r="R922" s="9">
        <f>IF($H922&gt;K922, MIN($H922-K922, L922-K922)*INDEX('2018_commission_structure'!$A$1:$I$4,MATCH($E922,'2018_commission_structure'!$A$1:$A$4,0),MATCH(R$1,'2018_commission_structure'!$A$1:$I$1,0)),0)</f>
        <v>53969.08</v>
      </c>
      <c r="S922" s="9">
        <f>IF(H922&gt;L922,(H922-L922)*INDEX('2018_commission_structure'!$A$1:$I$4,MATCH($E922,'2018_commission_structure'!$A$1:$A$4,0),MATCH(S$1,'2018_commission_structure'!$A$1:$I$1,0)),0)</f>
        <v>0</v>
      </c>
      <c r="T922" s="9">
        <f t="shared" si="148"/>
        <v>145219.08000000002</v>
      </c>
      <c r="U922" s="9">
        <f t="shared" si="140"/>
        <v>187999.08000000002</v>
      </c>
      <c r="V922" s="9">
        <f>MIN($I922,$H922)*INDEX('Key Metrics'!$E$16:$N$19,MATCH($E922,'Key Metrics'!$E$16:$E$19,0),MATCH(V$1,'Key Metrics'!$E$16:$M$16,0))</f>
        <v>60000</v>
      </c>
      <c r="W922" s="9">
        <f>IF($H922&gt;I922, MIN($H922-I922, J922-I922)*INDEX('Key Metrics'!$E$16:$N$19,MATCH($E922,'Key Metrics'!$E$16:$E$19,0),MATCH(W$1,'Key Metrics'!$E$16:$M$16,0)),0)</f>
        <v>21250</v>
      </c>
      <c r="X922" s="9">
        <f>IF($H922&gt;J922, MIN($H922-J922, K922-J922)*INDEX('Key Metrics'!$E$16:$N$19,MATCH($E922,'Key Metrics'!$E$16:$E$19,0),MATCH(X$1,'Key Metrics'!$E$16:$M$16,0)),0)</f>
        <v>25000</v>
      </c>
      <c r="Y922" s="9">
        <f>IF($H922&gt;K922, MIN($H922-K922, L922-K922)*INDEX('Key Metrics'!$E$16:$N$19,MATCH($E922,'Key Metrics'!$E$16:$E$19,0),MATCH(Y$1,'Key Metrics'!$E$16:$M$16,0)),0)</f>
        <v>53969.08</v>
      </c>
      <c r="Z922" s="9">
        <f>IF($H922&gt;L922,($H922-L922)*INDEX('Key Metrics'!$E$16:$N$19,MATCH($E922,'Key Metrics'!$E$16:$E$19,0),MATCH(Z$1,'Key Metrics'!$E$16:$M$16,0)),0)</f>
        <v>0</v>
      </c>
      <c r="AA922" s="9">
        <f t="shared" si="149"/>
        <v>160219.08000000002</v>
      </c>
      <c r="AB922" s="9">
        <f t="shared" si="141"/>
        <v>160221.07062800002</v>
      </c>
    </row>
    <row r="923" spans="1:28" x14ac:dyDescent="0.55000000000000004">
      <c r="A923" t="str">
        <f t="shared" si="142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COUNTIF(deals_closed!$D$2:$D$20001,Calculations!B59)</f>
        <v>29</v>
      </c>
      <c r="H923" s="7">
        <f>SUMIF(deals_closed!$D:$D,Calculations!B59,deals_closed!$C:$C)</f>
        <v>985355</v>
      </c>
      <c r="I923" s="5">
        <f>VLOOKUP(E923,'2018_commission_structure'!$A$1:$I$4,9,FALSE)</f>
        <v>600000</v>
      </c>
      <c r="J923" s="9">
        <f t="shared" si="143"/>
        <v>750000</v>
      </c>
      <c r="K923" s="10">
        <f t="shared" si="144"/>
        <v>900000</v>
      </c>
      <c r="L923" s="9">
        <f t="shared" si="145"/>
        <v>1200000</v>
      </c>
      <c r="M923" s="8">
        <f t="shared" si="146"/>
        <v>1.6422583333333334</v>
      </c>
      <c r="N923" t="str">
        <f t="shared" si="147"/>
        <v>150-200%</v>
      </c>
      <c r="O923" s="9">
        <f>MIN($H923,$I923)*INDEX('2018_commission_structure'!$A$1:$I$4,MATCH($E923,'2018_commission_structure'!$A$1:$A$4,0),MATCH(O$1,'2018_commission_structure'!$A$1:$I$1,0))</f>
        <v>78000</v>
      </c>
      <c r="P923" s="9">
        <f>IF(H923&gt;I923, MIN(H923-I923, J923-I923)*INDEX('2018_commission_structure'!$A$1:$I$4,MATCH($E923,'2018_commission_structure'!$A$1:$A$4,0),MATCH(P$1,'2018_commission_structure'!$A$1:$I$1,0)),0)</f>
        <v>25500.000000000004</v>
      </c>
      <c r="Q923" s="9">
        <f>IF($H923&gt;J923, MIN($H923-J923, K923-J923)*INDEX('2018_commission_structure'!$A$1:$I$4,MATCH($E923,'2018_commission_structure'!$A$1:$A$4,0),MATCH(Q$1,'2018_commission_structure'!$A$1:$I$1,0)),0)</f>
        <v>31500</v>
      </c>
      <c r="R923" s="9">
        <f>IF($H923&gt;K923, MIN($H923-K923, L923-K923)*INDEX('2018_commission_structure'!$A$1:$I$4,MATCH($E923,'2018_commission_structure'!$A$1:$A$4,0),MATCH(R$1,'2018_commission_structure'!$A$1:$I$1,0)),0)</f>
        <v>22192.3</v>
      </c>
      <c r="S923" s="9">
        <f>IF(H923&gt;L923,(H923-L923)*INDEX('2018_commission_structure'!$A$1:$I$4,MATCH($E923,'2018_commission_structure'!$A$1:$A$4,0),MATCH(S$1,'2018_commission_structure'!$A$1:$I$1,0)),0)</f>
        <v>0</v>
      </c>
      <c r="T923" s="9">
        <f t="shared" si="148"/>
        <v>157192.29999999999</v>
      </c>
      <c r="U923" s="9">
        <f t="shared" si="140"/>
        <v>221042.3</v>
      </c>
      <c r="V923" s="9">
        <f>MIN($I923,$H923)*INDEX('Key Metrics'!$E$16:$N$19,MATCH($E923,'Key Metrics'!$E$16:$E$19,0),MATCH(V$1,'Key Metrics'!$E$16:$M$16,0))</f>
        <v>90000</v>
      </c>
      <c r="W923" s="9">
        <f>IF($H923&gt;I923, MIN($H923-I923, J923-I923)*INDEX('Key Metrics'!$E$16:$N$19,MATCH($E923,'Key Metrics'!$E$16:$E$19,0),MATCH(W$1,'Key Metrics'!$E$16:$M$16,0)),0)</f>
        <v>27000</v>
      </c>
      <c r="X923" s="9">
        <f>IF($H923&gt;J923, MIN($H923-J923, K923-J923)*INDEX('Key Metrics'!$E$16:$N$19,MATCH($E923,'Key Metrics'!$E$16:$E$19,0),MATCH(X$1,'Key Metrics'!$E$16:$M$16,0)),0)</f>
        <v>37500</v>
      </c>
      <c r="Y923" s="9">
        <f>IF($H923&gt;K923, MIN($H923-K923, L923-K923)*INDEX('Key Metrics'!$E$16:$N$19,MATCH($E923,'Key Metrics'!$E$16:$E$19,0),MATCH(Y$1,'Key Metrics'!$E$16:$M$16,0)),0)</f>
        <v>25606.5</v>
      </c>
      <c r="Z923" s="9">
        <f>IF($H923&gt;L923,($H923-L923)*INDEX('Key Metrics'!$E$16:$N$19,MATCH($E923,'Key Metrics'!$E$16:$E$19,0),MATCH(Z$1,'Key Metrics'!$E$16:$M$16,0)),0)</f>
        <v>0</v>
      </c>
      <c r="AA923" s="9">
        <f t="shared" si="149"/>
        <v>180106.5</v>
      </c>
      <c r="AB923" s="9">
        <f t="shared" si="141"/>
        <v>180108.14225833333</v>
      </c>
    </row>
    <row r="924" spans="1:28" x14ac:dyDescent="0.55000000000000004">
      <c r="A924" t="str">
        <f t="shared" si="142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COUNTIF(deals_closed!$D$2:$D$20001,Calculations!B78)</f>
        <v>28</v>
      </c>
      <c r="H924" s="7">
        <f>SUMIF(deals_closed!$D:$D,Calculations!B78,deals_closed!$C:$C)</f>
        <v>1006770</v>
      </c>
      <c r="I924" s="5">
        <f>VLOOKUP(E924,'2018_commission_structure'!$A$1:$I$4,9,FALSE)</f>
        <v>500000</v>
      </c>
      <c r="J924" s="9">
        <f t="shared" si="143"/>
        <v>625000</v>
      </c>
      <c r="K924" s="10">
        <f t="shared" si="144"/>
        <v>750000</v>
      </c>
      <c r="L924" s="9">
        <f t="shared" si="145"/>
        <v>1000000</v>
      </c>
      <c r="M924" s="8">
        <f t="shared" si="146"/>
        <v>2.0135399999999999</v>
      </c>
      <c r="N924" t="str">
        <f t="shared" si="147"/>
        <v>&gt;200%</v>
      </c>
      <c r="O924" s="9">
        <f>MIN($H924,$I924)*INDEX('2018_commission_structure'!$A$1:$I$4,MATCH($E924,'2018_commission_structure'!$A$1:$A$4,0),MATCH(O$1,'2018_commission_structure'!$A$1:$I$1,0))</f>
        <v>50000</v>
      </c>
      <c r="P924" s="9">
        <f>IF(H924&gt;I924, MIN(H924-I924, J924-I924)*INDEX('2018_commission_structure'!$A$1:$I$4,MATCH($E924,'2018_commission_structure'!$A$1:$A$4,0),MATCH(P$1,'2018_commission_structure'!$A$1:$I$1,0)),0)</f>
        <v>18750</v>
      </c>
      <c r="Q924" s="9">
        <f>IF($H924&gt;J924, MIN($H924-J924, K924-J924)*INDEX('2018_commission_structure'!$A$1:$I$4,MATCH($E924,'2018_commission_structure'!$A$1:$A$4,0),MATCH(Q$1,'2018_commission_structure'!$A$1:$I$1,0)),0)</f>
        <v>22500</v>
      </c>
      <c r="R924" s="9">
        <f>IF($H924&gt;K924, MIN($H924-K924, L924-K924)*INDEX('2018_commission_structure'!$A$1:$I$4,MATCH($E924,'2018_commission_structure'!$A$1:$A$4,0),MATCH(R$1,'2018_commission_structure'!$A$1:$I$1,0)),0)</f>
        <v>55000</v>
      </c>
      <c r="S924" s="9">
        <f>IF(H924&gt;L924,(H924-L924)*INDEX('2018_commission_structure'!$A$1:$I$4,MATCH($E924,'2018_commission_structure'!$A$1:$A$4,0),MATCH(S$1,'2018_commission_structure'!$A$1:$I$1,0)),0)</f>
        <v>677</v>
      </c>
      <c r="T924" s="9">
        <f t="shared" si="148"/>
        <v>146927</v>
      </c>
      <c r="U924" s="9">
        <f t="shared" si="140"/>
        <v>189610</v>
      </c>
      <c r="V924" s="9">
        <f>MIN($I924,$H924)*INDEX('Key Metrics'!$E$16:$N$19,MATCH($E924,'Key Metrics'!$E$16:$E$19,0),MATCH(V$1,'Key Metrics'!$E$16:$M$16,0))</f>
        <v>60000</v>
      </c>
      <c r="W924" s="9">
        <f>IF($H924&gt;I924, MIN($H924-I924, J924-I924)*INDEX('Key Metrics'!$E$16:$N$19,MATCH($E924,'Key Metrics'!$E$16:$E$19,0),MATCH(W$1,'Key Metrics'!$E$16:$M$16,0)),0)</f>
        <v>21250</v>
      </c>
      <c r="X924" s="9">
        <f>IF($H924&gt;J924, MIN($H924-J924, K924-J924)*INDEX('Key Metrics'!$E$16:$N$19,MATCH($E924,'Key Metrics'!$E$16:$E$19,0),MATCH(X$1,'Key Metrics'!$E$16:$M$16,0)),0)</f>
        <v>25000</v>
      </c>
      <c r="Y924" s="9">
        <f>IF($H924&gt;K924, MIN($H924-K924, L924-K924)*INDEX('Key Metrics'!$E$16:$N$19,MATCH($E924,'Key Metrics'!$E$16:$E$19,0),MATCH(Y$1,'Key Metrics'!$E$16:$M$16,0)),0)</f>
        <v>55000</v>
      </c>
      <c r="Z924" s="9">
        <f>IF($H924&gt;L924,($H924-L924)*INDEX('Key Metrics'!$E$16:$N$19,MATCH($E924,'Key Metrics'!$E$16:$E$19,0),MATCH(Z$1,'Key Metrics'!$E$16:$M$16,0)),0)</f>
        <v>677</v>
      </c>
      <c r="AA924" s="9">
        <f t="shared" si="149"/>
        <v>161927</v>
      </c>
      <c r="AB924" s="9">
        <f t="shared" si="141"/>
        <v>161929.01354000001</v>
      </c>
    </row>
    <row r="925" spans="1:28" x14ac:dyDescent="0.55000000000000004">
      <c r="A925" t="str">
        <f t="shared" si="142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COUNTIF(deals_closed!$D$2:$D$20001,Calculations!B121)</f>
        <v>21</v>
      </c>
      <c r="H925" s="7">
        <f>SUMIF(deals_closed!$D:$D,Calculations!B121,deals_closed!$C:$C)</f>
        <v>681211</v>
      </c>
      <c r="I925" s="5">
        <f>VLOOKUP(E925,'2018_commission_structure'!$A$1:$I$4,9,FALSE)</f>
        <v>600000</v>
      </c>
      <c r="J925" s="9">
        <f t="shared" si="143"/>
        <v>750000</v>
      </c>
      <c r="K925" s="10">
        <f t="shared" si="144"/>
        <v>900000</v>
      </c>
      <c r="L925" s="9">
        <f t="shared" si="145"/>
        <v>1200000</v>
      </c>
      <c r="M925" s="8">
        <f t="shared" si="146"/>
        <v>1.1353516666666668</v>
      </c>
      <c r="N925" t="str">
        <f t="shared" si="147"/>
        <v>100-125%</v>
      </c>
      <c r="O925" s="9">
        <f>MIN($H925,$I925)*INDEX('2018_commission_structure'!$A$1:$I$4,MATCH($E925,'2018_commission_structure'!$A$1:$A$4,0),MATCH(O$1,'2018_commission_structure'!$A$1:$I$1,0))</f>
        <v>78000</v>
      </c>
      <c r="P925" s="9">
        <f>IF(H925&gt;I925, MIN(H925-I925, J925-I925)*INDEX('2018_commission_structure'!$A$1:$I$4,MATCH($E925,'2018_commission_structure'!$A$1:$A$4,0),MATCH(P$1,'2018_commission_structure'!$A$1:$I$1,0)),0)</f>
        <v>13805.87</v>
      </c>
      <c r="Q925" s="9">
        <f>IF($H925&gt;J925, MIN($H925-J925, K925-J925)*INDEX('2018_commission_structure'!$A$1:$I$4,MATCH($E925,'2018_commission_structure'!$A$1:$A$4,0),MATCH(Q$1,'2018_commission_structure'!$A$1:$I$1,0)),0)</f>
        <v>0</v>
      </c>
      <c r="R925" s="9">
        <f>IF($H925&gt;K925, MIN($H925-K925, L925-K925)*INDEX('2018_commission_structure'!$A$1:$I$4,MATCH($E925,'2018_commission_structure'!$A$1:$A$4,0),MATCH(R$1,'2018_commission_structure'!$A$1:$I$1,0)),0)</f>
        <v>0</v>
      </c>
      <c r="S925" s="9">
        <f>IF(H925&gt;L925,(H925-L925)*INDEX('2018_commission_structure'!$A$1:$I$4,MATCH($E925,'2018_commission_structure'!$A$1:$A$4,0),MATCH(S$1,'2018_commission_structure'!$A$1:$I$1,0)),0)</f>
        <v>0</v>
      </c>
      <c r="T925" s="9">
        <f t="shared" si="148"/>
        <v>91805.87</v>
      </c>
      <c r="U925" s="9">
        <f t="shared" si="140"/>
        <v>154208.87</v>
      </c>
      <c r="V925" s="9">
        <f>MIN($I925,$H925)*INDEX('Key Metrics'!$E$16:$N$19,MATCH($E925,'Key Metrics'!$E$16:$E$19,0),MATCH(V$1,'Key Metrics'!$E$16:$M$16,0))</f>
        <v>90000</v>
      </c>
      <c r="W925" s="9">
        <f>IF($H925&gt;I925, MIN($H925-I925, J925-I925)*INDEX('Key Metrics'!$E$16:$N$19,MATCH($E925,'Key Metrics'!$E$16:$E$19,0),MATCH(W$1,'Key Metrics'!$E$16:$M$16,0)),0)</f>
        <v>14617.98</v>
      </c>
      <c r="X925" s="9">
        <f>IF($H925&gt;J925, MIN($H925-J925, K925-J925)*INDEX('Key Metrics'!$E$16:$N$19,MATCH($E925,'Key Metrics'!$E$16:$E$19,0),MATCH(X$1,'Key Metrics'!$E$16:$M$16,0)),0)</f>
        <v>0</v>
      </c>
      <c r="Y925" s="9">
        <f>IF($H925&gt;K925, MIN($H925-K925, L925-K925)*INDEX('Key Metrics'!$E$16:$N$19,MATCH($E925,'Key Metrics'!$E$16:$E$19,0),MATCH(Y$1,'Key Metrics'!$E$16:$M$16,0)),0)</f>
        <v>0</v>
      </c>
      <c r="Z925" s="9">
        <f>IF($H925&gt;L925,($H925-L925)*INDEX('Key Metrics'!$E$16:$N$19,MATCH($E925,'Key Metrics'!$E$16:$E$19,0),MATCH(Z$1,'Key Metrics'!$E$16:$M$16,0)),0)</f>
        <v>0</v>
      </c>
      <c r="AA925" s="9">
        <f t="shared" si="149"/>
        <v>104617.98</v>
      </c>
      <c r="AB925" s="9">
        <f t="shared" si="141"/>
        <v>104619.11535166667</v>
      </c>
    </row>
    <row r="926" spans="1:28" x14ac:dyDescent="0.55000000000000004">
      <c r="A926" t="str">
        <f t="shared" si="142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COUNTIF(deals_closed!$D$2:$D$20001,Calculations!B235)</f>
        <v>26</v>
      </c>
      <c r="H926" s="7">
        <f>SUMIF(deals_closed!$D:$D,Calculations!B235,deals_closed!$C:$C)</f>
        <v>932920</v>
      </c>
      <c r="I926" s="5">
        <f>VLOOKUP(E926,'2018_commission_structure'!$A$1:$I$4,9,FALSE)</f>
        <v>600000</v>
      </c>
      <c r="J926" s="9">
        <f t="shared" si="143"/>
        <v>750000</v>
      </c>
      <c r="K926" s="10">
        <f t="shared" si="144"/>
        <v>900000</v>
      </c>
      <c r="L926" s="9">
        <f t="shared" si="145"/>
        <v>1200000</v>
      </c>
      <c r="M926" s="8">
        <f t="shared" si="146"/>
        <v>1.5548666666666666</v>
      </c>
      <c r="N926" t="str">
        <f t="shared" si="147"/>
        <v>150-200%</v>
      </c>
      <c r="O926" s="9">
        <f>MIN($H926,$I926)*INDEX('2018_commission_structure'!$A$1:$I$4,MATCH($E926,'2018_commission_structure'!$A$1:$A$4,0),MATCH(O$1,'2018_commission_structure'!$A$1:$I$1,0))</f>
        <v>78000</v>
      </c>
      <c r="P926" s="9">
        <f>IF(H926&gt;I926, MIN(H926-I926, J926-I926)*INDEX('2018_commission_structure'!$A$1:$I$4,MATCH($E926,'2018_commission_structure'!$A$1:$A$4,0),MATCH(P$1,'2018_commission_structure'!$A$1:$I$1,0)),0)</f>
        <v>25500.000000000004</v>
      </c>
      <c r="Q926" s="9">
        <f>IF($H926&gt;J926, MIN($H926-J926, K926-J926)*INDEX('2018_commission_structure'!$A$1:$I$4,MATCH($E926,'2018_commission_structure'!$A$1:$A$4,0),MATCH(Q$1,'2018_commission_structure'!$A$1:$I$1,0)),0)</f>
        <v>31500</v>
      </c>
      <c r="R926" s="9">
        <f>IF($H926&gt;K926, MIN($H926-K926, L926-K926)*INDEX('2018_commission_structure'!$A$1:$I$4,MATCH($E926,'2018_commission_structure'!$A$1:$A$4,0),MATCH(R$1,'2018_commission_structure'!$A$1:$I$1,0)),0)</f>
        <v>8559.2000000000007</v>
      </c>
      <c r="S926" s="9">
        <f>IF(H926&gt;L926,(H926-L926)*INDEX('2018_commission_structure'!$A$1:$I$4,MATCH($E926,'2018_commission_structure'!$A$1:$A$4,0),MATCH(S$1,'2018_commission_structure'!$A$1:$I$1,0)),0)</f>
        <v>0</v>
      </c>
      <c r="T926" s="9">
        <f t="shared" si="148"/>
        <v>143559.20000000001</v>
      </c>
      <c r="U926" s="9">
        <f t="shared" si="140"/>
        <v>216931.20000000001</v>
      </c>
      <c r="V926" s="9">
        <f>MIN($I926,$H926)*INDEX('Key Metrics'!$E$16:$N$19,MATCH($E926,'Key Metrics'!$E$16:$E$19,0),MATCH(V$1,'Key Metrics'!$E$16:$M$16,0))</f>
        <v>90000</v>
      </c>
      <c r="W926" s="9">
        <f>IF($H926&gt;I926, MIN($H926-I926, J926-I926)*INDEX('Key Metrics'!$E$16:$N$19,MATCH($E926,'Key Metrics'!$E$16:$E$19,0),MATCH(W$1,'Key Metrics'!$E$16:$M$16,0)),0)</f>
        <v>27000</v>
      </c>
      <c r="X926" s="9">
        <f>IF($H926&gt;J926, MIN($H926-J926, K926-J926)*INDEX('Key Metrics'!$E$16:$N$19,MATCH($E926,'Key Metrics'!$E$16:$E$19,0),MATCH(X$1,'Key Metrics'!$E$16:$M$16,0)),0)</f>
        <v>37500</v>
      </c>
      <c r="Y926" s="9">
        <f>IF($H926&gt;K926, MIN($H926-K926, L926-K926)*INDEX('Key Metrics'!$E$16:$N$19,MATCH($E926,'Key Metrics'!$E$16:$E$19,0),MATCH(Y$1,'Key Metrics'!$E$16:$M$16,0)),0)</f>
        <v>9876</v>
      </c>
      <c r="Z926" s="9">
        <f>IF($H926&gt;L926,($H926-L926)*INDEX('Key Metrics'!$E$16:$N$19,MATCH($E926,'Key Metrics'!$E$16:$E$19,0),MATCH(Z$1,'Key Metrics'!$E$16:$M$16,0)),0)</f>
        <v>0</v>
      </c>
      <c r="AA926" s="9">
        <f t="shared" si="149"/>
        <v>164376</v>
      </c>
      <c r="AB926" s="9">
        <f t="shared" si="141"/>
        <v>164377.55486666667</v>
      </c>
    </row>
    <row r="927" spans="1:28" x14ac:dyDescent="0.55000000000000004">
      <c r="A927" t="str">
        <f t="shared" si="142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COUNTIF(deals_closed!$D$2:$D$20001,Calculations!B234)</f>
        <v>18</v>
      </c>
      <c r="H927" s="7">
        <f>SUMIF(deals_closed!$D:$D,Calculations!B234,deals_closed!$C:$C)</f>
        <v>646430</v>
      </c>
      <c r="I927" s="5">
        <f>VLOOKUP(E927,'2018_commission_structure'!$A$1:$I$4,9,FALSE)</f>
        <v>500000</v>
      </c>
      <c r="J927" s="9">
        <f t="shared" si="143"/>
        <v>625000</v>
      </c>
      <c r="K927" s="10">
        <f t="shared" si="144"/>
        <v>750000</v>
      </c>
      <c r="L927" s="9">
        <f t="shared" si="145"/>
        <v>1000000</v>
      </c>
      <c r="M927" s="8">
        <f t="shared" si="146"/>
        <v>1.2928599999999999</v>
      </c>
      <c r="N927" t="str">
        <f t="shared" si="147"/>
        <v>125-150%</v>
      </c>
      <c r="O927" s="9">
        <f>MIN($H927,$I927)*INDEX('2018_commission_structure'!$A$1:$I$4,MATCH($E927,'2018_commission_structure'!$A$1:$A$4,0),MATCH(O$1,'2018_commission_structure'!$A$1:$I$1,0))</f>
        <v>50000</v>
      </c>
      <c r="P927" s="9">
        <f>IF(H927&gt;I927, MIN(H927-I927, J927-I927)*INDEX('2018_commission_structure'!$A$1:$I$4,MATCH($E927,'2018_commission_structure'!$A$1:$A$4,0),MATCH(P$1,'2018_commission_structure'!$A$1:$I$1,0)),0)</f>
        <v>18750</v>
      </c>
      <c r="Q927" s="9">
        <f>IF($H927&gt;J927, MIN($H927-J927, K927-J927)*INDEX('2018_commission_structure'!$A$1:$I$4,MATCH($E927,'2018_commission_structure'!$A$1:$A$4,0),MATCH(Q$1,'2018_commission_structure'!$A$1:$I$1,0)),0)</f>
        <v>3857.3999999999996</v>
      </c>
      <c r="R927" s="9">
        <f>IF($H927&gt;K927, MIN($H927-K927, L927-K927)*INDEX('2018_commission_structure'!$A$1:$I$4,MATCH($E927,'2018_commission_structure'!$A$1:$A$4,0),MATCH(R$1,'2018_commission_structure'!$A$1:$I$1,0)),0)</f>
        <v>0</v>
      </c>
      <c r="S927" s="9">
        <f>IF(H927&gt;L927,(H927-L927)*INDEX('2018_commission_structure'!$A$1:$I$4,MATCH($E927,'2018_commission_structure'!$A$1:$A$4,0),MATCH(S$1,'2018_commission_structure'!$A$1:$I$1,0)),0)</f>
        <v>0</v>
      </c>
      <c r="T927" s="9">
        <f t="shared" si="148"/>
        <v>72607.399999999994</v>
      </c>
      <c r="U927" s="9">
        <f t="shared" si="140"/>
        <v>134286.39999999999</v>
      </c>
      <c r="V927" s="9">
        <f>MIN($I927,$H927)*INDEX('Key Metrics'!$E$16:$N$19,MATCH($E927,'Key Metrics'!$E$16:$E$19,0),MATCH(V$1,'Key Metrics'!$E$16:$M$16,0))</f>
        <v>60000</v>
      </c>
      <c r="W927" s="9">
        <f>IF($H927&gt;I927, MIN($H927-I927, J927-I927)*INDEX('Key Metrics'!$E$16:$N$19,MATCH($E927,'Key Metrics'!$E$16:$E$19,0),MATCH(W$1,'Key Metrics'!$E$16:$M$16,0)),0)</f>
        <v>21250</v>
      </c>
      <c r="X927" s="9">
        <f>IF($H927&gt;J927, MIN($H927-J927, K927-J927)*INDEX('Key Metrics'!$E$16:$N$19,MATCH($E927,'Key Metrics'!$E$16:$E$19,0),MATCH(X$1,'Key Metrics'!$E$16:$M$16,0)),0)</f>
        <v>4286</v>
      </c>
      <c r="Y927" s="9">
        <f>IF($H927&gt;K927, MIN($H927-K927, L927-K927)*INDEX('Key Metrics'!$E$16:$N$19,MATCH($E927,'Key Metrics'!$E$16:$E$19,0),MATCH(Y$1,'Key Metrics'!$E$16:$M$16,0)),0)</f>
        <v>0</v>
      </c>
      <c r="Z927" s="9">
        <f>IF($H927&gt;L927,($H927-L927)*INDEX('Key Metrics'!$E$16:$N$19,MATCH($E927,'Key Metrics'!$E$16:$E$19,0),MATCH(Z$1,'Key Metrics'!$E$16:$M$16,0)),0)</f>
        <v>0</v>
      </c>
      <c r="AA927" s="9">
        <f t="shared" si="149"/>
        <v>85536</v>
      </c>
      <c r="AB927" s="9">
        <f t="shared" si="141"/>
        <v>85537.292860000001</v>
      </c>
    </row>
    <row r="928" spans="1:28" x14ac:dyDescent="0.55000000000000004">
      <c r="A928" t="str">
        <f t="shared" si="142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COUNTIF(deals_closed!$D$2:$D$20001,Calculations!B921)</f>
        <v>27</v>
      </c>
      <c r="H928" s="7">
        <f>SUMIF(deals_closed!$D:$D,Calculations!B921,deals_closed!$C:$C)</f>
        <v>915219</v>
      </c>
      <c r="I928" s="5">
        <f>VLOOKUP(E928,'2018_commission_structure'!$A$1:$I$4,9,FALSE)</f>
        <v>600000</v>
      </c>
      <c r="J928" s="9">
        <f t="shared" si="143"/>
        <v>750000</v>
      </c>
      <c r="K928" s="10">
        <f t="shared" si="144"/>
        <v>900000</v>
      </c>
      <c r="L928" s="9">
        <f t="shared" si="145"/>
        <v>1200000</v>
      </c>
      <c r="M928" s="8">
        <f t="shared" si="146"/>
        <v>1.5253650000000001</v>
      </c>
      <c r="N928" t="str">
        <f t="shared" si="147"/>
        <v>150-200%</v>
      </c>
      <c r="O928" s="9">
        <f>MIN($H928,$I928)*INDEX('2018_commission_structure'!$A$1:$I$4,MATCH($E928,'2018_commission_structure'!$A$1:$A$4,0),MATCH(O$1,'2018_commission_structure'!$A$1:$I$1,0))</f>
        <v>78000</v>
      </c>
      <c r="P928" s="9">
        <f>IF(H928&gt;I928, MIN(H928-I928, J928-I928)*INDEX('2018_commission_structure'!$A$1:$I$4,MATCH($E928,'2018_commission_structure'!$A$1:$A$4,0),MATCH(P$1,'2018_commission_structure'!$A$1:$I$1,0)),0)</f>
        <v>25500.000000000004</v>
      </c>
      <c r="Q928" s="9">
        <f>IF($H928&gt;J928, MIN($H928-J928, K928-J928)*INDEX('2018_commission_structure'!$A$1:$I$4,MATCH($E928,'2018_commission_structure'!$A$1:$A$4,0),MATCH(Q$1,'2018_commission_structure'!$A$1:$I$1,0)),0)</f>
        <v>31500</v>
      </c>
      <c r="R928" s="9">
        <f>IF($H928&gt;K928, MIN($H928-K928, L928-K928)*INDEX('2018_commission_structure'!$A$1:$I$4,MATCH($E928,'2018_commission_structure'!$A$1:$A$4,0),MATCH(R$1,'2018_commission_structure'!$A$1:$I$1,0)),0)</f>
        <v>3956.94</v>
      </c>
      <c r="S928" s="9">
        <f>IF(H928&gt;L928,(H928-L928)*INDEX('2018_commission_structure'!$A$1:$I$4,MATCH($E928,'2018_commission_structure'!$A$1:$A$4,0),MATCH(S$1,'2018_commission_structure'!$A$1:$I$1,0)),0)</f>
        <v>0</v>
      </c>
      <c r="T928" s="9">
        <f t="shared" si="148"/>
        <v>138956.94</v>
      </c>
      <c r="U928" s="9">
        <f t="shared" si="140"/>
        <v>206159.94</v>
      </c>
      <c r="V928" s="9">
        <f>MIN($I928,$H928)*INDEX('Key Metrics'!$E$16:$N$19,MATCH($E928,'Key Metrics'!$E$16:$E$19,0),MATCH(V$1,'Key Metrics'!$E$16:$M$16,0))</f>
        <v>90000</v>
      </c>
      <c r="W928" s="9">
        <f>IF($H928&gt;I928, MIN($H928-I928, J928-I928)*INDEX('Key Metrics'!$E$16:$N$19,MATCH($E928,'Key Metrics'!$E$16:$E$19,0),MATCH(W$1,'Key Metrics'!$E$16:$M$16,0)),0)</f>
        <v>27000</v>
      </c>
      <c r="X928" s="9">
        <f>IF($H928&gt;J928, MIN($H928-J928, K928-J928)*INDEX('Key Metrics'!$E$16:$N$19,MATCH($E928,'Key Metrics'!$E$16:$E$19,0),MATCH(X$1,'Key Metrics'!$E$16:$M$16,0)),0)</f>
        <v>37500</v>
      </c>
      <c r="Y928" s="9">
        <f>IF($H928&gt;K928, MIN($H928-K928, L928-K928)*INDEX('Key Metrics'!$E$16:$N$19,MATCH($E928,'Key Metrics'!$E$16:$E$19,0),MATCH(Y$1,'Key Metrics'!$E$16:$M$16,0)),0)</f>
        <v>4565.7</v>
      </c>
      <c r="Z928" s="9">
        <f>IF($H928&gt;L928,($H928-L928)*INDEX('Key Metrics'!$E$16:$N$19,MATCH($E928,'Key Metrics'!$E$16:$E$19,0),MATCH(Z$1,'Key Metrics'!$E$16:$M$16,0)),0)</f>
        <v>0</v>
      </c>
      <c r="AA928" s="9">
        <f t="shared" si="149"/>
        <v>159065.70000000001</v>
      </c>
      <c r="AB928" s="9">
        <f t="shared" si="141"/>
        <v>159067.22536500002</v>
      </c>
    </row>
    <row r="929" spans="1:28" x14ac:dyDescent="0.55000000000000004">
      <c r="A929" t="str">
        <f t="shared" si="142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COUNTIF(deals_closed!$D$2:$D$20001,Calculations!B669)</f>
        <v>19</v>
      </c>
      <c r="H929" s="7">
        <f>SUMIF(deals_closed!$D:$D,Calculations!B669,deals_closed!$C:$C)</f>
        <v>637085</v>
      </c>
      <c r="I929" s="5">
        <f>VLOOKUP(E929,'2018_commission_structure'!$A$1:$I$4,9,FALSE)</f>
        <v>600000</v>
      </c>
      <c r="J929" s="9">
        <f t="shared" si="143"/>
        <v>750000</v>
      </c>
      <c r="K929" s="10">
        <f t="shared" si="144"/>
        <v>900000</v>
      </c>
      <c r="L929" s="9">
        <f t="shared" si="145"/>
        <v>1200000</v>
      </c>
      <c r="M929" s="8">
        <f t="shared" si="146"/>
        <v>1.0618083333333332</v>
      </c>
      <c r="N929" t="str">
        <f t="shared" si="147"/>
        <v>100-125%</v>
      </c>
      <c r="O929" s="9">
        <f>MIN($H929,$I929)*INDEX('2018_commission_structure'!$A$1:$I$4,MATCH($E929,'2018_commission_structure'!$A$1:$A$4,0),MATCH(O$1,'2018_commission_structure'!$A$1:$I$1,0))</f>
        <v>78000</v>
      </c>
      <c r="P929" s="9">
        <f>IF(H929&gt;I929, MIN(H929-I929, J929-I929)*INDEX('2018_commission_structure'!$A$1:$I$4,MATCH($E929,'2018_commission_structure'!$A$1:$A$4,0),MATCH(P$1,'2018_commission_structure'!$A$1:$I$1,0)),0)</f>
        <v>6304.4500000000007</v>
      </c>
      <c r="Q929" s="9">
        <f>IF($H929&gt;J929, MIN($H929-J929, K929-J929)*INDEX('2018_commission_structure'!$A$1:$I$4,MATCH($E929,'2018_commission_structure'!$A$1:$A$4,0),MATCH(Q$1,'2018_commission_structure'!$A$1:$I$1,0)),0)</f>
        <v>0</v>
      </c>
      <c r="R929" s="9">
        <f>IF($H929&gt;K929, MIN($H929-K929, L929-K929)*INDEX('2018_commission_structure'!$A$1:$I$4,MATCH($E929,'2018_commission_structure'!$A$1:$A$4,0),MATCH(R$1,'2018_commission_structure'!$A$1:$I$1,0)),0)</f>
        <v>0</v>
      </c>
      <c r="S929" s="9">
        <f>IF(H929&gt;L929,(H929-L929)*INDEX('2018_commission_structure'!$A$1:$I$4,MATCH($E929,'2018_commission_structure'!$A$1:$A$4,0),MATCH(S$1,'2018_commission_structure'!$A$1:$I$1,0)),0)</f>
        <v>0</v>
      </c>
      <c r="T929" s="9">
        <f t="shared" si="148"/>
        <v>84304.45</v>
      </c>
      <c r="U929" s="9">
        <f t="shared" si="140"/>
        <v>141451.45000000001</v>
      </c>
      <c r="V929" s="9">
        <f>MIN($I929,$H929)*INDEX('Key Metrics'!$E$16:$N$19,MATCH($E929,'Key Metrics'!$E$16:$E$19,0),MATCH(V$1,'Key Metrics'!$E$16:$M$16,0))</f>
        <v>90000</v>
      </c>
      <c r="W929" s="9">
        <f>IF($H929&gt;I929, MIN($H929-I929, J929-I929)*INDEX('Key Metrics'!$E$16:$N$19,MATCH($E929,'Key Metrics'!$E$16:$E$19,0),MATCH(W$1,'Key Metrics'!$E$16:$M$16,0)),0)</f>
        <v>6675.3</v>
      </c>
      <c r="X929" s="9">
        <f>IF($H929&gt;J929, MIN($H929-J929, K929-J929)*INDEX('Key Metrics'!$E$16:$N$19,MATCH($E929,'Key Metrics'!$E$16:$E$19,0),MATCH(X$1,'Key Metrics'!$E$16:$M$16,0)),0)</f>
        <v>0</v>
      </c>
      <c r="Y929" s="9">
        <f>IF($H929&gt;K929, MIN($H929-K929, L929-K929)*INDEX('Key Metrics'!$E$16:$N$19,MATCH($E929,'Key Metrics'!$E$16:$E$19,0),MATCH(Y$1,'Key Metrics'!$E$16:$M$16,0)),0)</f>
        <v>0</v>
      </c>
      <c r="Z929" s="9">
        <f>IF($H929&gt;L929,($H929-L929)*INDEX('Key Metrics'!$E$16:$N$19,MATCH($E929,'Key Metrics'!$E$16:$E$19,0),MATCH(Z$1,'Key Metrics'!$E$16:$M$16,0)),0)</f>
        <v>0</v>
      </c>
      <c r="AA929" s="9">
        <f t="shared" si="149"/>
        <v>96675.3</v>
      </c>
      <c r="AB929" s="9">
        <f t="shared" si="141"/>
        <v>96676.361808333342</v>
      </c>
    </row>
    <row r="930" spans="1:28" x14ac:dyDescent="0.55000000000000004">
      <c r="A930" t="str">
        <f t="shared" si="142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COUNTIF(deals_closed!$D$2:$D$20001,Calculations!B276)</f>
        <v>23</v>
      </c>
      <c r="H930" s="7">
        <f>SUMIF(deals_closed!$D:$D,Calculations!B276,deals_closed!$C:$C)</f>
        <v>876325</v>
      </c>
      <c r="I930" s="5">
        <f>VLOOKUP(E930,'2018_commission_structure'!$A$1:$I$4,9,FALSE)</f>
        <v>600000</v>
      </c>
      <c r="J930" s="9">
        <f t="shared" si="143"/>
        <v>750000</v>
      </c>
      <c r="K930" s="10">
        <f t="shared" si="144"/>
        <v>900000</v>
      </c>
      <c r="L930" s="9">
        <f t="shared" si="145"/>
        <v>1200000</v>
      </c>
      <c r="M930" s="8">
        <f t="shared" si="146"/>
        <v>1.4605416666666666</v>
      </c>
      <c r="N930" t="str">
        <f t="shared" si="147"/>
        <v>125-150%</v>
      </c>
      <c r="O930" s="9">
        <f>MIN($H930,$I930)*INDEX('2018_commission_structure'!$A$1:$I$4,MATCH($E930,'2018_commission_structure'!$A$1:$A$4,0),MATCH(O$1,'2018_commission_structure'!$A$1:$I$1,0))</f>
        <v>78000</v>
      </c>
      <c r="P930" s="9">
        <f>IF(H930&gt;I930, MIN(H930-I930, J930-I930)*INDEX('2018_commission_structure'!$A$1:$I$4,MATCH($E930,'2018_commission_structure'!$A$1:$A$4,0),MATCH(P$1,'2018_commission_structure'!$A$1:$I$1,0)),0)</f>
        <v>25500.000000000004</v>
      </c>
      <c r="Q930" s="9">
        <f>IF($H930&gt;J930, MIN($H930-J930, K930-J930)*INDEX('2018_commission_structure'!$A$1:$I$4,MATCH($E930,'2018_commission_structure'!$A$1:$A$4,0),MATCH(Q$1,'2018_commission_structure'!$A$1:$I$1,0)),0)</f>
        <v>26528.25</v>
      </c>
      <c r="R930" s="9">
        <f>IF($H930&gt;K930, MIN($H930-K930, L930-K930)*INDEX('2018_commission_structure'!$A$1:$I$4,MATCH($E930,'2018_commission_structure'!$A$1:$A$4,0),MATCH(R$1,'2018_commission_structure'!$A$1:$I$1,0)),0)</f>
        <v>0</v>
      </c>
      <c r="S930" s="9">
        <f>IF(H930&gt;L930,(H930-L930)*INDEX('2018_commission_structure'!$A$1:$I$4,MATCH($E930,'2018_commission_structure'!$A$1:$A$4,0),MATCH(S$1,'2018_commission_structure'!$A$1:$I$1,0)),0)</f>
        <v>0</v>
      </c>
      <c r="T930" s="9">
        <f t="shared" si="148"/>
        <v>130028.25</v>
      </c>
      <c r="U930" s="9">
        <f t="shared" ref="U930:U993" si="150">F930+T930</f>
        <v>201689.25</v>
      </c>
      <c r="V930" s="9">
        <f>MIN($I930,$H930)*INDEX('Key Metrics'!$E$16:$N$19,MATCH($E930,'Key Metrics'!$E$16:$E$19,0),MATCH(V$1,'Key Metrics'!$E$16:$M$16,0))</f>
        <v>90000</v>
      </c>
      <c r="W930" s="9">
        <f>IF($H930&gt;I930, MIN($H930-I930, J930-I930)*INDEX('Key Metrics'!$E$16:$N$19,MATCH($E930,'Key Metrics'!$E$16:$E$19,0),MATCH(W$1,'Key Metrics'!$E$16:$M$16,0)),0)</f>
        <v>27000</v>
      </c>
      <c r="X930" s="9">
        <f>IF($H930&gt;J930, MIN($H930-J930, K930-J930)*INDEX('Key Metrics'!$E$16:$N$19,MATCH($E930,'Key Metrics'!$E$16:$E$19,0),MATCH(X$1,'Key Metrics'!$E$16:$M$16,0)),0)</f>
        <v>31581.25</v>
      </c>
      <c r="Y930" s="9">
        <f>IF($H930&gt;K930, MIN($H930-K930, L930-K930)*INDEX('Key Metrics'!$E$16:$N$19,MATCH($E930,'Key Metrics'!$E$16:$E$19,0),MATCH(Y$1,'Key Metrics'!$E$16:$M$16,0)),0)</f>
        <v>0</v>
      </c>
      <c r="Z930" s="9">
        <f>IF($H930&gt;L930,($H930-L930)*INDEX('Key Metrics'!$E$16:$N$19,MATCH($E930,'Key Metrics'!$E$16:$E$19,0),MATCH(Z$1,'Key Metrics'!$E$16:$M$16,0)),0)</f>
        <v>0</v>
      </c>
      <c r="AA930" s="9">
        <f t="shared" si="149"/>
        <v>148581.25</v>
      </c>
      <c r="AB930" s="9">
        <f t="shared" ref="AB930:AB993" si="151">M930+AA930</f>
        <v>148582.71054166666</v>
      </c>
    </row>
    <row r="931" spans="1:28" x14ac:dyDescent="0.55000000000000004">
      <c r="A931" t="str">
        <f t="shared" si="142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COUNTIF(deals_closed!$D$2:$D$20001,Calculations!B3)</f>
        <v>25</v>
      </c>
      <c r="H931" s="7">
        <f>SUMIF(deals_closed!$D:$D,Calculations!B3,deals_closed!$C:$C)</f>
        <v>891412</v>
      </c>
      <c r="I931" s="5">
        <f>VLOOKUP(E931,'2018_commission_structure'!$A$1:$I$4,9,FALSE)</f>
        <v>750000</v>
      </c>
      <c r="J931" s="9">
        <f t="shared" si="143"/>
        <v>937500</v>
      </c>
      <c r="K931" s="10">
        <f t="shared" si="144"/>
        <v>1125000</v>
      </c>
      <c r="L931" s="9">
        <f t="shared" si="145"/>
        <v>1500000</v>
      </c>
      <c r="M931" s="8">
        <f t="shared" si="146"/>
        <v>1.1885493333333332</v>
      </c>
      <c r="N931" t="str">
        <f t="shared" si="147"/>
        <v>100-125%</v>
      </c>
      <c r="O931" s="9">
        <f>MIN($H931,$I931)*INDEX('2018_commission_structure'!$A$1:$I$4,MATCH($E931,'2018_commission_structure'!$A$1:$A$4,0),MATCH(O$1,'2018_commission_structure'!$A$1:$I$1,0))</f>
        <v>112500</v>
      </c>
      <c r="P931" s="9">
        <f>IF(H931&gt;I931, MIN(H931-I931, J931-I931)*INDEX('2018_commission_structure'!$A$1:$I$4,MATCH($E931,'2018_commission_structure'!$A$1:$A$4,0),MATCH(P$1,'2018_commission_structure'!$A$1:$I$1,0)),0)</f>
        <v>26868.28</v>
      </c>
      <c r="Q931" s="9">
        <f>IF($H931&gt;J931, MIN($H931-J931, K931-J931)*INDEX('2018_commission_structure'!$A$1:$I$4,MATCH($E931,'2018_commission_structure'!$A$1:$A$4,0),MATCH(Q$1,'2018_commission_structure'!$A$1:$I$1,0)),0)</f>
        <v>0</v>
      </c>
      <c r="R931" s="9">
        <f>IF($H931&gt;K931, MIN($H931-K931, L931-K931)*INDEX('2018_commission_structure'!$A$1:$I$4,MATCH($E931,'2018_commission_structure'!$A$1:$A$4,0),MATCH(R$1,'2018_commission_structure'!$A$1:$I$1,0)),0)</f>
        <v>0</v>
      </c>
      <c r="S931" s="9">
        <f>IF(H931&gt;L931,(H931-L931)*INDEX('2018_commission_structure'!$A$1:$I$4,MATCH($E931,'2018_commission_structure'!$A$1:$A$4,0),MATCH(S$1,'2018_commission_structure'!$A$1:$I$1,0)),0)</f>
        <v>0</v>
      </c>
      <c r="T931" s="9">
        <f t="shared" si="148"/>
        <v>139368.28</v>
      </c>
      <c r="U931" s="9">
        <f t="shared" si="150"/>
        <v>220128.28</v>
      </c>
      <c r="V931" s="9">
        <f>MIN($I931,$H931)*INDEX('Key Metrics'!$E$16:$N$19,MATCH($E931,'Key Metrics'!$E$16:$E$19,0),MATCH(V$1,'Key Metrics'!$E$16:$M$16,0))</f>
        <v>112500</v>
      </c>
      <c r="W931" s="9">
        <f>IF($H931&gt;I931, MIN($H931-I931, J931-I931)*INDEX('Key Metrics'!$E$16:$N$19,MATCH($E931,'Key Metrics'!$E$16:$E$19,0),MATCH(W$1,'Key Metrics'!$E$16:$M$16,0)),0)</f>
        <v>31110.639999999999</v>
      </c>
      <c r="X931" s="9">
        <f>IF($H931&gt;J931, MIN($H931-J931, K931-J931)*INDEX('Key Metrics'!$E$16:$N$19,MATCH($E931,'Key Metrics'!$E$16:$E$19,0),MATCH(X$1,'Key Metrics'!$E$16:$M$16,0)),0)</f>
        <v>0</v>
      </c>
      <c r="Y931" s="9">
        <f>IF($H931&gt;K931, MIN($H931-K931, L931-K931)*INDEX('Key Metrics'!$E$16:$N$19,MATCH($E931,'Key Metrics'!$E$16:$E$19,0),MATCH(Y$1,'Key Metrics'!$E$16:$M$16,0)),0)</f>
        <v>0</v>
      </c>
      <c r="Z931" s="9">
        <f>IF($H931&gt;L931,($H931-L931)*INDEX('Key Metrics'!$E$16:$N$19,MATCH($E931,'Key Metrics'!$E$16:$E$19,0),MATCH(Z$1,'Key Metrics'!$E$16:$M$16,0)),0)</f>
        <v>0</v>
      </c>
      <c r="AA931" s="9">
        <f t="shared" si="149"/>
        <v>143610.64000000001</v>
      </c>
      <c r="AB931" s="9">
        <f t="shared" si="151"/>
        <v>143611.82854933335</v>
      </c>
    </row>
    <row r="932" spans="1:28" x14ac:dyDescent="0.55000000000000004">
      <c r="A932" t="str">
        <f t="shared" si="142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COUNTIF(deals_closed!$D$2:$D$20001,Calculations!B364)</f>
        <v>21</v>
      </c>
      <c r="H932" s="7">
        <f>SUMIF(deals_closed!$D:$D,Calculations!B364,deals_closed!$C:$C)</f>
        <v>835084</v>
      </c>
      <c r="I932" s="5">
        <f>VLOOKUP(E932,'2018_commission_structure'!$A$1:$I$4,9,FALSE)</f>
        <v>600000</v>
      </c>
      <c r="J932" s="9">
        <f t="shared" si="143"/>
        <v>750000</v>
      </c>
      <c r="K932" s="10">
        <f t="shared" si="144"/>
        <v>900000</v>
      </c>
      <c r="L932" s="9">
        <f t="shared" si="145"/>
        <v>1200000</v>
      </c>
      <c r="M932" s="8">
        <f t="shared" si="146"/>
        <v>1.3918066666666666</v>
      </c>
      <c r="N932" t="str">
        <f t="shared" si="147"/>
        <v>125-150%</v>
      </c>
      <c r="O932" s="9">
        <f>MIN($H932,$I932)*INDEX('2018_commission_structure'!$A$1:$I$4,MATCH($E932,'2018_commission_structure'!$A$1:$A$4,0),MATCH(O$1,'2018_commission_structure'!$A$1:$I$1,0))</f>
        <v>78000</v>
      </c>
      <c r="P932" s="9">
        <f>IF(H932&gt;I932, MIN(H932-I932, J932-I932)*INDEX('2018_commission_structure'!$A$1:$I$4,MATCH($E932,'2018_commission_structure'!$A$1:$A$4,0),MATCH(P$1,'2018_commission_structure'!$A$1:$I$1,0)),0)</f>
        <v>25500.000000000004</v>
      </c>
      <c r="Q932" s="9">
        <f>IF($H932&gt;J932, MIN($H932-J932, K932-J932)*INDEX('2018_commission_structure'!$A$1:$I$4,MATCH($E932,'2018_commission_structure'!$A$1:$A$4,0),MATCH(Q$1,'2018_commission_structure'!$A$1:$I$1,0)),0)</f>
        <v>17867.64</v>
      </c>
      <c r="R932" s="9">
        <f>IF($H932&gt;K932, MIN($H932-K932, L932-K932)*INDEX('2018_commission_structure'!$A$1:$I$4,MATCH($E932,'2018_commission_structure'!$A$1:$A$4,0),MATCH(R$1,'2018_commission_structure'!$A$1:$I$1,0)),0)</f>
        <v>0</v>
      </c>
      <c r="S932" s="9">
        <f>IF(H932&gt;L932,(H932-L932)*INDEX('2018_commission_structure'!$A$1:$I$4,MATCH($E932,'2018_commission_structure'!$A$1:$A$4,0),MATCH(S$1,'2018_commission_structure'!$A$1:$I$1,0)),0)</f>
        <v>0</v>
      </c>
      <c r="T932" s="9">
        <f t="shared" si="148"/>
        <v>121367.64</v>
      </c>
      <c r="U932" s="9">
        <f t="shared" si="150"/>
        <v>194065.64</v>
      </c>
      <c r="V932" s="9">
        <f>MIN($I932,$H932)*INDEX('Key Metrics'!$E$16:$N$19,MATCH($E932,'Key Metrics'!$E$16:$E$19,0),MATCH(V$1,'Key Metrics'!$E$16:$M$16,0))</f>
        <v>90000</v>
      </c>
      <c r="W932" s="9">
        <f>IF($H932&gt;I932, MIN($H932-I932, J932-I932)*INDEX('Key Metrics'!$E$16:$N$19,MATCH($E932,'Key Metrics'!$E$16:$E$19,0),MATCH(W$1,'Key Metrics'!$E$16:$M$16,0)),0)</f>
        <v>27000</v>
      </c>
      <c r="X932" s="9">
        <f>IF($H932&gt;J932, MIN($H932-J932, K932-J932)*INDEX('Key Metrics'!$E$16:$N$19,MATCH($E932,'Key Metrics'!$E$16:$E$19,0),MATCH(X$1,'Key Metrics'!$E$16:$M$16,0)),0)</f>
        <v>21271</v>
      </c>
      <c r="Y932" s="9">
        <f>IF($H932&gt;K932, MIN($H932-K932, L932-K932)*INDEX('Key Metrics'!$E$16:$N$19,MATCH($E932,'Key Metrics'!$E$16:$E$19,0),MATCH(Y$1,'Key Metrics'!$E$16:$M$16,0)),0)</f>
        <v>0</v>
      </c>
      <c r="Z932" s="9">
        <f>IF($H932&gt;L932,($H932-L932)*INDEX('Key Metrics'!$E$16:$N$19,MATCH($E932,'Key Metrics'!$E$16:$E$19,0),MATCH(Z$1,'Key Metrics'!$E$16:$M$16,0)),0)</f>
        <v>0</v>
      </c>
      <c r="AA932" s="9">
        <f t="shared" si="149"/>
        <v>138271</v>
      </c>
      <c r="AB932" s="9">
        <f t="shared" si="151"/>
        <v>138272.39180666668</v>
      </c>
    </row>
    <row r="933" spans="1:28" x14ac:dyDescent="0.55000000000000004">
      <c r="A933" t="str">
        <f t="shared" si="142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COUNTIF(deals_closed!$D$2:$D$20001,Calculations!B524)</f>
        <v>27</v>
      </c>
      <c r="H933" s="7">
        <f>SUMIF(deals_closed!$D:$D,Calculations!B524,deals_closed!$C:$C)</f>
        <v>939740</v>
      </c>
      <c r="I933" s="5">
        <f>VLOOKUP(E933,'2018_commission_structure'!$A$1:$I$4,9,FALSE)</f>
        <v>600000</v>
      </c>
      <c r="J933" s="9">
        <f t="shared" si="143"/>
        <v>750000</v>
      </c>
      <c r="K933" s="10">
        <f t="shared" si="144"/>
        <v>900000</v>
      </c>
      <c r="L933" s="9">
        <f t="shared" si="145"/>
        <v>1200000</v>
      </c>
      <c r="M933" s="8">
        <f t="shared" si="146"/>
        <v>1.5662333333333334</v>
      </c>
      <c r="N933" t="str">
        <f t="shared" si="147"/>
        <v>150-200%</v>
      </c>
      <c r="O933" s="9">
        <f>MIN($H933,$I933)*INDEX('2018_commission_structure'!$A$1:$I$4,MATCH($E933,'2018_commission_structure'!$A$1:$A$4,0),MATCH(O$1,'2018_commission_structure'!$A$1:$I$1,0))</f>
        <v>78000</v>
      </c>
      <c r="P933" s="9">
        <f>IF(H933&gt;I933, MIN(H933-I933, J933-I933)*INDEX('2018_commission_structure'!$A$1:$I$4,MATCH($E933,'2018_commission_structure'!$A$1:$A$4,0),MATCH(P$1,'2018_commission_structure'!$A$1:$I$1,0)),0)</f>
        <v>25500.000000000004</v>
      </c>
      <c r="Q933" s="9">
        <f>IF($H933&gt;J933, MIN($H933-J933, K933-J933)*INDEX('2018_commission_structure'!$A$1:$I$4,MATCH($E933,'2018_commission_structure'!$A$1:$A$4,0),MATCH(Q$1,'2018_commission_structure'!$A$1:$I$1,0)),0)</f>
        <v>31500</v>
      </c>
      <c r="R933" s="9">
        <f>IF($H933&gt;K933, MIN($H933-K933, L933-K933)*INDEX('2018_commission_structure'!$A$1:$I$4,MATCH($E933,'2018_commission_structure'!$A$1:$A$4,0),MATCH(R$1,'2018_commission_structure'!$A$1:$I$1,0)),0)</f>
        <v>10332.4</v>
      </c>
      <c r="S933" s="9">
        <f>IF(H933&gt;L933,(H933-L933)*INDEX('2018_commission_structure'!$A$1:$I$4,MATCH($E933,'2018_commission_structure'!$A$1:$A$4,0),MATCH(S$1,'2018_commission_structure'!$A$1:$I$1,0)),0)</f>
        <v>0</v>
      </c>
      <c r="T933" s="9">
        <f t="shared" si="148"/>
        <v>145332.4</v>
      </c>
      <c r="U933" s="9">
        <f t="shared" si="150"/>
        <v>223204.4</v>
      </c>
      <c r="V933" s="9">
        <f>MIN($I933,$H933)*INDEX('Key Metrics'!$E$16:$N$19,MATCH($E933,'Key Metrics'!$E$16:$E$19,0),MATCH(V$1,'Key Metrics'!$E$16:$M$16,0))</f>
        <v>90000</v>
      </c>
      <c r="W933" s="9">
        <f>IF($H933&gt;I933, MIN($H933-I933, J933-I933)*INDEX('Key Metrics'!$E$16:$N$19,MATCH($E933,'Key Metrics'!$E$16:$E$19,0),MATCH(W$1,'Key Metrics'!$E$16:$M$16,0)),0)</f>
        <v>27000</v>
      </c>
      <c r="X933" s="9">
        <f>IF($H933&gt;J933, MIN($H933-J933, K933-J933)*INDEX('Key Metrics'!$E$16:$N$19,MATCH($E933,'Key Metrics'!$E$16:$E$19,0),MATCH(X$1,'Key Metrics'!$E$16:$M$16,0)),0)</f>
        <v>37500</v>
      </c>
      <c r="Y933" s="9">
        <f>IF($H933&gt;K933, MIN($H933-K933, L933-K933)*INDEX('Key Metrics'!$E$16:$N$19,MATCH($E933,'Key Metrics'!$E$16:$E$19,0),MATCH(Y$1,'Key Metrics'!$E$16:$M$16,0)),0)</f>
        <v>11922</v>
      </c>
      <c r="Z933" s="9">
        <f>IF($H933&gt;L933,($H933-L933)*INDEX('Key Metrics'!$E$16:$N$19,MATCH($E933,'Key Metrics'!$E$16:$E$19,0),MATCH(Z$1,'Key Metrics'!$E$16:$M$16,0)),0)</f>
        <v>0</v>
      </c>
      <c r="AA933" s="9">
        <f t="shared" si="149"/>
        <v>166422</v>
      </c>
      <c r="AB933" s="9">
        <f t="shared" si="151"/>
        <v>166423.56623333335</v>
      </c>
    </row>
    <row r="934" spans="1:28" x14ac:dyDescent="0.55000000000000004">
      <c r="A934" t="str">
        <f t="shared" si="142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COUNTIF(deals_closed!$D$2:$D$20001,Calculations!B820)</f>
        <v>13</v>
      </c>
      <c r="H934" s="7">
        <f>SUMIF(deals_closed!$D:$D,Calculations!B820,deals_closed!$C:$C)</f>
        <v>455822</v>
      </c>
      <c r="I934" s="5">
        <f>VLOOKUP(E934,'2018_commission_structure'!$A$1:$I$4,9,FALSE)</f>
        <v>750000</v>
      </c>
      <c r="J934" s="9">
        <f t="shared" si="143"/>
        <v>937500</v>
      </c>
      <c r="K934" s="10">
        <f t="shared" si="144"/>
        <v>1125000</v>
      </c>
      <c r="L934" s="9">
        <f t="shared" si="145"/>
        <v>1500000</v>
      </c>
      <c r="M934" s="8">
        <f t="shared" si="146"/>
        <v>0.60776266666666667</v>
      </c>
      <c r="N934" t="str">
        <f t="shared" si="147"/>
        <v>0-100%</v>
      </c>
      <c r="O934" s="9">
        <f>MIN($H934,$I934)*INDEX('2018_commission_structure'!$A$1:$I$4,MATCH($E934,'2018_commission_structure'!$A$1:$A$4,0),MATCH(O$1,'2018_commission_structure'!$A$1:$I$1,0))</f>
        <v>68373.3</v>
      </c>
      <c r="P934" s="9">
        <f>IF(H934&gt;I934, MIN(H934-I934, J934-I934)*INDEX('2018_commission_structure'!$A$1:$I$4,MATCH($E934,'2018_commission_structure'!$A$1:$A$4,0),MATCH(P$1,'2018_commission_structure'!$A$1:$I$1,0)),0)</f>
        <v>0</v>
      </c>
      <c r="Q934" s="9">
        <f>IF($H934&gt;J934, MIN($H934-J934, K934-J934)*INDEX('2018_commission_structure'!$A$1:$I$4,MATCH($E934,'2018_commission_structure'!$A$1:$A$4,0),MATCH(Q$1,'2018_commission_structure'!$A$1:$I$1,0)),0)</f>
        <v>0</v>
      </c>
      <c r="R934" s="9">
        <f>IF($H934&gt;K934, MIN($H934-K934, L934-K934)*INDEX('2018_commission_structure'!$A$1:$I$4,MATCH($E934,'2018_commission_structure'!$A$1:$A$4,0),MATCH(R$1,'2018_commission_structure'!$A$1:$I$1,0)),0)</f>
        <v>0</v>
      </c>
      <c r="S934" s="9">
        <f>IF(H934&gt;L934,(H934-L934)*INDEX('2018_commission_structure'!$A$1:$I$4,MATCH($E934,'2018_commission_structure'!$A$1:$A$4,0),MATCH(S$1,'2018_commission_structure'!$A$1:$I$1,0)),0)</f>
        <v>0</v>
      </c>
      <c r="T934" s="9">
        <f t="shared" si="148"/>
        <v>68373.3</v>
      </c>
      <c r="U934" s="9">
        <f t="shared" si="150"/>
        <v>160137.29999999999</v>
      </c>
      <c r="V934" s="9">
        <f>MIN($I934,$H934)*INDEX('Key Metrics'!$E$16:$N$19,MATCH($E934,'Key Metrics'!$E$16:$E$19,0),MATCH(V$1,'Key Metrics'!$E$16:$M$16,0))</f>
        <v>68373.3</v>
      </c>
      <c r="W934" s="9">
        <f>IF($H934&gt;I934, MIN($H934-I934, J934-I934)*INDEX('Key Metrics'!$E$16:$N$19,MATCH($E934,'Key Metrics'!$E$16:$E$19,0),MATCH(W$1,'Key Metrics'!$E$16:$M$16,0)),0)</f>
        <v>0</v>
      </c>
      <c r="X934" s="9">
        <f>IF($H934&gt;J934, MIN($H934-J934, K934-J934)*INDEX('Key Metrics'!$E$16:$N$19,MATCH($E934,'Key Metrics'!$E$16:$E$19,0),MATCH(X$1,'Key Metrics'!$E$16:$M$16,0)),0)</f>
        <v>0</v>
      </c>
      <c r="Y934" s="9">
        <f>IF($H934&gt;K934, MIN($H934-K934, L934-K934)*INDEX('Key Metrics'!$E$16:$N$19,MATCH($E934,'Key Metrics'!$E$16:$E$19,0),MATCH(Y$1,'Key Metrics'!$E$16:$M$16,0)),0)</f>
        <v>0</v>
      </c>
      <c r="Z934" s="9">
        <f>IF($H934&gt;L934,($H934-L934)*INDEX('Key Metrics'!$E$16:$N$19,MATCH($E934,'Key Metrics'!$E$16:$E$19,0),MATCH(Z$1,'Key Metrics'!$E$16:$M$16,0)),0)</f>
        <v>0</v>
      </c>
      <c r="AA934" s="9">
        <f t="shared" si="149"/>
        <v>68373.3</v>
      </c>
      <c r="AB934" s="9">
        <f t="shared" si="151"/>
        <v>68373.907762666669</v>
      </c>
    </row>
    <row r="935" spans="1:28" x14ac:dyDescent="0.55000000000000004">
      <c r="A935" t="str">
        <f t="shared" si="142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COUNTIF(deals_closed!$D$2:$D$20001,Calculations!B594)</f>
        <v>10</v>
      </c>
      <c r="H935" s="7">
        <f>SUMIF(deals_closed!$D:$D,Calculations!B594,deals_closed!$C:$C)</f>
        <v>351514</v>
      </c>
      <c r="I935" s="5">
        <f>VLOOKUP(E935,'2018_commission_structure'!$A$1:$I$4,9,FALSE)</f>
        <v>750000</v>
      </c>
      <c r="J935" s="9">
        <f t="shared" si="143"/>
        <v>937500</v>
      </c>
      <c r="K935" s="10">
        <f t="shared" si="144"/>
        <v>1125000</v>
      </c>
      <c r="L935" s="9">
        <f t="shared" si="145"/>
        <v>1500000</v>
      </c>
      <c r="M935" s="8">
        <f t="shared" si="146"/>
        <v>0.46868533333333334</v>
      </c>
      <c r="N935" t="str">
        <f t="shared" si="147"/>
        <v>0-100%</v>
      </c>
      <c r="O935" s="9">
        <f>MIN($H935,$I935)*INDEX('2018_commission_structure'!$A$1:$I$4,MATCH($E935,'2018_commission_structure'!$A$1:$A$4,0),MATCH(O$1,'2018_commission_structure'!$A$1:$I$1,0))</f>
        <v>52727.1</v>
      </c>
      <c r="P935" s="9">
        <f>IF(H935&gt;I935, MIN(H935-I935, J935-I935)*INDEX('2018_commission_structure'!$A$1:$I$4,MATCH($E935,'2018_commission_structure'!$A$1:$A$4,0),MATCH(P$1,'2018_commission_structure'!$A$1:$I$1,0)),0)</f>
        <v>0</v>
      </c>
      <c r="Q935" s="9">
        <f>IF($H935&gt;J935, MIN($H935-J935, K935-J935)*INDEX('2018_commission_structure'!$A$1:$I$4,MATCH($E935,'2018_commission_structure'!$A$1:$A$4,0),MATCH(Q$1,'2018_commission_structure'!$A$1:$I$1,0)),0)</f>
        <v>0</v>
      </c>
      <c r="R935" s="9">
        <f>IF($H935&gt;K935, MIN($H935-K935, L935-K935)*INDEX('2018_commission_structure'!$A$1:$I$4,MATCH($E935,'2018_commission_structure'!$A$1:$A$4,0),MATCH(R$1,'2018_commission_structure'!$A$1:$I$1,0)),0)</f>
        <v>0</v>
      </c>
      <c r="S935" s="9">
        <f>IF(H935&gt;L935,(H935-L935)*INDEX('2018_commission_structure'!$A$1:$I$4,MATCH($E935,'2018_commission_structure'!$A$1:$A$4,0),MATCH(S$1,'2018_commission_structure'!$A$1:$I$1,0)),0)</f>
        <v>0</v>
      </c>
      <c r="T935" s="9">
        <f t="shared" si="148"/>
        <v>52727.1</v>
      </c>
      <c r="U935" s="9">
        <f t="shared" si="150"/>
        <v>161172.1</v>
      </c>
      <c r="V935" s="9">
        <f>MIN($I935,$H935)*INDEX('Key Metrics'!$E$16:$N$19,MATCH($E935,'Key Metrics'!$E$16:$E$19,0),MATCH(V$1,'Key Metrics'!$E$16:$M$16,0))</f>
        <v>52727.1</v>
      </c>
      <c r="W935" s="9">
        <f>IF($H935&gt;I935, MIN($H935-I935, J935-I935)*INDEX('Key Metrics'!$E$16:$N$19,MATCH($E935,'Key Metrics'!$E$16:$E$19,0),MATCH(W$1,'Key Metrics'!$E$16:$M$16,0)),0)</f>
        <v>0</v>
      </c>
      <c r="X935" s="9">
        <f>IF($H935&gt;J935, MIN($H935-J935, K935-J935)*INDEX('Key Metrics'!$E$16:$N$19,MATCH($E935,'Key Metrics'!$E$16:$E$19,0),MATCH(X$1,'Key Metrics'!$E$16:$M$16,0)),0)</f>
        <v>0</v>
      </c>
      <c r="Y935" s="9">
        <f>IF($H935&gt;K935, MIN($H935-K935, L935-K935)*INDEX('Key Metrics'!$E$16:$N$19,MATCH($E935,'Key Metrics'!$E$16:$E$19,0),MATCH(Y$1,'Key Metrics'!$E$16:$M$16,0)),0)</f>
        <v>0</v>
      </c>
      <c r="Z935" s="9">
        <f>IF($H935&gt;L935,($H935-L935)*INDEX('Key Metrics'!$E$16:$N$19,MATCH($E935,'Key Metrics'!$E$16:$E$19,0),MATCH(Z$1,'Key Metrics'!$E$16:$M$16,0)),0)</f>
        <v>0</v>
      </c>
      <c r="AA935" s="9">
        <f t="shared" si="149"/>
        <v>52727.1</v>
      </c>
      <c r="AB935" s="9">
        <f t="shared" si="151"/>
        <v>52727.568685333332</v>
      </c>
    </row>
    <row r="936" spans="1:28" x14ac:dyDescent="0.55000000000000004">
      <c r="A936" t="str">
        <f t="shared" si="142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COUNTIF(deals_closed!$D$2:$D$20001,Calculations!B333)</f>
        <v>20</v>
      </c>
      <c r="H936" s="7">
        <f>SUMIF(deals_closed!$D:$D,Calculations!B333,deals_closed!$C:$C)</f>
        <v>752931</v>
      </c>
      <c r="I936" s="5">
        <f>VLOOKUP(E936,'2018_commission_structure'!$A$1:$I$4,9,FALSE)</f>
        <v>500000</v>
      </c>
      <c r="J936" s="9">
        <f t="shared" si="143"/>
        <v>625000</v>
      </c>
      <c r="K936" s="10">
        <f t="shared" si="144"/>
        <v>750000</v>
      </c>
      <c r="L936" s="9">
        <f t="shared" si="145"/>
        <v>1000000</v>
      </c>
      <c r="M936" s="8">
        <f t="shared" si="146"/>
        <v>1.505862</v>
      </c>
      <c r="N936" t="str">
        <f t="shared" si="147"/>
        <v>150-200%</v>
      </c>
      <c r="O936" s="9">
        <f>MIN($H936,$I936)*INDEX('2018_commission_structure'!$A$1:$I$4,MATCH($E936,'2018_commission_structure'!$A$1:$A$4,0),MATCH(O$1,'2018_commission_structure'!$A$1:$I$1,0))</f>
        <v>50000</v>
      </c>
      <c r="P936" s="9">
        <f>IF(H936&gt;I936, MIN(H936-I936, J936-I936)*INDEX('2018_commission_structure'!$A$1:$I$4,MATCH($E936,'2018_commission_structure'!$A$1:$A$4,0),MATCH(P$1,'2018_commission_structure'!$A$1:$I$1,0)),0)</f>
        <v>18750</v>
      </c>
      <c r="Q936" s="9">
        <f>IF($H936&gt;J936, MIN($H936-J936, K936-J936)*INDEX('2018_commission_structure'!$A$1:$I$4,MATCH($E936,'2018_commission_structure'!$A$1:$A$4,0),MATCH(Q$1,'2018_commission_structure'!$A$1:$I$1,0)),0)</f>
        <v>22500</v>
      </c>
      <c r="R936" s="9">
        <f>IF($H936&gt;K936, MIN($H936-K936, L936-K936)*INDEX('2018_commission_structure'!$A$1:$I$4,MATCH($E936,'2018_commission_structure'!$A$1:$A$4,0),MATCH(R$1,'2018_commission_structure'!$A$1:$I$1,0)),0)</f>
        <v>644.82000000000005</v>
      </c>
      <c r="S936" s="9">
        <f>IF(H936&gt;L936,(H936-L936)*INDEX('2018_commission_structure'!$A$1:$I$4,MATCH($E936,'2018_commission_structure'!$A$1:$A$4,0),MATCH(S$1,'2018_commission_structure'!$A$1:$I$1,0)),0)</f>
        <v>0</v>
      </c>
      <c r="T936" s="9">
        <f t="shared" si="148"/>
        <v>91894.82</v>
      </c>
      <c r="U936" s="9">
        <f t="shared" si="150"/>
        <v>141589.82</v>
      </c>
      <c r="V936" s="9">
        <f>MIN($I936,$H936)*INDEX('Key Metrics'!$E$16:$N$19,MATCH($E936,'Key Metrics'!$E$16:$E$19,0),MATCH(V$1,'Key Metrics'!$E$16:$M$16,0))</f>
        <v>60000</v>
      </c>
      <c r="W936" s="9">
        <f>IF($H936&gt;I936, MIN($H936-I936, J936-I936)*INDEX('Key Metrics'!$E$16:$N$19,MATCH($E936,'Key Metrics'!$E$16:$E$19,0),MATCH(W$1,'Key Metrics'!$E$16:$M$16,0)),0)</f>
        <v>21250</v>
      </c>
      <c r="X936" s="9">
        <f>IF($H936&gt;J936, MIN($H936-J936, K936-J936)*INDEX('Key Metrics'!$E$16:$N$19,MATCH($E936,'Key Metrics'!$E$16:$E$19,0),MATCH(X$1,'Key Metrics'!$E$16:$M$16,0)),0)</f>
        <v>25000</v>
      </c>
      <c r="Y936" s="9">
        <f>IF($H936&gt;K936, MIN($H936-K936, L936-K936)*INDEX('Key Metrics'!$E$16:$N$19,MATCH($E936,'Key Metrics'!$E$16:$E$19,0),MATCH(Y$1,'Key Metrics'!$E$16:$M$16,0)),0)</f>
        <v>644.82000000000005</v>
      </c>
      <c r="Z936" s="9">
        <f>IF($H936&gt;L936,($H936-L936)*INDEX('Key Metrics'!$E$16:$N$19,MATCH($E936,'Key Metrics'!$E$16:$E$19,0),MATCH(Z$1,'Key Metrics'!$E$16:$M$16,0)),0)</f>
        <v>0</v>
      </c>
      <c r="AA936" s="9">
        <f t="shared" si="149"/>
        <v>106894.82</v>
      </c>
      <c r="AB936" s="9">
        <f t="shared" si="151"/>
        <v>106896.32586200001</v>
      </c>
    </row>
    <row r="937" spans="1:28" x14ac:dyDescent="0.55000000000000004">
      <c r="A937" t="str">
        <f t="shared" si="142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COUNTIF(deals_closed!$D$2:$D$20001,Calculations!B312)</f>
        <v>13</v>
      </c>
      <c r="H937" s="7">
        <f>SUMIF(deals_closed!$D:$D,Calculations!B312,deals_closed!$C:$C)</f>
        <v>437303</v>
      </c>
      <c r="I937" s="5">
        <f>VLOOKUP(E937,'2018_commission_structure'!$A$1:$I$4,9,FALSE)</f>
        <v>500000</v>
      </c>
      <c r="J937" s="9">
        <f t="shared" si="143"/>
        <v>625000</v>
      </c>
      <c r="K937" s="10">
        <f t="shared" si="144"/>
        <v>750000</v>
      </c>
      <c r="L937" s="9">
        <f t="shared" si="145"/>
        <v>1000000</v>
      </c>
      <c r="M937" s="8">
        <f t="shared" si="146"/>
        <v>0.87460599999999999</v>
      </c>
      <c r="N937" t="str">
        <f t="shared" si="147"/>
        <v>0-100%</v>
      </c>
      <c r="O937" s="9">
        <f>MIN($H937,$I937)*INDEX('2018_commission_structure'!$A$1:$I$4,MATCH($E937,'2018_commission_structure'!$A$1:$A$4,0),MATCH(O$1,'2018_commission_structure'!$A$1:$I$1,0))</f>
        <v>43730.3</v>
      </c>
      <c r="P937" s="9">
        <f>IF(H937&gt;I937, MIN(H937-I937, J937-I937)*INDEX('2018_commission_structure'!$A$1:$I$4,MATCH($E937,'2018_commission_structure'!$A$1:$A$4,0),MATCH(P$1,'2018_commission_structure'!$A$1:$I$1,0)),0)</f>
        <v>0</v>
      </c>
      <c r="Q937" s="9">
        <f>IF($H937&gt;J937, MIN($H937-J937, K937-J937)*INDEX('2018_commission_structure'!$A$1:$I$4,MATCH($E937,'2018_commission_structure'!$A$1:$A$4,0),MATCH(Q$1,'2018_commission_structure'!$A$1:$I$1,0)),0)</f>
        <v>0</v>
      </c>
      <c r="R937" s="9">
        <f>IF($H937&gt;K937, MIN($H937-K937, L937-K937)*INDEX('2018_commission_structure'!$A$1:$I$4,MATCH($E937,'2018_commission_structure'!$A$1:$A$4,0),MATCH(R$1,'2018_commission_structure'!$A$1:$I$1,0)),0)</f>
        <v>0</v>
      </c>
      <c r="S937" s="9">
        <f>IF(H937&gt;L937,(H937-L937)*INDEX('2018_commission_structure'!$A$1:$I$4,MATCH($E937,'2018_commission_structure'!$A$1:$A$4,0),MATCH(S$1,'2018_commission_structure'!$A$1:$I$1,0)),0)</f>
        <v>0</v>
      </c>
      <c r="T937" s="9">
        <f t="shared" si="148"/>
        <v>43730.3</v>
      </c>
      <c r="U937" s="9">
        <f t="shared" si="150"/>
        <v>75917.3</v>
      </c>
      <c r="V937" s="9">
        <f>MIN($I937,$H937)*INDEX('Key Metrics'!$E$16:$N$19,MATCH($E937,'Key Metrics'!$E$16:$E$19,0),MATCH(V$1,'Key Metrics'!$E$16:$M$16,0))</f>
        <v>52476.36</v>
      </c>
      <c r="W937" s="9">
        <f>IF($H937&gt;I937, MIN($H937-I937, J937-I937)*INDEX('Key Metrics'!$E$16:$N$19,MATCH($E937,'Key Metrics'!$E$16:$E$19,0),MATCH(W$1,'Key Metrics'!$E$16:$M$16,0)),0)</f>
        <v>0</v>
      </c>
      <c r="X937" s="9">
        <f>IF($H937&gt;J937, MIN($H937-J937, K937-J937)*INDEX('Key Metrics'!$E$16:$N$19,MATCH($E937,'Key Metrics'!$E$16:$E$19,0),MATCH(X$1,'Key Metrics'!$E$16:$M$16,0)),0)</f>
        <v>0</v>
      </c>
      <c r="Y937" s="9">
        <f>IF($H937&gt;K937, MIN($H937-K937, L937-K937)*INDEX('Key Metrics'!$E$16:$N$19,MATCH($E937,'Key Metrics'!$E$16:$E$19,0),MATCH(Y$1,'Key Metrics'!$E$16:$M$16,0)),0)</f>
        <v>0</v>
      </c>
      <c r="Z937" s="9">
        <f>IF($H937&gt;L937,($H937-L937)*INDEX('Key Metrics'!$E$16:$N$19,MATCH($E937,'Key Metrics'!$E$16:$E$19,0),MATCH(Z$1,'Key Metrics'!$E$16:$M$16,0)),0)</f>
        <v>0</v>
      </c>
      <c r="AA937" s="9">
        <f t="shared" si="149"/>
        <v>52476.36</v>
      </c>
      <c r="AB937" s="9">
        <f t="shared" si="151"/>
        <v>52477.234605999998</v>
      </c>
    </row>
    <row r="938" spans="1:28" x14ac:dyDescent="0.55000000000000004">
      <c r="A938" t="str">
        <f t="shared" si="142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COUNTIF(deals_closed!$D$2:$D$20001,Calculations!B610)</f>
        <v>15</v>
      </c>
      <c r="H938" s="7">
        <f>SUMIF(deals_closed!$D:$D,Calculations!B610,deals_closed!$C:$C)</f>
        <v>400606</v>
      </c>
      <c r="I938" s="5">
        <f>VLOOKUP(E938,'2018_commission_structure'!$A$1:$I$4,9,FALSE)</f>
        <v>750000</v>
      </c>
      <c r="J938" s="9">
        <f t="shared" si="143"/>
        <v>937500</v>
      </c>
      <c r="K938" s="10">
        <f t="shared" si="144"/>
        <v>1125000</v>
      </c>
      <c r="L938" s="9">
        <f t="shared" si="145"/>
        <v>1500000</v>
      </c>
      <c r="M938" s="8">
        <f t="shared" si="146"/>
        <v>0.53414133333333336</v>
      </c>
      <c r="N938" t="str">
        <f t="shared" si="147"/>
        <v>0-100%</v>
      </c>
      <c r="O938" s="9">
        <f>MIN($H938,$I938)*INDEX('2018_commission_structure'!$A$1:$I$4,MATCH($E938,'2018_commission_structure'!$A$1:$A$4,0),MATCH(O$1,'2018_commission_structure'!$A$1:$I$1,0))</f>
        <v>60090.899999999994</v>
      </c>
      <c r="P938" s="9">
        <f>IF(H938&gt;I938, MIN(H938-I938, J938-I938)*INDEX('2018_commission_structure'!$A$1:$I$4,MATCH($E938,'2018_commission_structure'!$A$1:$A$4,0),MATCH(P$1,'2018_commission_structure'!$A$1:$I$1,0)),0)</f>
        <v>0</v>
      </c>
      <c r="Q938" s="9">
        <f>IF($H938&gt;J938, MIN($H938-J938, K938-J938)*INDEX('2018_commission_structure'!$A$1:$I$4,MATCH($E938,'2018_commission_structure'!$A$1:$A$4,0),MATCH(Q$1,'2018_commission_structure'!$A$1:$I$1,0)),0)</f>
        <v>0</v>
      </c>
      <c r="R938" s="9">
        <f>IF($H938&gt;K938, MIN($H938-K938, L938-K938)*INDEX('2018_commission_structure'!$A$1:$I$4,MATCH($E938,'2018_commission_structure'!$A$1:$A$4,0),MATCH(R$1,'2018_commission_structure'!$A$1:$I$1,0)),0)</f>
        <v>0</v>
      </c>
      <c r="S938" s="9">
        <f>IF(H938&gt;L938,(H938-L938)*INDEX('2018_commission_structure'!$A$1:$I$4,MATCH($E938,'2018_commission_structure'!$A$1:$A$4,0),MATCH(S$1,'2018_commission_structure'!$A$1:$I$1,0)),0)</f>
        <v>0</v>
      </c>
      <c r="T938" s="9">
        <f t="shared" si="148"/>
        <v>60090.899999999994</v>
      </c>
      <c r="U938" s="9">
        <f t="shared" si="150"/>
        <v>160949.9</v>
      </c>
      <c r="V938" s="9">
        <f>MIN($I938,$H938)*INDEX('Key Metrics'!$E$16:$N$19,MATCH($E938,'Key Metrics'!$E$16:$E$19,0),MATCH(V$1,'Key Metrics'!$E$16:$M$16,0))</f>
        <v>60090.899999999994</v>
      </c>
      <c r="W938" s="9">
        <f>IF($H938&gt;I938, MIN($H938-I938, J938-I938)*INDEX('Key Metrics'!$E$16:$N$19,MATCH($E938,'Key Metrics'!$E$16:$E$19,0),MATCH(W$1,'Key Metrics'!$E$16:$M$16,0)),0)</f>
        <v>0</v>
      </c>
      <c r="X938" s="9">
        <f>IF($H938&gt;J938, MIN($H938-J938, K938-J938)*INDEX('Key Metrics'!$E$16:$N$19,MATCH($E938,'Key Metrics'!$E$16:$E$19,0),MATCH(X$1,'Key Metrics'!$E$16:$M$16,0)),0)</f>
        <v>0</v>
      </c>
      <c r="Y938" s="9">
        <f>IF($H938&gt;K938, MIN($H938-K938, L938-K938)*INDEX('Key Metrics'!$E$16:$N$19,MATCH($E938,'Key Metrics'!$E$16:$E$19,0),MATCH(Y$1,'Key Metrics'!$E$16:$M$16,0)),0)</f>
        <v>0</v>
      </c>
      <c r="Z938" s="9">
        <f>IF($H938&gt;L938,($H938-L938)*INDEX('Key Metrics'!$E$16:$N$19,MATCH($E938,'Key Metrics'!$E$16:$E$19,0),MATCH(Z$1,'Key Metrics'!$E$16:$M$16,0)),0)</f>
        <v>0</v>
      </c>
      <c r="AA938" s="9">
        <f t="shared" si="149"/>
        <v>60090.899999999994</v>
      </c>
      <c r="AB938" s="9">
        <f t="shared" si="151"/>
        <v>60091.434141333324</v>
      </c>
    </row>
    <row r="939" spans="1:28" x14ac:dyDescent="0.55000000000000004">
      <c r="A939" t="str">
        <f t="shared" si="142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COUNTIF(deals_closed!$D$2:$D$20001,Calculations!B430)</f>
        <v>22</v>
      </c>
      <c r="H939" s="7">
        <f>SUMIF(deals_closed!$D:$D,Calculations!B430,deals_closed!$C:$C)</f>
        <v>814665</v>
      </c>
      <c r="I939" s="5">
        <f>VLOOKUP(E939,'2018_commission_structure'!$A$1:$I$4,9,FALSE)</f>
        <v>600000</v>
      </c>
      <c r="J939" s="9">
        <f t="shared" si="143"/>
        <v>750000</v>
      </c>
      <c r="K939" s="10">
        <f t="shared" si="144"/>
        <v>900000</v>
      </c>
      <c r="L939" s="9">
        <f t="shared" si="145"/>
        <v>1200000</v>
      </c>
      <c r="M939" s="8">
        <f t="shared" si="146"/>
        <v>1.357775</v>
      </c>
      <c r="N939" t="str">
        <f t="shared" si="147"/>
        <v>125-150%</v>
      </c>
      <c r="O939" s="9">
        <f>MIN($H939,$I939)*INDEX('2018_commission_structure'!$A$1:$I$4,MATCH($E939,'2018_commission_structure'!$A$1:$A$4,0),MATCH(O$1,'2018_commission_structure'!$A$1:$I$1,0))</f>
        <v>78000</v>
      </c>
      <c r="P939" s="9">
        <f>IF(H939&gt;I939, MIN(H939-I939, J939-I939)*INDEX('2018_commission_structure'!$A$1:$I$4,MATCH($E939,'2018_commission_structure'!$A$1:$A$4,0),MATCH(P$1,'2018_commission_structure'!$A$1:$I$1,0)),0)</f>
        <v>25500.000000000004</v>
      </c>
      <c r="Q939" s="9">
        <f>IF($H939&gt;J939, MIN($H939-J939, K939-J939)*INDEX('2018_commission_structure'!$A$1:$I$4,MATCH($E939,'2018_commission_structure'!$A$1:$A$4,0),MATCH(Q$1,'2018_commission_structure'!$A$1:$I$1,0)),0)</f>
        <v>13579.65</v>
      </c>
      <c r="R939" s="9">
        <f>IF($H939&gt;K939, MIN($H939-K939, L939-K939)*INDEX('2018_commission_structure'!$A$1:$I$4,MATCH($E939,'2018_commission_structure'!$A$1:$A$4,0),MATCH(R$1,'2018_commission_structure'!$A$1:$I$1,0)),0)</f>
        <v>0</v>
      </c>
      <c r="S939" s="9">
        <f>IF(H939&gt;L939,(H939-L939)*INDEX('2018_commission_structure'!$A$1:$I$4,MATCH($E939,'2018_commission_structure'!$A$1:$A$4,0),MATCH(S$1,'2018_commission_structure'!$A$1:$I$1,0)),0)</f>
        <v>0</v>
      </c>
      <c r="T939" s="9">
        <f t="shared" si="148"/>
        <v>117079.65</v>
      </c>
      <c r="U939" s="9">
        <f t="shared" si="150"/>
        <v>172566.65</v>
      </c>
      <c r="V939" s="9">
        <f>MIN($I939,$H939)*INDEX('Key Metrics'!$E$16:$N$19,MATCH($E939,'Key Metrics'!$E$16:$E$19,0),MATCH(V$1,'Key Metrics'!$E$16:$M$16,0))</f>
        <v>90000</v>
      </c>
      <c r="W939" s="9">
        <f>IF($H939&gt;I939, MIN($H939-I939, J939-I939)*INDEX('Key Metrics'!$E$16:$N$19,MATCH($E939,'Key Metrics'!$E$16:$E$19,0),MATCH(W$1,'Key Metrics'!$E$16:$M$16,0)),0)</f>
        <v>27000</v>
      </c>
      <c r="X939" s="9">
        <f>IF($H939&gt;J939, MIN($H939-J939, K939-J939)*INDEX('Key Metrics'!$E$16:$N$19,MATCH($E939,'Key Metrics'!$E$16:$E$19,0),MATCH(X$1,'Key Metrics'!$E$16:$M$16,0)),0)</f>
        <v>16166.25</v>
      </c>
      <c r="Y939" s="9">
        <f>IF($H939&gt;K939, MIN($H939-K939, L939-K939)*INDEX('Key Metrics'!$E$16:$N$19,MATCH($E939,'Key Metrics'!$E$16:$E$19,0),MATCH(Y$1,'Key Metrics'!$E$16:$M$16,0)),0)</f>
        <v>0</v>
      </c>
      <c r="Z939" s="9">
        <f>IF($H939&gt;L939,($H939-L939)*INDEX('Key Metrics'!$E$16:$N$19,MATCH($E939,'Key Metrics'!$E$16:$E$19,0),MATCH(Z$1,'Key Metrics'!$E$16:$M$16,0)),0)</f>
        <v>0</v>
      </c>
      <c r="AA939" s="9">
        <f t="shared" si="149"/>
        <v>133166.25</v>
      </c>
      <c r="AB939" s="9">
        <f t="shared" si="151"/>
        <v>133167.60777500001</v>
      </c>
    </row>
    <row r="940" spans="1:28" x14ac:dyDescent="0.55000000000000004">
      <c r="A940" t="str">
        <f t="shared" si="142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COUNTIF(deals_closed!$D$2:$D$20001,Calculations!B912)</f>
        <v>22</v>
      </c>
      <c r="H940" s="7">
        <f>SUMIF(deals_closed!$D:$D,Calculations!B912,deals_closed!$C:$C)</f>
        <v>799312</v>
      </c>
      <c r="I940" s="5">
        <f>VLOOKUP(E940,'2018_commission_structure'!$A$1:$I$4,9,FALSE)</f>
        <v>750000</v>
      </c>
      <c r="J940" s="9">
        <f t="shared" si="143"/>
        <v>937500</v>
      </c>
      <c r="K940" s="10">
        <f t="shared" si="144"/>
        <v>1125000</v>
      </c>
      <c r="L940" s="9">
        <f t="shared" si="145"/>
        <v>1500000</v>
      </c>
      <c r="M940" s="8">
        <f t="shared" si="146"/>
        <v>1.0657493333333334</v>
      </c>
      <c r="N940" t="str">
        <f t="shared" si="147"/>
        <v>100-125%</v>
      </c>
      <c r="O940" s="9">
        <f>MIN($H940,$I940)*INDEX('2018_commission_structure'!$A$1:$I$4,MATCH($E940,'2018_commission_structure'!$A$1:$A$4,0),MATCH(O$1,'2018_commission_structure'!$A$1:$I$1,0))</f>
        <v>112500</v>
      </c>
      <c r="P940" s="9">
        <f>IF(H940&gt;I940, MIN(H940-I940, J940-I940)*INDEX('2018_commission_structure'!$A$1:$I$4,MATCH($E940,'2018_commission_structure'!$A$1:$A$4,0),MATCH(P$1,'2018_commission_structure'!$A$1:$I$1,0)),0)</f>
        <v>9369.2800000000007</v>
      </c>
      <c r="Q940" s="9">
        <f>IF($H940&gt;J940, MIN($H940-J940, K940-J940)*INDEX('2018_commission_structure'!$A$1:$I$4,MATCH($E940,'2018_commission_structure'!$A$1:$A$4,0),MATCH(Q$1,'2018_commission_structure'!$A$1:$I$1,0)),0)</f>
        <v>0</v>
      </c>
      <c r="R940" s="9">
        <f>IF($H940&gt;K940, MIN($H940-K940, L940-K940)*INDEX('2018_commission_structure'!$A$1:$I$4,MATCH($E940,'2018_commission_structure'!$A$1:$A$4,0),MATCH(R$1,'2018_commission_structure'!$A$1:$I$1,0)),0)</f>
        <v>0</v>
      </c>
      <c r="S940" s="9">
        <f>IF(H940&gt;L940,(H940-L940)*INDEX('2018_commission_structure'!$A$1:$I$4,MATCH($E940,'2018_commission_structure'!$A$1:$A$4,0),MATCH(S$1,'2018_commission_structure'!$A$1:$I$1,0)),0)</f>
        <v>0</v>
      </c>
      <c r="T940" s="9">
        <f t="shared" si="148"/>
        <v>121869.28</v>
      </c>
      <c r="U940" s="9">
        <f t="shared" si="150"/>
        <v>212460.28</v>
      </c>
      <c r="V940" s="9">
        <f>MIN($I940,$H940)*INDEX('Key Metrics'!$E$16:$N$19,MATCH($E940,'Key Metrics'!$E$16:$E$19,0),MATCH(V$1,'Key Metrics'!$E$16:$M$16,0))</f>
        <v>112500</v>
      </c>
      <c r="W940" s="9">
        <f>IF($H940&gt;I940, MIN($H940-I940, J940-I940)*INDEX('Key Metrics'!$E$16:$N$19,MATCH($E940,'Key Metrics'!$E$16:$E$19,0),MATCH(W$1,'Key Metrics'!$E$16:$M$16,0)),0)</f>
        <v>10848.64</v>
      </c>
      <c r="X940" s="9">
        <f>IF($H940&gt;J940, MIN($H940-J940, K940-J940)*INDEX('Key Metrics'!$E$16:$N$19,MATCH($E940,'Key Metrics'!$E$16:$E$19,0),MATCH(X$1,'Key Metrics'!$E$16:$M$16,0)),0)</f>
        <v>0</v>
      </c>
      <c r="Y940" s="9">
        <f>IF($H940&gt;K940, MIN($H940-K940, L940-K940)*INDEX('Key Metrics'!$E$16:$N$19,MATCH($E940,'Key Metrics'!$E$16:$E$19,0),MATCH(Y$1,'Key Metrics'!$E$16:$M$16,0)),0)</f>
        <v>0</v>
      </c>
      <c r="Z940" s="9">
        <f>IF($H940&gt;L940,($H940-L940)*INDEX('Key Metrics'!$E$16:$N$19,MATCH($E940,'Key Metrics'!$E$16:$E$19,0),MATCH(Z$1,'Key Metrics'!$E$16:$M$16,0)),0)</f>
        <v>0</v>
      </c>
      <c r="AA940" s="9">
        <f t="shared" si="149"/>
        <v>123348.64</v>
      </c>
      <c r="AB940" s="9">
        <f t="shared" si="151"/>
        <v>123349.70574933333</v>
      </c>
    </row>
    <row r="941" spans="1:28" x14ac:dyDescent="0.55000000000000004">
      <c r="A941" t="str">
        <f t="shared" si="142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COUNTIF(deals_closed!$D$2:$D$20001,Calculations!B39)</f>
        <v>18</v>
      </c>
      <c r="H941" s="7">
        <f>SUMIF(deals_closed!$D:$D,Calculations!B39,deals_closed!$C:$C)</f>
        <v>597842</v>
      </c>
      <c r="I941" s="5">
        <f>VLOOKUP(E941,'2018_commission_structure'!$A$1:$I$4,9,FALSE)</f>
        <v>600000</v>
      </c>
      <c r="J941" s="9">
        <f t="shared" si="143"/>
        <v>750000</v>
      </c>
      <c r="K941" s="10">
        <f t="shared" si="144"/>
        <v>900000</v>
      </c>
      <c r="L941" s="9">
        <f t="shared" si="145"/>
        <v>1200000</v>
      </c>
      <c r="M941" s="8">
        <f t="shared" si="146"/>
        <v>0.99640333333333331</v>
      </c>
      <c r="N941" t="str">
        <f t="shared" si="147"/>
        <v>0-100%</v>
      </c>
      <c r="O941" s="9">
        <f>MIN($H941,$I941)*INDEX('2018_commission_structure'!$A$1:$I$4,MATCH($E941,'2018_commission_structure'!$A$1:$A$4,0),MATCH(O$1,'2018_commission_structure'!$A$1:$I$1,0))</f>
        <v>77719.460000000006</v>
      </c>
      <c r="P941" s="9">
        <f>IF(H941&gt;I941, MIN(H941-I941, J941-I941)*INDEX('2018_commission_structure'!$A$1:$I$4,MATCH($E941,'2018_commission_structure'!$A$1:$A$4,0),MATCH(P$1,'2018_commission_structure'!$A$1:$I$1,0)),0)</f>
        <v>0</v>
      </c>
      <c r="Q941" s="9">
        <f>IF($H941&gt;J941, MIN($H941-J941, K941-J941)*INDEX('2018_commission_structure'!$A$1:$I$4,MATCH($E941,'2018_commission_structure'!$A$1:$A$4,0),MATCH(Q$1,'2018_commission_structure'!$A$1:$I$1,0)),0)</f>
        <v>0</v>
      </c>
      <c r="R941" s="9">
        <f>IF($H941&gt;K941, MIN($H941-K941, L941-K941)*INDEX('2018_commission_structure'!$A$1:$I$4,MATCH($E941,'2018_commission_structure'!$A$1:$A$4,0),MATCH(R$1,'2018_commission_structure'!$A$1:$I$1,0)),0)</f>
        <v>0</v>
      </c>
      <c r="S941" s="9">
        <f>IF(H941&gt;L941,(H941-L941)*INDEX('2018_commission_structure'!$A$1:$I$4,MATCH($E941,'2018_commission_structure'!$A$1:$A$4,0),MATCH(S$1,'2018_commission_structure'!$A$1:$I$1,0)),0)</f>
        <v>0</v>
      </c>
      <c r="T941" s="9">
        <f t="shared" si="148"/>
        <v>77719.460000000006</v>
      </c>
      <c r="U941" s="9">
        <f t="shared" si="150"/>
        <v>142030.46000000002</v>
      </c>
      <c r="V941" s="9">
        <f>MIN($I941,$H941)*INDEX('Key Metrics'!$E$16:$N$19,MATCH($E941,'Key Metrics'!$E$16:$E$19,0),MATCH(V$1,'Key Metrics'!$E$16:$M$16,0))</f>
        <v>89676.3</v>
      </c>
      <c r="W941" s="9">
        <f>IF($H941&gt;I941, MIN($H941-I941, J941-I941)*INDEX('Key Metrics'!$E$16:$N$19,MATCH($E941,'Key Metrics'!$E$16:$E$19,0),MATCH(W$1,'Key Metrics'!$E$16:$M$16,0)),0)</f>
        <v>0</v>
      </c>
      <c r="X941" s="9">
        <f>IF($H941&gt;J941, MIN($H941-J941, K941-J941)*INDEX('Key Metrics'!$E$16:$N$19,MATCH($E941,'Key Metrics'!$E$16:$E$19,0),MATCH(X$1,'Key Metrics'!$E$16:$M$16,0)),0)</f>
        <v>0</v>
      </c>
      <c r="Y941" s="9">
        <f>IF($H941&gt;K941, MIN($H941-K941, L941-K941)*INDEX('Key Metrics'!$E$16:$N$19,MATCH($E941,'Key Metrics'!$E$16:$E$19,0),MATCH(Y$1,'Key Metrics'!$E$16:$M$16,0)),0)</f>
        <v>0</v>
      </c>
      <c r="Z941" s="9">
        <f>IF($H941&gt;L941,($H941-L941)*INDEX('Key Metrics'!$E$16:$N$19,MATCH($E941,'Key Metrics'!$E$16:$E$19,0),MATCH(Z$1,'Key Metrics'!$E$16:$M$16,0)),0)</f>
        <v>0</v>
      </c>
      <c r="AA941" s="9">
        <f t="shared" si="149"/>
        <v>89676.3</v>
      </c>
      <c r="AB941" s="9">
        <f t="shared" si="151"/>
        <v>89677.296403333341</v>
      </c>
    </row>
    <row r="942" spans="1:28" x14ac:dyDescent="0.55000000000000004">
      <c r="A942" t="str">
        <f t="shared" si="142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COUNTIF(deals_closed!$D$2:$D$20001,Calculations!B71)</f>
        <v>14</v>
      </c>
      <c r="H942" s="7">
        <f>SUMIF(deals_closed!$D:$D,Calculations!B71,deals_closed!$C:$C)</f>
        <v>462920</v>
      </c>
      <c r="I942" s="5">
        <f>VLOOKUP(E942,'2018_commission_structure'!$A$1:$I$4,9,FALSE)</f>
        <v>750000</v>
      </c>
      <c r="J942" s="9">
        <f t="shared" si="143"/>
        <v>937500</v>
      </c>
      <c r="K942" s="10">
        <f t="shared" si="144"/>
        <v>1125000</v>
      </c>
      <c r="L942" s="9">
        <f t="shared" si="145"/>
        <v>1500000</v>
      </c>
      <c r="M942" s="8">
        <f t="shared" si="146"/>
        <v>0.6172266666666667</v>
      </c>
      <c r="N942" t="str">
        <f t="shared" si="147"/>
        <v>0-100%</v>
      </c>
      <c r="O942" s="9">
        <f>MIN($H942,$I942)*INDEX('2018_commission_structure'!$A$1:$I$4,MATCH($E942,'2018_commission_structure'!$A$1:$A$4,0),MATCH(O$1,'2018_commission_structure'!$A$1:$I$1,0))</f>
        <v>69438</v>
      </c>
      <c r="P942" s="9">
        <f>IF(H942&gt;I942, MIN(H942-I942, J942-I942)*INDEX('2018_commission_structure'!$A$1:$I$4,MATCH($E942,'2018_commission_structure'!$A$1:$A$4,0),MATCH(P$1,'2018_commission_structure'!$A$1:$I$1,0)),0)</f>
        <v>0</v>
      </c>
      <c r="Q942" s="9">
        <f>IF($H942&gt;J942, MIN($H942-J942, K942-J942)*INDEX('2018_commission_structure'!$A$1:$I$4,MATCH($E942,'2018_commission_structure'!$A$1:$A$4,0),MATCH(Q$1,'2018_commission_structure'!$A$1:$I$1,0)),0)</f>
        <v>0</v>
      </c>
      <c r="R942" s="9">
        <f>IF($H942&gt;K942, MIN($H942-K942, L942-K942)*INDEX('2018_commission_structure'!$A$1:$I$4,MATCH($E942,'2018_commission_structure'!$A$1:$A$4,0),MATCH(R$1,'2018_commission_structure'!$A$1:$I$1,0)),0)</f>
        <v>0</v>
      </c>
      <c r="S942" s="9">
        <f>IF(H942&gt;L942,(H942-L942)*INDEX('2018_commission_structure'!$A$1:$I$4,MATCH($E942,'2018_commission_structure'!$A$1:$A$4,0),MATCH(S$1,'2018_commission_structure'!$A$1:$I$1,0)),0)</f>
        <v>0</v>
      </c>
      <c r="T942" s="9">
        <f t="shared" si="148"/>
        <v>69438</v>
      </c>
      <c r="U942" s="9">
        <f t="shared" si="150"/>
        <v>191017</v>
      </c>
      <c r="V942" s="9">
        <f>MIN($I942,$H942)*INDEX('Key Metrics'!$E$16:$N$19,MATCH($E942,'Key Metrics'!$E$16:$E$19,0),MATCH(V$1,'Key Metrics'!$E$16:$M$16,0))</f>
        <v>69438</v>
      </c>
      <c r="W942" s="9">
        <f>IF($H942&gt;I942, MIN($H942-I942, J942-I942)*INDEX('Key Metrics'!$E$16:$N$19,MATCH($E942,'Key Metrics'!$E$16:$E$19,0),MATCH(W$1,'Key Metrics'!$E$16:$M$16,0)),0)</f>
        <v>0</v>
      </c>
      <c r="X942" s="9">
        <f>IF($H942&gt;J942, MIN($H942-J942, K942-J942)*INDEX('Key Metrics'!$E$16:$N$19,MATCH($E942,'Key Metrics'!$E$16:$E$19,0),MATCH(X$1,'Key Metrics'!$E$16:$M$16,0)),0)</f>
        <v>0</v>
      </c>
      <c r="Y942" s="9">
        <f>IF($H942&gt;K942, MIN($H942-K942, L942-K942)*INDEX('Key Metrics'!$E$16:$N$19,MATCH($E942,'Key Metrics'!$E$16:$E$19,0),MATCH(Y$1,'Key Metrics'!$E$16:$M$16,0)),0)</f>
        <v>0</v>
      </c>
      <c r="Z942" s="9">
        <f>IF($H942&gt;L942,($H942-L942)*INDEX('Key Metrics'!$E$16:$N$19,MATCH($E942,'Key Metrics'!$E$16:$E$19,0),MATCH(Z$1,'Key Metrics'!$E$16:$M$16,0)),0)</f>
        <v>0</v>
      </c>
      <c r="AA942" s="9">
        <f t="shared" si="149"/>
        <v>69438</v>
      </c>
      <c r="AB942" s="9">
        <f t="shared" si="151"/>
        <v>69438.617226666669</v>
      </c>
    </row>
    <row r="943" spans="1:28" x14ac:dyDescent="0.55000000000000004">
      <c r="A943" t="str">
        <f t="shared" si="142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COUNTIF(deals_closed!$D$2:$D$20001,Calculations!B500)</f>
        <v>15</v>
      </c>
      <c r="H943" s="7">
        <f>SUMIF(deals_closed!$D:$D,Calculations!B500,deals_closed!$C:$C)</f>
        <v>489050</v>
      </c>
      <c r="I943" s="5">
        <f>VLOOKUP(E943,'2018_commission_structure'!$A$1:$I$4,9,FALSE)</f>
        <v>750000</v>
      </c>
      <c r="J943" s="9">
        <f t="shared" si="143"/>
        <v>937500</v>
      </c>
      <c r="K943" s="10">
        <f t="shared" si="144"/>
        <v>1125000</v>
      </c>
      <c r="L943" s="9">
        <f t="shared" si="145"/>
        <v>1500000</v>
      </c>
      <c r="M943" s="8">
        <f t="shared" si="146"/>
        <v>0.65206666666666668</v>
      </c>
      <c r="N943" t="str">
        <f t="shared" si="147"/>
        <v>0-100%</v>
      </c>
      <c r="O943" s="9">
        <f>MIN($H943,$I943)*INDEX('2018_commission_structure'!$A$1:$I$4,MATCH($E943,'2018_commission_structure'!$A$1:$A$4,0),MATCH(O$1,'2018_commission_structure'!$A$1:$I$1,0))</f>
        <v>73357.5</v>
      </c>
      <c r="P943" s="9">
        <f>IF(H943&gt;I943, MIN(H943-I943, J943-I943)*INDEX('2018_commission_structure'!$A$1:$I$4,MATCH($E943,'2018_commission_structure'!$A$1:$A$4,0),MATCH(P$1,'2018_commission_structure'!$A$1:$I$1,0)),0)</f>
        <v>0</v>
      </c>
      <c r="Q943" s="9">
        <f>IF($H943&gt;J943, MIN($H943-J943, K943-J943)*INDEX('2018_commission_structure'!$A$1:$I$4,MATCH($E943,'2018_commission_structure'!$A$1:$A$4,0),MATCH(Q$1,'2018_commission_structure'!$A$1:$I$1,0)),0)</f>
        <v>0</v>
      </c>
      <c r="R943" s="9">
        <f>IF($H943&gt;K943, MIN($H943-K943, L943-K943)*INDEX('2018_commission_structure'!$A$1:$I$4,MATCH($E943,'2018_commission_structure'!$A$1:$A$4,0),MATCH(R$1,'2018_commission_structure'!$A$1:$I$1,0)),0)</f>
        <v>0</v>
      </c>
      <c r="S943" s="9">
        <f>IF(H943&gt;L943,(H943-L943)*INDEX('2018_commission_structure'!$A$1:$I$4,MATCH($E943,'2018_commission_structure'!$A$1:$A$4,0),MATCH(S$1,'2018_commission_structure'!$A$1:$I$1,0)),0)</f>
        <v>0</v>
      </c>
      <c r="T943" s="9">
        <f t="shared" si="148"/>
        <v>73357.5</v>
      </c>
      <c r="U943" s="9">
        <f t="shared" si="150"/>
        <v>179002.5</v>
      </c>
      <c r="V943" s="9">
        <f>MIN($I943,$H943)*INDEX('Key Metrics'!$E$16:$N$19,MATCH($E943,'Key Metrics'!$E$16:$E$19,0),MATCH(V$1,'Key Metrics'!$E$16:$M$16,0))</f>
        <v>73357.5</v>
      </c>
      <c r="W943" s="9">
        <f>IF($H943&gt;I943, MIN($H943-I943, J943-I943)*INDEX('Key Metrics'!$E$16:$N$19,MATCH($E943,'Key Metrics'!$E$16:$E$19,0),MATCH(W$1,'Key Metrics'!$E$16:$M$16,0)),0)</f>
        <v>0</v>
      </c>
      <c r="X943" s="9">
        <f>IF($H943&gt;J943, MIN($H943-J943, K943-J943)*INDEX('Key Metrics'!$E$16:$N$19,MATCH($E943,'Key Metrics'!$E$16:$E$19,0),MATCH(X$1,'Key Metrics'!$E$16:$M$16,0)),0)</f>
        <v>0</v>
      </c>
      <c r="Y943" s="9">
        <f>IF($H943&gt;K943, MIN($H943-K943, L943-K943)*INDEX('Key Metrics'!$E$16:$N$19,MATCH($E943,'Key Metrics'!$E$16:$E$19,0),MATCH(Y$1,'Key Metrics'!$E$16:$M$16,0)),0)</f>
        <v>0</v>
      </c>
      <c r="Z943" s="9">
        <f>IF($H943&gt;L943,($H943-L943)*INDEX('Key Metrics'!$E$16:$N$19,MATCH($E943,'Key Metrics'!$E$16:$E$19,0),MATCH(Z$1,'Key Metrics'!$E$16:$M$16,0)),0)</f>
        <v>0</v>
      </c>
      <c r="AA943" s="9">
        <f t="shared" si="149"/>
        <v>73357.5</v>
      </c>
      <c r="AB943" s="9">
        <f t="shared" si="151"/>
        <v>73358.152066666662</v>
      </c>
    </row>
    <row r="944" spans="1:28" x14ac:dyDescent="0.55000000000000004">
      <c r="A944" t="str">
        <f t="shared" si="142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COUNTIF(deals_closed!$D$2:$D$20001,Calculations!B836)</f>
        <v>17</v>
      </c>
      <c r="H944" s="7">
        <f>SUMIF(deals_closed!$D:$D,Calculations!B836,deals_closed!$C:$C)</f>
        <v>625859</v>
      </c>
      <c r="I944" s="5">
        <f>VLOOKUP(E944,'2018_commission_structure'!$A$1:$I$4,9,FALSE)</f>
        <v>600000</v>
      </c>
      <c r="J944" s="9">
        <f t="shared" si="143"/>
        <v>750000</v>
      </c>
      <c r="K944" s="10">
        <f t="shared" si="144"/>
        <v>900000</v>
      </c>
      <c r="L944" s="9">
        <f t="shared" si="145"/>
        <v>1200000</v>
      </c>
      <c r="M944" s="8">
        <f t="shared" si="146"/>
        <v>1.0430983333333332</v>
      </c>
      <c r="N944" t="str">
        <f t="shared" si="147"/>
        <v>100-125%</v>
      </c>
      <c r="O944" s="9">
        <f>MIN($H944,$I944)*INDEX('2018_commission_structure'!$A$1:$I$4,MATCH($E944,'2018_commission_structure'!$A$1:$A$4,0),MATCH(O$1,'2018_commission_structure'!$A$1:$I$1,0))</f>
        <v>78000</v>
      </c>
      <c r="P944" s="9">
        <f>IF(H944&gt;I944, MIN(H944-I944, J944-I944)*INDEX('2018_commission_structure'!$A$1:$I$4,MATCH($E944,'2018_commission_structure'!$A$1:$A$4,0),MATCH(P$1,'2018_commission_structure'!$A$1:$I$1,0)),0)</f>
        <v>4396.0300000000007</v>
      </c>
      <c r="Q944" s="9">
        <f>IF($H944&gt;J944, MIN($H944-J944, K944-J944)*INDEX('2018_commission_structure'!$A$1:$I$4,MATCH($E944,'2018_commission_structure'!$A$1:$A$4,0),MATCH(Q$1,'2018_commission_structure'!$A$1:$I$1,0)),0)</f>
        <v>0</v>
      </c>
      <c r="R944" s="9">
        <f>IF($H944&gt;K944, MIN($H944-K944, L944-K944)*INDEX('2018_commission_structure'!$A$1:$I$4,MATCH($E944,'2018_commission_structure'!$A$1:$A$4,0),MATCH(R$1,'2018_commission_structure'!$A$1:$I$1,0)),0)</f>
        <v>0</v>
      </c>
      <c r="S944" s="9">
        <f>IF(H944&gt;L944,(H944-L944)*INDEX('2018_commission_structure'!$A$1:$I$4,MATCH($E944,'2018_commission_structure'!$A$1:$A$4,0),MATCH(S$1,'2018_commission_structure'!$A$1:$I$1,0)),0)</f>
        <v>0</v>
      </c>
      <c r="T944" s="9">
        <f t="shared" si="148"/>
        <v>82396.03</v>
      </c>
      <c r="U944" s="9">
        <f t="shared" si="150"/>
        <v>159870.03</v>
      </c>
      <c r="V944" s="9">
        <f>MIN($I944,$H944)*INDEX('Key Metrics'!$E$16:$N$19,MATCH($E944,'Key Metrics'!$E$16:$E$19,0),MATCH(V$1,'Key Metrics'!$E$16:$M$16,0))</f>
        <v>90000</v>
      </c>
      <c r="W944" s="9">
        <f>IF($H944&gt;I944, MIN($H944-I944, J944-I944)*INDEX('Key Metrics'!$E$16:$N$19,MATCH($E944,'Key Metrics'!$E$16:$E$19,0),MATCH(W$1,'Key Metrics'!$E$16:$M$16,0)),0)</f>
        <v>4654.62</v>
      </c>
      <c r="X944" s="9">
        <f>IF($H944&gt;J944, MIN($H944-J944, K944-J944)*INDEX('Key Metrics'!$E$16:$N$19,MATCH($E944,'Key Metrics'!$E$16:$E$19,0),MATCH(X$1,'Key Metrics'!$E$16:$M$16,0)),0)</f>
        <v>0</v>
      </c>
      <c r="Y944" s="9">
        <f>IF($H944&gt;K944, MIN($H944-K944, L944-K944)*INDEX('Key Metrics'!$E$16:$N$19,MATCH($E944,'Key Metrics'!$E$16:$E$19,0),MATCH(Y$1,'Key Metrics'!$E$16:$M$16,0)),0)</f>
        <v>0</v>
      </c>
      <c r="Z944" s="9">
        <f>IF($H944&gt;L944,($H944-L944)*INDEX('Key Metrics'!$E$16:$N$19,MATCH($E944,'Key Metrics'!$E$16:$E$19,0),MATCH(Z$1,'Key Metrics'!$E$16:$M$16,0)),0)</f>
        <v>0</v>
      </c>
      <c r="AA944" s="9">
        <f t="shared" si="149"/>
        <v>94654.62</v>
      </c>
      <c r="AB944" s="9">
        <f t="shared" si="151"/>
        <v>94655.663098333331</v>
      </c>
    </row>
    <row r="945" spans="1:28" x14ac:dyDescent="0.55000000000000004">
      <c r="A945" t="str">
        <f t="shared" si="142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COUNTIF(deals_closed!$D$2:$D$20001,Calculations!B329)</f>
        <v>14</v>
      </c>
      <c r="H945" s="7">
        <f>SUMIF(deals_closed!$D:$D,Calculations!B329,deals_closed!$C:$C)</f>
        <v>459709</v>
      </c>
      <c r="I945" s="5">
        <f>VLOOKUP(E945,'2018_commission_structure'!$A$1:$I$4,9,FALSE)</f>
        <v>600000</v>
      </c>
      <c r="J945" s="9">
        <f t="shared" si="143"/>
        <v>750000</v>
      </c>
      <c r="K945" s="10">
        <f t="shared" si="144"/>
        <v>900000</v>
      </c>
      <c r="L945" s="9">
        <f t="shared" si="145"/>
        <v>1200000</v>
      </c>
      <c r="M945" s="8">
        <f t="shared" si="146"/>
        <v>0.76618166666666665</v>
      </c>
      <c r="N945" t="str">
        <f t="shared" si="147"/>
        <v>0-100%</v>
      </c>
      <c r="O945" s="9">
        <f>MIN($H945,$I945)*INDEX('2018_commission_structure'!$A$1:$I$4,MATCH($E945,'2018_commission_structure'!$A$1:$A$4,0),MATCH(O$1,'2018_commission_structure'!$A$1:$I$1,0))</f>
        <v>59762.170000000006</v>
      </c>
      <c r="P945" s="9">
        <f>IF(H945&gt;I945, MIN(H945-I945, J945-I945)*INDEX('2018_commission_structure'!$A$1:$I$4,MATCH($E945,'2018_commission_structure'!$A$1:$A$4,0),MATCH(P$1,'2018_commission_structure'!$A$1:$I$1,0)),0)</f>
        <v>0</v>
      </c>
      <c r="Q945" s="9">
        <f>IF($H945&gt;J945, MIN($H945-J945, K945-J945)*INDEX('2018_commission_structure'!$A$1:$I$4,MATCH($E945,'2018_commission_structure'!$A$1:$A$4,0),MATCH(Q$1,'2018_commission_structure'!$A$1:$I$1,0)),0)</f>
        <v>0</v>
      </c>
      <c r="R945" s="9">
        <f>IF($H945&gt;K945, MIN($H945-K945, L945-K945)*INDEX('2018_commission_structure'!$A$1:$I$4,MATCH($E945,'2018_commission_structure'!$A$1:$A$4,0),MATCH(R$1,'2018_commission_structure'!$A$1:$I$1,0)),0)</f>
        <v>0</v>
      </c>
      <c r="S945" s="9">
        <f>IF(H945&gt;L945,(H945-L945)*INDEX('2018_commission_structure'!$A$1:$I$4,MATCH($E945,'2018_commission_structure'!$A$1:$A$4,0),MATCH(S$1,'2018_commission_structure'!$A$1:$I$1,0)),0)</f>
        <v>0</v>
      </c>
      <c r="T945" s="9">
        <f t="shared" si="148"/>
        <v>59762.170000000006</v>
      </c>
      <c r="U945" s="9">
        <f t="shared" si="150"/>
        <v>110229.17000000001</v>
      </c>
      <c r="V945" s="9">
        <f>MIN($I945,$H945)*INDEX('Key Metrics'!$E$16:$N$19,MATCH($E945,'Key Metrics'!$E$16:$E$19,0),MATCH(V$1,'Key Metrics'!$E$16:$M$16,0))</f>
        <v>68956.349999999991</v>
      </c>
      <c r="W945" s="9">
        <f>IF($H945&gt;I945, MIN($H945-I945, J945-I945)*INDEX('Key Metrics'!$E$16:$N$19,MATCH($E945,'Key Metrics'!$E$16:$E$19,0),MATCH(W$1,'Key Metrics'!$E$16:$M$16,0)),0)</f>
        <v>0</v>
      </c>
      <c r="X945" s="9">
        <f>IF($H945&gt;J945, MIN($H945-J945, K945-J945)*INDEX('Key Metrics'!$E$16:$N$19,MATCH($E945,'Key Metrics'!$E$16:$E$19,0),MATCH(X$1,'Key Metrics'!$E$16:$M$16,0)),0)</f>
        <v>0</v>
      </c>
      <c r="Y945" s="9">
        <f>IF($H945&gt;K945, MIN($H945-K945, L945-K945)*INDEX('Key Metrics'!$E$16:$N$19,MATCH($E945,'Key Metrics'!$E$16:$E$19,0),MATCH(Y$1,'Key Metrics'!$E$16:$M$16,0)),0)</f>
        <v>0</v>
      </c>
      <c r="Z945" s="9">
        <f>IF($H945&gt;L945,($H945-L945)*INDEX('Key Metrics'!$E$16:$N$19,MATCH($E945,'Key Metrics'!$E$16:$E$19,0),MATCH(Z$1,'Key Metrics'!$E$16:$M$16,0)),0)</f>
        <v>0</v>
      </c>
      <c r="AA945" s="9">
        <f t="shared" si="149"/>
        <v>68956.349999999991</v>
      </c>
      <c r="AB945" s="9">
        <f t="shared" si="151"/>
        <v>68957.116181666657</v>
      </c>
    </row>
    <row r="946" spans="1:28" x14ac:dyDescent="0.55000000000000004">
      <c r="A946" t="str">
        <f t="shared" si="142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COUNTIF(deals_closed!$D$2:$D$20001,Calculations!B919)</f>
        <v>14</v>
      </c>
      <c r="H946" s="7">
        <f>SUMIF(deals_closed!$D:$D,Calculations!B919,deals_closed!$C:$C)</f>
        <v>506627</v>
      </c>
      <c r="I946" s="5">
        <f>VLOOKUP(E946,'2018_commission_structure'!$A$1:$I$4,9,FALSE)</f>
        <v>600000</v>
      </c>
      <c r="J946" s="9">
        <f t="shared" si="143"/>
        <v>750000</v>
      </c>
      <c r="K946" s="10">
        <f t="shared" si="144"/>
        <v>900000</v>
      </c>
      <c r="L946" s="9">
        <f t="shared" si="145"/>
        <v>1200000</v>
      </c>
      <c r="M946" s="8">
        <f t="shared" si="146"/>
        <v>0.84437833333333334</v>
      </c>
      <c r="N946" t="str">
        <f t="shared" si="147"/>
        <v>0-100%</v>
      </c>
      <c r="O946" s="9">
        <f>MIN($H946,$I946)*INDEX('2018_commission_structure'!$A$1:$I$4,MATCH($E946,'2018_commission_structure'!$A$1:$A$4,0),MATCH(O$1,'2018_commission_structure'!$A$1:$I$1,0))</f>
        <v>65861.510000000009</v>
      </c>
      <c r="P946" s="9">
        <f>IF(H946&gt;I946, MIN(H946-I946, J946-I946)*INDEX('2018_commission_structure'!$A$1:$I$4,MATCH($E946,'2018_commission_structure'!$A$1:$A$4,0),MATCH(P$1,'2018_commission_structure'!$A$1:$I$1,0)),0)</f>
        <v>0</v>
      </c>
      <c r="Q946" s="9">
        <f>IF($H946&gt;J946, MIN($H946-J946, K946-J946)*INDEX('2018_commission_structure'!$A$1:$I$4,MATCH($E946,'2018_commission_structure'!$A$1:$A$4,0),MATCH(Q$1,'2018_commission_structure'!$A$1:$I$1,0)),0)</f>
        <v>0</v>
      </c>
      <c r="R946" s="9">
        <f>IF($H946&gt;K946, MIN($H946-K946, L946-K946)*INDEX('2018_commission_structure'!$A$1:$I$4,MATCH($E946,'2018_commission_structure'!$A$1:$A$4,0),MATCH(R$1,'2018_commission_structure'!$A$1:$I$1,0)),0)</f>
        <v>0</v>
      </c>
      <c r="S946" s="9">
        <f>IF(H946&gt;L946,(H946-L946)*INDEX('2018_commission_structure'!$A$1:$I$4,MATCH($E946,'2018_commission_structure'!$A$1:$A$4,0),MATCH(S$1,'2018_commission_structure'!$A$1:$I$1,0)),0)</f>
        <v>0</v>
      </c>
      <c r="T946" s="9">
        <f t="shared" si="148"/>
        <v>65861.510000000009</v>
      </c>
      <c r="U946" s="9">
        <f t="shared" si="150"/>
        <v>122322.51000000001</v>
      </c>
      <c r="V946" s="9">
        <f>MIN($I946,$H946)*INDEX('Key Metrics'!$E$16:$N$19,MATCH($E946,'Key Metrics'!$E$16:$E$19,0),MATCH(V$1,'Key Metrics'!$E$16:$M$16,0))</f>
        <v>75994.05</v>
      </c>
      <c r="W946" s="9">
        <f>IF($H946&gt;I946, MIN($H946-I946, J946-I946)*INDEX('Key Metrics'!$E$16:$N$19,MATCH($E946,'Key Metrics'!$E$16:$E$19,0),MATCH(W$1,'Key Metrics'!$E$16:$M$16,0)),0)</f>
        <v>0</v>
      </c>
      <c r="X946" s="9">
        <f>IF($H946&gt;J946, MIN($H946-J946, K946-J946)*INDEX('Key Metrics'!$E$16:$N$19,MATCH($E946,'Key Metrics'!$E$16:$E$19,0),MATCH(X$1,'Key Metrics'!$E$16:$M$16,0)),0)</f>
        <v>0</v>
      </c>
      <c r="Y946" s="9">
        <f>IF($H946&gt;K946, MIN($H946-K946, L946-K946)*INDEX('Key Metrics'!$E$16:$N$19,MATCH($E946,'Key Metrics'!$E$16:$E$19,0),MATCH(Y$1,'Key Metrics'!$E$16:$M$16,0)),0)</f>
        <v>0</v>
      </c>
      <c r="Z946" s="9">
        <f>IF($H946&gt;L946,($H946-L946)*INDEX('Key Metrics'!$E$16:$N$19,MATCH($E946,'Key Metrics'!$E$16:$E$19,0),MATCH(Z$1,'Key Metrics'!$E$16:$M$16,0)),0)</f>
        <v>0</v>
      </c>
      <c r="AA946" s="9">
        <f t="shared" si="149"/>
        <v>75994.05</v>
      </c>
      <c r="AB946" s="9">
        <f t="shared" si="151"/>
        <v>75994.894378333338</v>
      </c>
    </row>
    <row r="947" spans="1:28" x14ac:dyDescent="0.55000000000000004">
      <c r="A947" t="str">
        <f t="shared" si="142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COUNTIF(deals_closed!$D$2:$D$20001,Calculations!B645)</f>
        <v>22</v>
      </c>
      <c r="H947" s="7">
        <f>SUMIF(deals_closed!$D:$D,Calculations!B645,deals_closed!$C:$C)</f>
        <v>687722</v>
      </c>
      <c r="I947" s="5">
        <f>VLOOKUP(E947,'2018_commission_structure'!$A$1:$I$4,9,FALSE)</f>
        <v>600000</v>
      </c>
      <c r="J947" s="9">
        <f t="shared" si="143"/>
        <v>750000</v>
      </c>
      <c r="K947" s="10">
        <f t="shared" si="144"/>
        <v>900000</v>
      </c>
      <c r="L947" s="9">
        <f t="shared" si="145"/>
        <v>1200000</v>
      </c>
      <c r="M947" s="8">
        <f t="shared" si="146"/>
        <v>1.1462033333333332</v>
      </c>
      <c r="N947" t="str">
        <f t="shared" si="147"/>
        <v>100-125%</v>
      </c>
      <c r="O947" s="9">
        <f>MIN($H947,$I947)*INDEX('2018_commission_structure'!$A$1:$I$4,MATCH($E947,'2018_commission_structure'!$A$1:$A$4,0),MATCH(O$1,'2018_commission_structure'!$A$1:$I$1,0))</f>
        <v>78000</v>
      </c>
      <c r="P947" s="9">
        <f>IF(H947&gt;I947, MIN(H947-I947, J947-I947)*INDEX('2018_commission_structure'!$A$1:$I$4,MATCH($E947,'2018_commission_structure'!$A$1:$A$4,0),MATCH(P$1,'2018_commission_structure'!$A$1:$I$1,0)),0)</f>
        <v>14912.740000000002</v>
      </c>
      <c r="Q947" s="9">
        <f>IF($H947&gt;J947, MIN($H947-J947, K947-J947)*INDEX('2018_commission_structure'!$A$1:$I$4,MATCH($E947,'2018_commission_structure'!$A$1:$A$4,0),MATCH(Q$1,'2018_commission_structure'!$A$1:$I$1,0)),0)</f>
        <v>0</v>
      </c>
      <c r="R947" s="9">
        <f>IF($H947&gt;K947, MIN($H947-K947, L947-K947)*INDEX('2018_commission_structure'!$A$1:$I$4,MATCH($E947,'2018_commission_structure'!$A$1:$A$4,0),MATCH(R$1,'2018_commission_structure'!$A$1:$I$1,0)),0)</f>
        <v>0</v>
      </c>
      <c r="S947" s="9">
        <f>IF(H947&gt;L947,(H947-L947)*INDEX('2018_commission_structure'!$A$1:$I$4,MATCH($E947,'2018_commission_structure'!$A$1:$A$4,0),MATCH(S$1,'2018_commission_structure'!$A$1:$I$1,0)),0)</f>
        <v>0</v>
      </c>
      <c r="T947" s="9">
        <f t="shared" si="148"/>
        <v>92912.74</v>
      </c>
      <c r="U947" s="9">
        <f t="shared" si="150"/>
        <v>160376.74</v>
      </c>
      <c r="V947" s="9">
        <f>MIN($I947,$H947)*INDEX('Key Metrics'!$E$16:$N$19,MATCH($E947,'Key Metrics'!$E$16:$E$19,0),MATCH(V$1,'Key Metrics'!$E$16:$M$16,0))</f>
        <v>90000</v>
      </c>
      <c r="W947" s="9">
        <f>IF($H947&gt;I947, MIN($H947-I947, J947-I947)*INDEX('Key Metrics'!$E$16:$N$19,MATCH($E947,'Key Metrics'!$E$16:$E$19,0),MATCH(W$1,'Key Metrics'!$E$16:$M$16,0)),0)</f>
        <v>15789.96</v>
      </c>
      <c r="X947" s="9">
        <f>IF($H947&gt;J947, MIN($H947-J947, K947-J947)*INDEX('Key Metrics'!$E$16:$N$19,MATCH($E947,'Key Metrics'!$E$16:$E$19,0),MATCH(X$1,'Key Metrics'!$E$16:$M$16,0)),0)</f>
        <v>0</v>
      </c>
      <c r="Y947" s="9">
        <f>IF($H947&gt;K947, MIN($H947-K947, L947-K947)*INDEX('Key Metrics'!$E$16:$N$19,MATCH($E947,'Key Metrics'!$E$16:$E$19,0),MATCH(Y$1,'Key Metrics'!$E$16:$M$16,0)),0)</f>
        <v>0</v>
      </c>
      <c r="Z947" s="9">
        <f>IF($H947&gt;L947,($H947-L947)*INDEX('Key Metrics'!$E$16:$N$19,MATCH($E947,'Key Metrics'!$E$16:$E$19,0),MATCH(Z$1,'Key Metrics'!$E$16:$M$16,0)),0)</f>
        <v>0</v>
      </c>
      <c r="AA947" s="9">
        <f t="shared" si="149"/>
        <v>105789.95999999999</v>
      </c>
      <c r="AB947" s="9">
        <f t="shared" si="151"/>
        <v>105791.10620333333</v>
      </c>
    </row>
    <row r="948" spans="1:28" x14ac:dyDescent="0.55000000000000004">
      <c r="A948" t="str">
        <f t="shared" si="142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COUNTIF(deals_closed!$D$2:$D$20001,Calculations!B315)</f>
        <v>19</v>
      </c>
      <c r="H948" s="7">
        <f>SUMIF(deals_closed!$D:$D,Calculations!B315,deals_closed!$C:$C)</f>
        <v>613625</v>
      </c>
      <c r="I948" s="5">
        <f>VLOOKUP(E948,'2018_commission_structure'!$A$1:$I$4,9,FALSE)</f>
        <v>750000</v>
      </c>
      <c r="J948" s="9">
        <f t="shared" si="143"/>
        <v>937500</v>
      </c>
      <c r="K948" s="10">
        <f t="shared" si="144"/>
        <v>1125000</v>
      </c>
      <c r="L948" s="9">
        <f t="shared" si="145"/>
        <v>1500000</v>
      </c>
      <c r="M948" s="8">
        <f t="shared" si="146"/>
        <v>0.81816666666666671</v>
      </c>
      <c r="N948" t="str">
        <f t="shared" si="147"/>
        <v>0-100%</v>
      </c>
      <c r="O948" s="9">
        <f>MIN($H948,$I948)*INDEX('2018_commission_structure'!$A$1:$I$4,MATCH($E948,'2018_commission_structure'!$A$1:$A$4,0),MATCH(O$1,'2018_commission_structure'!$A$1:$I$1,0))</f>
        <v>92043.75</v>
      </c>
      <c r="P948" s="9">
        <f>IF(H948&gt;I948, MIN(H948-I948, J948-I948)*INDEX('2018_commission_structure'!$A$1:$I$4,MATCH($E948,'2018_commission_structure'!$A$1:$A$4,0),MATCH(P$1,'2018_commission_structure'!$A$1:$I$1,0)),0)</f>
        <v>0</v>
      </c>
      <c r="Q948" s="9">
        <f>IF($H948&gt;J948, MIN($H948-J948, K948-J948)*INDEX('2018_commission_structure'!$A$1:$I$4,MATCH($E948,'2018_commission_structure'!$A$1:$A$4,0),MATCH(Q$1,'2018_commission_structure'!$A$1:$I$1,0)),0)</f>
        <v>0</v>
      </c>
      <c r="R948" s="9">
        <f>IF($H948&gt;K948, MIN($H948-K948, L948-K948)*INDEX('2018_commission_structure'!$A$1:$I$4,MATCH($E948,'2018_commission_structure'!$A$1:$A$4,0),MATCH(R$1,'2018_commission_structure'!$A$1:$I$1,0)),0)</f>
        <v>0</v>
      </c>
      <c r="S948" s="9">
        <f>IF(H948&gt;L948,(H948-L948)*INDEX('2018_commission_structure'!$A$1:$I$4,MATCH($E948,'2018_commission_structure'!$A$1:$A$4,0),MATCH(S$1,'2018_commission_structure'!$A$1:$I$1,0)),0)</f>
        <v>0</v>
      </c>
      <c r="T948" s="9">
        <f t="shared" si="148"/>
        <v>92043.75</v>
      </c>
      <c r="U948" s="9">
        <f t="shared" si="150"/>
        <v>175272.75</v>
      </c>
      <c r="V948" s="9">
        <f>MIN($I948,$H948)*INDEX('Key Metrics'!$E$16:$N$19,MATCH($E948,'Key Metrics'!$E$16:$E$19,0),MATCH(V$1,'Key Metrics'!$E$16:$M$16,0))</f>
        <v>92043.75</v>
      </c>
      <c r="W948" s="9">
        <f>IF($H948&gt;I948, MIN($H948-I948, J948-I948)*INDEX('Key Metrics'!$E$16:$N$19,MATCH($E948,'Key Metrics'!$E$16:$E$19,0),MATCH(W$1,'Key Metrics'!$E$16:$M$16,0)),0)</f>
        <v>0</v>
      </c>
      <c r="X948" s="9">
        <f>IF($H948&gt;J948, MIN($H948-J948, K948-J948)*INDEX('Key Metrics'!$E$16:$N$19,MATCH($E948,'Key Metrics'!$E$16:$E$19,0),MATCH(X$1,'Key Metrics'!$E$16:$M$16,0)),0)</f>
        <v>0</v>
      </c>
      <c r="Y948" s="9">
        <f>IF($H948&gt;K948, MIN($H948-K948, L948-K948)*INDEX('Key Metrics'!$E$16:$N$19,MATCH($E948,'Key Metrics'!$E$16:$E$19,0),MATCH(Y$1,'Key Metrics'!$E$16:$M$16,0)),0)</f>
        <v>0</v>
      </c>
      <c r="Z948" s="9">
        <f>IF($H948&gt;L948,($H948-L948)*INDEX('Key Metrics'!$E$16:$N$19,MATCH($E948,'Key Metrics'!$E$16:$E$19,0),MATCH(Z$1,'Key Metrics'!$E$16:$M$16,0)),0)</f>
        <v>0</v>
      </c>
      <c r="AA948" s="9">
        <f t="shared" si="149"/>
        <v>92043.75</v>
      </c>
      <c r="AB948" s="9">
        <f t="shared" si="151"/>
        <v>92044.568166666664</v>
      </c>
    </row>
    <row r="949" spans="1:28" x14ac:dyDescent="0.55000000000000004">
      <c r="A949" t="str">
        <f t="shared" si="142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COUNTIF(deals_closed!$D$2:$D$20001,Calculations!B120)</f>
        <v>10</v>
      </c>
      <c r="H949" s="7">
        <f>SUMIF(deals_closed!$D:$D,Calculations!B120,deals_closed!$C:$C)</f>
        <v>301335</v>
      </c>
      <c r="I949" s="5">
        <f>VLOOKUP(E949,'2018_commission_structure'!$A$1:$I$4,9,FALSE)</f>
        <v>750000</v>
      </c>
      <c r="J949" s="9">
        <f t="shared" si="143"/>
        <v>937500</v>
      </c>
      <c r="K949" s="10">
        <f t="shared" si="144"/>
        <v>1125000</v>
      </c>
      <c r="L949" s="9">
        <f t="shared" si="145"/>
        <v>1500000</v>
      </c>
      <c r="M949" s="8">
        <f t="shared" si="146"/>
        <v>0.40178000000000003</v>
      </c>
      <c r="N949" t="str">
        <f t="shared" si="147"/>
        <v>0-100%</v>
      </c>
      <c r="O949" s="9">
        <f>MIN($H949,$I949)*INDEX('2018_commission_structure'!$A$1:$I$4,MATCH($E949,'2018_commission_structure'!$A$1:$A$4,0),MATCH(O$1,'2018_commission_structure'!$A$1:$I$1,0))</f>
        <v>45200.25</v>
      </c>
      <c r="P949" s="9">
        <f>IF(H949&gt;I949, MIN(H949-I949, J949-I949)*INDEX('2018_commission_structure'!$A$1:$I$4,MATCH($E949,'2018_commission_structure'!$A$1:$A$4,0),MATCH(P$1,'2018_commission_structure'!$A$1:$I$1,0)),0)</f>
        <v>0</v>
      </c>
      <c r="Q949" s="9">
        <f>IF($H949&gt;J949, MIN($H949-J949, K949-J949)*INDEX('2018_commission_structure'!$A$1:$I$4,MATCH($E949,'2018_commission_structure'!$A$1:$A$4,0),MATCH(Q$1,'2018_commission_structure'!$A$1:$I$1,0)),0)</f>
        <v>0</v>
      </c>
      <c r="R949" s="9">
        <f>IF($H949&gt;K949, MIN($H949-K949, L949-K949)*INDEX('2018_commission_structure'!$A$1:$I$4,MATCH($E949,'2018_commission_structure'!$A$1:$A$4,0),MATCH(R$1,'2018_commission_structure'!$A$1:$I$1,0)),0)</f>
        <v>0</v>
      </c>
      <c r="S949" s="9">
        <f>IF(H949&gt;L949,(H949-L949)*INDEX('2018_commission_structure'!$A$1:$I$4,MATCH($E949,'2018_commission_structure'!$A$1:$A$4,0),MATCH(S$1,'2018_commission_structure'!$A$1:$I$1,0)),0)</f>
        <v>0</v>
      </c>
      <c r="T949" s="9">
        <f t="shared" si="148"/>
        <v>45200.25</v>
      </c>
      <c r="U949" s="9">
        <f t="shared" si="150"/>
        <v>140548.25</v>
      </c>
      <c r="V949" s="9">
        <f>MIN($I949,$H949)*INDEX('Key Metrics'!$E$16:$N$19,MATCH($E949,'Key Metrics'!$E$16:$E$19,0),MATCH(V$1,'Key Metrics'!$E$16:$M$16,0))</f>
        <v>45200.25</v>
      </c>
      <c r="W949" s="9">
        <f>IF($H949&gt;I949, MIN($H949-I949, J949-I949)*INDEX('Key Metrics'!$E$16:$N$19,MATCH($E949,'Key Metrics'!$E$16:$E$19,0),MATCH(W$1,'Key Metrics'!$E$16:$M$16,0)),0)</f>
        <v>0</v>
      </c>
      <c r="X949" s="9">
        <f>IF($H949&gt;J949, MIN($H949-J949, K949-J949)*INDEX('Key Metrics'!$E$16:$N$19,MATCH($E949,'Key Metrics'!$E$16:$E$19,0),MATCH(X$1,'Key Metrics'!$E$16:$M$16,0)),0)</f>
        <v>0</v>
      </c>
      <c r="Y949" s="9">
        <f>IF($H949&gt;K949, MIN($H949-K949, L949-K949)*INDEX('Key Metrics'!$E$16:$N$19,MATCH($E949,'Key Metrics'!$E$16:$E$19,0),MATCH(Y$1,'Key Metrics'!$E$16:$M$16,0)),0)</f>
        <v>0</v>
      </c>
      <c r="Z949" s="9">
        <f>IF($H949&gt;L949,($H949-L949)*INDEX('Key Metrics'!$E$16:$N$19,MATCH($E949,'Key Metrics'!$E$16:$E$19,0),MATCH(Z$1,'Key Metrics'!$E$16:$M$16,0)),0)</f>
        <v>0</v>
      </c>
      <c r="AA949" s="9">
        <f t="shared" si="149"/>
        <v>45200.25</v>
      </c>
      <c r="AB949" s="9">
        <f t="shared" si="151"/>
        <v>45200.65178</v>
      </c>
    </row>
    <row r="950" spans="1:28" x14ac:dyDescent="0.55000000000000004">
      <c r="A950" t="str">
        <f t="shared" si="142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COUNTIF(deals_closed!$D$2:$D$20001,Calculations!B186)</f>
        <v>18</v>
      </c>
      <c r="H950" s="7">
        <f>SUMIF(deals_closed!$D:$D,Calculations!B186,deals_closed!$C:$C)</f>
        <v>503681</v>
      </c>
      <c r="I950" s="5">
        <f>VLOOKUP(E950,'2018_commission_structure'!$A$1:$I$4,9,FALSE)</f>
        <v>600000</v>
      </c>
      <c r="J950" s="9">
        <f t="shared" si="143"/>
        <v>750000</v>
      </c>
      <c r="K950" s="10">
        <f t="shared" si="144"/>
        <v>900000</v>
      </c>
      <c r="L950" s="9">
        <f t="shared" si="145"/>
        <v>1200000</v>
      </c>
      <c r="M950" s="8">
        <f t="shared" si="146"/>
        <v>0.83946833333333337</v>
      </c>
      <c r="N950" t="str">
        <f t="shared" si="147"/>
        <v>0-100%</v>
      </c>
      <c r="O950" s="9">
        <f>MIN($H950,$I950)*INDEX('2018_commission_structure'!$A$1:$I$4,MATCH($E950,'2018_commission_structure'!$A$1:$A$4,0),MATCH(O$1,'2018_commission_structure'!$A$1:$I$1,0))</f>
        <v>65478.53</v>
      </c>
      <c r="P950" s="9">
        <f>IF(H950&gt;I950, MIN(H950-I950, J950-I950)*INDEX('2018_commission_structure'!$A$1:$I$4,MATCH($E950,'2018_commission_structure'!$A$1:$A$4,0),MATCH(P$1,'2018_commission_structure'!$A$1:$I$1,0)),0)</f>
        <v>0</v>
      </c>
      <c r="Q950" s="9">
        <f>IF($H950&gt;J950, MIN($H950-J950, K950-J950)*INDEX('2018_commission_structure'!$A$1:$I$4,MATCH($E950,'2018_commission_structure'!$A$1:$A$4,0),MATCH(Q$1,'2018_commission_structure'!$A$1:$I$1,0)),0)</f>
        <v>0</v>
      </c>
      <c r="R950" s="9">
        <f>IF($H950&gt;K950, MIN($H950-K950, L950-K950)*INDEX('2018_commission_structure'!$A$1:$I$4,MATCH($E950,'2018_commission_structure'!$A$1:$A$4,0),MATCH(R$1,'2018_commission_structure'!$A$1:$I$1,0)),0)</f>
        <v>0</v>
      </c>
      <c r="S950" s="9">
        <f>IF(H950&gt;L950,(H950-L950)*INDEX('2018_commission_structure'!$A$1:$I$4,MATCH($E950,'2018_commission_structure'!$A$1:$A$4,0),MATCH(S$1,'2018_commission_structure'!$A$1:$I$1,0)),0)</f>
        <v>0</v>
      </c>
      <c r="T950" s="9">
        <f t="shared" si="148"/>
        <v>65478.53</v>
      </c>
      <c r="U950" s="9">
        <f t="shared" si="150"/>
        <v>122893.53</v>
      </c>
      <c r="V950" s="9">
        <f>MIN($I950,$H950)*INDEX('Key Metrics'!$E$16:$N$19,MATCH($E950,'Key Metrics'!$E$16:$E$19,0),MATCH(V$1,'Key Metrics'!$E$16:$M$16,0))</f>
        <v>75552.149999999994</v>
      </c>
      <c r="W950" s="9">
        <f>IF($H950&gt;I950, MIN($H950-I950, J950-I950)*INDEX('Key Metrics'!$E$16:$N$19,MATCH($E950,'Key Metrics'!$E$16:$E$19,0),MATCH(W$1,'Key Metrics'!$E$16:$M$16,0)),0)</f>
        <v>0</v>
      </c>
      <c r="X950" s="9">
        <f>IF($H950&gt;J950, MIN($H950-J950, K950-J950)*INDEX('Key Metrics'!$E$16:$N$19,MATCH($E950,'Key Metrics'!$E$16:$E$19,0),MATCH(X$1,'Key Metrics'!$E$16:$M$16,0)),0)</f>
        <v>0</v>
      </c>
      <c r="Y950" s="9">
        <f>IF($H950&gt;K950, MIN($H950-K950, L950-K950)*INDEX('Key Metrics'!$E$16:$N$19,MATCH($E950,'Key Metrics'!$E$16:$E$19,0),MATCH(Y$1,'Key Metrics'!$E$16:$M$16,0)),0)</f>
        <v>0</v>
      </c>
      <c r="Z950" s="9">
        <f>IF($H950&gt;L950,($H950-L950)*INDEX('Key Metrics'!$E$16:$N$19,MATCH($E950,'Key Metrics'!$E$16:$E$19,0),MATCH(Z$1,'Key Metrics'!$E$16:$M$16,0)),0)</f>
        <v>0</v>
      </c>
      <c r="AA950" s="9">
        <f t="shared" si="149"/>
        <v>75552.149999999994</v>
      </c>
      <c r="AB950" s="9">
        <f t="shared" si="151"/>
        <v>75552.989468333326</v>
      </c>
    </row>
    <row r="951" spans="1:28" x14ac:dyDescent="0.55000000000000004">
      <c r="A951" t="str">
        <f t="shared" si="142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COUNTIF(deals_closed!$D$2:$D$20001,Calculations!B944)</f>
        <v>11</v>
      </c>
      <c r="H951" s="7">
        <f>SUMIF(deals_closed!$D:$D,Calculations!B944,deals_closed!$C:$C)</f>
        <v>454991</v>
      </c>
      <c r="I951" s="5">
        <f>VLOOKUP(E951,'2018_commission_structure'!$A$1:$I$4,9,FALSE)</f>
        <v>750000</v>
      </c>
      <c r="J951" s="9">
        <f t="shared" si="143"/>
        <v>937500</v>
      </c>
      <c r="K951" s="10">
        <f t="shared" si="144"/>
        <v>1125000</v>
      </c>
      <c r="L951" s="9">
        <f t="shared" si="145"/>
        <v>1500000</v>
      </c>
      <c r="M951" s="8">
        <f t="shared" si="146"/>
        <v>0.60665466666666668</v>
      </c>
      <c r="N951" t="str">
        <f t="shared" si="147"/>
        <v>0-100%</v>
      </c>
      <c r="O951" s="9">
        <f>MIN($H951,$I951)*INDEX('2018_commission_structure'!$A$1:$I$4,MATCH($E951,'2018_commission_structure'!$A$1:$A$4,0),MATCH(O$1,'2018_commission_structure'!$A$1:$I$1,0))</f>
        <v>68248.649999999994</v>
      </c>
      <c r="P951" s="9">
        <f>IF(H951&gt;I951, MIN(H951-I951, J951-I951)*INDEX('2018_commission_structure'!$A$1:$I$4,MATCH($E951,'2018_commission_structure'!$A$1:$A$4,0),MATCH(P$1,'2018_commission_structure'!$A$1:$I$1,0)),0)</f>
        <v>0</v>
      </c>
      <c r="Q951" s="9">
        <f>IF($H951&gt;J951, MIN($H951-J951, K951-J951)*INDEX('2018_commission_structure'!$A$1:$I$4,MATCH($E951,'2018_commission_structure'!$A$1:$A$4,0),MATCH(Q$1,'2018_commission_structure'!$A$1:$I$1,0)),0)</f>
        <v>0</v>
      </c>
      <c r="R951" s="9">
        <f>IF($H951&gt;K951, MIN($H951-K951, L951-K951)*INDEX('2018_commission_structure'!$A$1:$I$4,MATCH($E951,'2018_commission_structure'!$A$1:$A$4,0),MATCH(R$1,'2018_commission_structure'!$A$1:$I$1,0)),0)</f>
        <v>0</v>
      </c>
      <c r="S951" s="9">
        <f>IF(H951&gt;L951,(H951-L951)*INDEX('2018_commission_structure'!$A$1:$I$4,MATCH($E951,'2018_commission_structure'!$A$1:$A$4,0),MATCH(S$1,'2018_commission_structure'!$A$1:$I$1,0)),0)</f>
        <v>0</v>
      </c>
      <c r="T951" s="9">
        <f t="shared" si="148"/>
        <v>68248.649999999994</v>
      </c>
      <c r="U951" s="9">
        <f t="shared" si="150"/>
        <v>163458.65</v>
      </c>
      <c r="V951" s="9">
        <f>MIN($I951,$H951)*INDEX('Key Metrics'!$E$16:$N$19,MATCH($E951,'Key Metrics'!$E$16:$E$19,0),MATCH(V$1,'Key Metrics'!$E$16:$M$16,0))</f>
        <v>68248.649999999994</v>
      </c>
      <c r="W951" s="9">
        <f>IF($H951&gt;I951, MIN($H951-I951, J951-I951)*INDEX('Key Metrics'!$E$16:$N$19,MATCH($E951,'Key Metrics'!$E$16:$E$19,0),MATCH(W$1,'Key Metrics'!$E$16:$M$16,0)),0)</f>
        <v>0</v>
      </c>
      <c r="X951" s="9">
        <f>IF($H951&gt;J951, MIN($H951-J951, K951-J951)*INDEX('Key Metrics'!$E$16:$N$19,MATCH($E951,'Key Metrics'!$E$16:$E$19,0),MATCH(X$1,'Key Metrics'!$E$16:$M$16,0)),0)</f>
        <v>0</v>
      </c>
      <c r="Y951" s="9">
        <f>IF($H951&gt;K951, MIN($H951-K951, L951-K951)*INDEX('Key Metrics'!$E$16:$N$19,MATCH($E951,'Key Metrics'!$E$16:$E$19,0),MATCH(Y$1,'Key Metrics'!$E$16:$M$16,0)),0)</f>
        <v>0</v>
      </c>
      <c r="Z951" s="9">
        <f>IF($H951&gt;L951,($H951-L951)*INDEX('Key Metrics'!$E$16:$N$19,MATCH($E951,'Key Metrics'!$E$16:$E$19,0),MATCH(Z$1,'Key Metrics'!$E$16:$M$16,0)),0)</f>
        <v>0</v>
      </c>
      <c r="AA951" s="9">
        <f t="shared" si="149"/>
        <v>68248.649999999994</v>
      </c>
      <c r="AB951" s="9">
        <f t="shared" si="151"/>
        <v>68249.256654666664</v>
      </c>
    </row>
    <row r="952" spans="1:28" x14ac:dyDescent="0.55000000000000004">
      <c r="A952" t="str">
        <f t="shared" si="142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COUNTIF(deals_closed!$D$2:$D$20001,Calculations!B286)</f>
        <v>16</v>
      </c>
      <c r="H952" s="7">
        <f>SUMIF(deals_closed!$D:$D,Calculations!B286,deals_closed!$C:$C)</f>
        <v>601796</v>
      </c>
      <c r="I952" s="5">
        <f>VLOOKUP(E952,'2018_commission_structure'!$A$1:$I$4,9,FALSE)</f>
        <v>500000</v>
      </c>
      <c r="J952" s="9">
        <f t="shared" si="143"/>
        <v>625000</v>
      </c>
      <c r="K952" s="10">
        <f t="shared" si="144"/>
        <v>750000</v>
      </c>
      <c r="L952" s="9">
        <f t="shared" si="145"/>
        <v>1000000</v>
      </c>
      <c r="M952" s="8">
        <f t="shared" si="146"/>
        <v>1.203592</v>
      </c>
      <c r="N952" t="str">
        <f t="shared" si="147"/>
        <v>100-125%</v>
      </c>
      <c r="O952" s="9">
        <f>MIN($H952,$I952)*INDEX('2018_commission_structure'!$A$1:$I$4,MATCH($E952,'2018_commission_structure'!$A$1:$A$4,0),MATCH(O$1,'2018_commission_structure'!$A$1:$I$1,0))</f>
        <v>50000</v>
      </c>
      <c r="P952" s="9">
        <f>IF(H952&gt;I952, MIN(H952-I952, J952-I952)*INDEX('2018_commission_structure'!$A$1:$I$4,MATCH($E952,'2018_commission_structure'!$A$1:$A$4,0),MATCH(P$1,'2018_commission_structure'!$A$1:$I$1,0)),0)</f>
        <v>15269.4</v>
      </c>
      <c r="Q952" s="9">
        <f>IF($H952&gt;J952, MIN($H952-J952, K952-J952)*INDEX('2018_commission_structure'!$A$1:$I$4,MATCH($E952,'2018_commission_structure'!$A$1:$A$4,0),MATCH(Q$1,'2018_commission_structure'!$A$1:$I$1,0)),0)</f>
        <v>0</v>
      </c>
      <c r="R952" s="9">
        <f>IF($H952&gt;K952, MIN($H952-K952, L952-K952)*INDEX('2018_commission_structure'!$A$1:$I$4,MATCH($E952,'2018_commission_structure'!$A$1:$A$4,0),MATCH(R$1,'2018_commission_structure'!$A$1:$I$1,0)),0)</f>
        <v>0</v>
      </c>
      <c r="S952" s="9">
        <f>IF(H952&gt;L952,(H952-L952)*INDEX('2018_commission_structure'!$A$1:$I$4,MATCH($E952,'2018_commission_structure'!$A$1:$A$4,0),MATCH(S$1,'2018_commission_structure'!$A$1:$I$1,0)),0)</f>
        <v>0</v>
      </c>
      <c r="T952" s="9">
        <f t="shared" si="148"/>
        <v>65269.4</v>
      </c>
      <c r="U952" s="9">
        <f t="shared" si="150"/>
        <v>97677.4</v>
      </c>
      <c r="V952" s="9">
        <f>MIN($I952,$H952)*INDEX('Key Metrics'!$E$16:$N$19,MATCH($E952,'Key Metrics'!$E$16:$E$19,0),MATCH(V$1,'Key Metrics'!$E$16:$M$16,0))</f>
        <v>60000</v>
      </c>
      <c r="W952" s="9">
        <f>IF($H952&gt;I952, MIN($H952-I952, J952-I952)*INDEX('Key Metrics'!$E$16:$N$19,MATCH($E952,'Key Metrics'!$E$16:$E$19,0),MATCH(W$1,'Key Metrics'!$E$16:$M$16,0)),0)</f>
        <v>17305.32</v>
      </c>
      <c r="X952" s="9">
        <f>IF($H952&gt;J952, MIN($H952-J952, K952-J952)*INDEX('Key Metrics'!$E$16:$N$19,MATCH($E952,'Key Metrics'!$E$16:$E$19,0),MATCH(X$1,'Key Metrics'!$E$16:$M$16,0)),0)</f>
        <v>0</v>
      </c>
      <c r="Y952" s="9">
        <f>IF($H952&gt;K952, MIN($H952-K952, L952-K952)*INDEX('Key Metrics'!$E$16:$N$19,MATCH($E952,'Key Metrics'!$E$16:$E$19,0),MATCH(Y$1,'Key Metrics'!$E$16:$M$16,0)),0)</f>
        <v>0</v>
      </c>
      <c r="Z952" s="9">
        <f>IF($H952&gt;L952,($H952-L952)*INDEX('Key Metrics'!$E$16:$N$19,MATCH($E952,'Key Metrics'!$E$16:$E$19,0),MATCH(Z$1,'Key Metrics'!$E$16:$M$16,0)),0)</f>
        <v>0</v>
      </c>
      <c r="AA952" s="9">
        <f t="shared" si="149"/>
        <v>77305.320000000007</v>
      </c>
      <c r="AB952" s="9">
        <f t="shared" si="151"/>
        <v>77306.523592000012</v>
      </c>
    </row>
    <row r="953" spans="1:28" x14ac:dyDescent="0.55000000000000004">
      <c r="A953" t="str">
        <f t="shared" si="142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COUNTIF(deals_closed!$D$2:$D$20001,Calculations!B91)</f>
        <v>15</v>
      </c>
      <c r="H953" s="7">
        <f>SUMIF(deals_closed!$D:$D,Calculations!B91,deals_closed!$C:$C)</f>
        <v>552282</v>
      </c>
      <c r="I953" s="5">
        <f>VLOOKUP(E953,'2018_commission_structure'!$A$1:$I$4,9,FALSE)</f>
        <v>750000</v>
      </c>
      <c r="J953" s="9">
        <f t="shared" si="143"/>
        <v>937500</v>
      </c>
      <c r="K953" s="10">
        <f t="shared" si="144"/>
        <v>1125000</v>
      </c>
      <c r="L953" s="9">
        <f t="shared" si="145"/>
        <v>1500000</v>
      </c>
      <c r="M953" s="8">
        <f t="shared" si="146"/>
        <v>0.73637600000000003</v>
      </c>
      <c r="N953" t="str">
        <f t="shared" si="147"/>
        <v>0-100%</v>
      </c>
      <c r="O953" s="9">
        <f>MIN($H953,$I953)*INDEX('2018_commission_structure'!$A$1:$I$4,MATCH($E953,'2018_commission_structure'!$A$1:$A$4,0),MATCH(O$1,'2018_commission_structure'!$A$1:$I$1,0))</f>
        <v>82842.3</v>
      </c>
      <c r="P953" s="9">
        <f>IF(H953&gt;I953, MIN(H953-I953, J953-I953)*INDEX('2018_commission_structure'!$A$1:$I$4,MATCH($E953,'2018_commission_structure'!$A$1:$A$4,0),MATCH(P$1,'2018_commission_structure'!$A$1:$I$1,0)),0)</f>
        <v>0</v>
      </c>
      <c r="Q953" s="9">
        <f>IF($H953&gt;J953, MIN($H953-J953, K953-J953)*INDEX('2018_commission_structure'!$A$1:$I$4,MATCH($E953,'2018_commission_structure'!$A$1:$A$4,0),MATCH(Q$1,'2018_commission_structure'!$A$1:$I$1,0)),0)</f>
        <v>0</v>
      </c>
      <c r="R953" s="9">
        <f>IF($H953&gt;K953, MIN($H953-K953, L953-K953)*INDEX('2018_commission_structure'!$A$1:$I$4,MATCH($E953,'2018_commission_structure'!$A$1:$A$4,0),MATCH(R$1,'2018_commission_structure'!$A$1:$I$1,0)),0)</f>
        <v>0</v>
      </c>
      <c r="S953" s="9">
        <f>IF(H953&gt;L953,(H953-L953)*INDEX('2018_commission_structure'!$A$1:$I$4,MATCH($E953,'2018_commission_structure'!$A$1:$A$4,0),MATCH(S$1,'2018_commission_structure'!$A$1:$I$1,0)),0)</f>
        <v>0</v>
      </c>
      <c r="T953" s="9">
        <f t="shared" si="148"/>
        <v>82842.3</v>
      </c>
      <c r="U953" s="9">
        <f t="shared" si="150"/>
        <v>160625.29999999999</v>
      </c>
      <c r="V953" s="9">
        <f>MIN($I953,$H953)*INDEX('Key Metrics'!$E$16:$N$19,MATCH($E953,'Key Metrics'!$E$16:$E$19,0),MATCH(V$1,'Key Metrics'!$E$16:$M$16,0))</f>
        <v>82842.3</v>
      </c>
      <c r="W953" s="9">
        <f>IF($H953&gt;I953, MIN($H953-I953, J953-I953)*INDEX('Key Metrics'!$E$16:$N$19,MATCH($E953,'Key Metrics'!$E$16:$E$19,0),MATCH(W$1,'Key Metrics'!$E$16:$M$16,0)),0)</f>
        <v>0</v>
      </c>
      <c r="X953" s="9">
        <f>IF($H953&gt;J953, MIN($H953-J953, K953-J953)*INDEX('Key Metrics'!$E$16:$N$19,MATCH($E953,'Key Metrics'!$E$16:$E$19,0),MATCH(X$1,'Key Metrics'!$E$16:$M$16,0)),0)</f>
        <v>0</v>
      </c>
      <c r="Y953" s="9">
        <f>IF($H953&gt;K953, MIN($H953-K953, L953-K953)*INDEX('Key Metrics'!$E$16:$N$19,MATCH($E953,'Key Metrics'!$E$16:$E$19,0),MATCH(Y$1,'Key Metrics'!$E$16:$M$16,0)),0)</f>
        <v>0</v>
      </c>
      <c r="Z953" s="9">
        <f>IF($H953&gt;L953,($H953-L953)*INDEX('Key Metrics'!$E$16:$N$19,MATCH($E953,'Key Metrics'!$E$16:$E$19,0),MATCH(Z$1,'Key Metrics'!$E$16:$M$16,0)),0)</f>
        <v>0</v>
      </c>
      <c r="AA953" s="9">
        <f t="shared" si="149"/>
        <v>82842.3</v>
      </c>
      <c r="AB953" s="9">
        <f t="shared" si="151"/>
        <v>82843.036376000004</v>
      </c>
    </row>
    <row r="954" spans="1:28" x14ac:dyDescent="0.55000000000000004">
      <c r="A954" t="str">
        <f t="shared" si="142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COUNTIF(deals_closed!$D$2:$D$20001,Calculations!B606)</f>
        <v>18</v>
      </c>
      <c r="H954" s="7">
        <f>SUMIF(deals_closed!$D:$D,Calculations!B606,deals_closed!$C:$C)</f>
        <v>602312</v>
      </c>
      <c r="I954" s="5">
        <f>VLOOKUP(E954,'2018_commission_structure'!$A$1:$I$4,9,FALSE)</f>
        <v>600000</v>
      </c>
      <c r="J954" s="9">
        <f t="shared" si="143"/>
        <v>750000</v>
      </c>
      <c r="K954" s="10">
        <f t="shared" si="144"/>
        <v>900000</v>
      </c>
      <c r="L954" s="9">
        <f t="shared" si="145"/>
        <v>1200000</v>
      </c>
      <c r="M954" s="8">
        <f t="shared" si="146"/>
        <v>1.0038533333333333</v>
      </c>
      <c r="N954" t="str">
        <f t="shared" si="147"/>
        <v>100-125%</v>
      </c>
      <c r="O954" s="9">
        <f>MIN($H954,$I954)*INDEX('2018_commission_structure'!$A$1:$I$4,MATCH($E954,'2018_commission_structure'!$A$1:$A$4,0),MATCH(O$1,'2018_commission_structure'!$A$1:$I$1,0))</f>
        <v>78000</v>
      </c>
      <c r="P954" s="9">
        <f>IF(H954&gt;I954, MIN(H954-I954, J954-I954)*INDEX('2018_commission_structure'!$A$1:$I$4,MATCH($E954,'2018_commission_structure'!$A$1:$A$4,0),MATCH(P$1,'2018_commission_structure'!$A$1:$I$1,0)),0)</f>
        <v>393.04</v>
      </c>
      <c r="Q954" s="9">
        <f>IF($H954&gt;J954, MIN($H954-J954, K954-J954)*INDEX('2018_commission_structure'!$A$1:$I$4,MATCH($E954,'2018_commission_structure'!$A$1:$A$4,0),MATCH(Q$1,'2018_commission_structure'!$A$1:$I$1,0)),0)</f>
        <v>0</v>
      </c>
      <c r="R954" s="9">
        <f>IF($H954&gt;K954, MIN($H954-K954, L954-K954)*INDEX('2018_commission_structure'!$A$1:$I$4,MATCH($E954,'2018_commission_structure'!$A$1:$A$4,0),MATCH(R$1,'2018_commission_structure'!$A$1:$I$1,0)),0)</f>
        <v>0</v>
      </c>
      <c r="S954" s="9">
        <f>IF(H954&gt;L954,(H954-L954)*INDEX('2018_commission_structure'!$A$1:$I$4,MATCH($E954,'2018_commission_structure'!$A$1:$A$4,0),MATCH(S$1,'2018_commission_structure'!$A$1:$I$1,0)),0)</f>
        <v>0</v>
      </c>
      <c r="T954" s="9">
        <f t="shared" si="148"/>
        <v>78393.039999999994</v>
      </c>
      <c r="U954" s="9">
        <f t="shared" si="150"/>
        <v>149520.03999999998</v>
      </c>
      <c r="V954" s="9">
        <f>MIN($I954,$H954)*INDEX('Key Metrics'!$E$16:$N$19,MATCH($E954,'Key Metrics'!$E$16:$E$19,0),MATCH(V$1,'Key Metrics'!$E$16:$M$16,0))</f>
        <v>90000</v>
      </c>
      <c r="W954" s="9">
        <f>IF($H954&gt;I954, MIN($H954-I954, J954-I954)*INDEX('Key Metrics'!$E$16:$N$19,MATCH($E954,'Key Metrics'!$E$16:$E$19,0),MATCH(W$1,'Key Metrics'!$E$16:$M$16,0)),0)</f>
        <v>416.15999999999997</v>
      </c>
      <c r="X954" s="9">
        <f>IF($H954&gt;J954, MIN($H954-J954, K954-J954)*INDEX('Key Metrics'!$E$16:$N$19,MATCH($E954,'Key Metrics'!$E$16:$E$19,0),MATCH(X$1,'Key Metrics'!$E$16:$M$16,0)),0)</f>
        <v>0</v>
      </c>
      <c r="Y954" s="9">
        <f>IF($H954&gt;K954, MIN($H954-K954, L954-K954)*INDEX('Key Metrics'!$E$16:$N$19,MATCH($E954,'Key Metrics'!$E$16:$E$19,0),MATCH(Y$1,'Key Metrics'!$E$16:$M$16,0)),0)</f>
        <v>0</v>
      </c>
      <c r="Z954" s="9">
        <f>IF($H954&gt;L954,($H954-L954)*INDEX('Key Metrics'!$E$16:$N$19,MATCH($E954,'Key Metrics'!$E$16:$E$19,0),MATCH(Z$1,'Key Metrics'!$E$16:$M$16,0)),0)</f>
        <v>0</v>
      </c>
      <c r="AA954" s="9">
        <f t="shared" si="149"/>
        <v>90416.16</v>
      </c>
      <c r="AB954" s="9">
        <f t="shared" si="151"/>
        <v>90417.163853333332</v>
      </c>
    </row>
    <row r="955" spans="1:28" x14ac:dyDescent="0.55000000000000004">
      <c r="A955" t="str">
        <f t="shared" si="142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COUNTIF(deals_closed!$D$2:$D$20001,Calculations!B294)</f>
        <v>18</v>
      </c>
      <c r="H955" s="7">
        <f>SUMIF(deals_closed!$D:$D,Calculations!B294,deals_closed!$C:$C)</f>
        <v>579015</v>
      </c>
      <c r="I955" s="5">
        <f>VLOOKUP(E955,'2018_commission_structure'!$A$1:$I$4,9,FALSE)</f>
        <v>600000</v>
      </c>
      <c r="J955" s="9">
        <f t="shared" si="143"/>
        <v>750000</v>
      </c>
      <c r="K955" s="10">
        <f t="shared" si="144"/>
        <v>900000</v>
      </c>
      <c r="L955" s="9">
        <f t="shared" si="145"/>
        <v>1200000</v>
      </c>
      <c r="M955" s="8">
        <f t="shared" si="146"/>
        <v>0.96502500000000002</v>
      </c>
      <c r="N955" t="str">
        <f t="shared" si="147"/>
        <v>0-100%</v>
      </c>
      <c r="O955" s="9">
        <f>MIN($H955,$I955)*INDEX('2018_commission_structure'!$A$1:$I$4,MATCH($E955,'2018_commission_structure'!$A$1:$A$4,0),MATCH(O$1,'2018_commission_structure'!$A$1:$I$1,0))</f>
        <v>75271.95</v>
      </c>
      <c r="P955" s="9">
        <f>IF(H955&gt;I955, MIN(H955-I955, J955-I955)*INDEX('2018_commission_structure'!$A$1:$I$4,MATCH($E955,'2018_commission_structure'!$A$1:$A$4,0),MATCH(P$1,'2018_commission_structure'!$A$1:$I$1,0)),0)</f>
        <v>0</v>
      </c>
      <c r="Q955" s="9">
        <f>IF($H955&gt;J955, MIN($H955-J955, K955-J955)*INDEX('2018_commission_structure'!$A$1:$I$4,MATCH($E955,'2018_commission_structure'!$A$1:$A$4,0),MATCH(Q$1,'2018_commission_structure'!$A$1:$I$1,0)),0)</f>
        <v>0</v>
      </c>
      <c r="R955" s="9">
        <f>IF($H955&gt;K955, MIN($H955-K955, L955-K955)*INDEX('2018_commission_structure'!$A$1:$I$4,MATCH($E955,'2018_commission_structure'!$A$1:$A$4,0),MATCH(R$1,'2018_commission_structure'!$A$1:$I$1,0)),0)</f>
        <v>0</v>
      </c>
      <c r="S955" s="9">
        <f>IF(H955&gt;L955,(H955-L955)*INDEX('2018_commission_structure'!$A$1:$I$4,MATCH($E955,'2018_commission_structure'!$A$1:$A$4,0),MATCH(S$1,'2018_commission_structure'!$A$1:$I$1,0)),0)</f>
        <v>0</v>
      </c>
      <c r="T955" s="9">
        <f t="shared" si="148"/>
        <v>75271.95</v>
      </c>
      <c r="U955" s="9">
        <f t="shared" si="150"/>
        <v>154773.95000000001</v>
      </c>
      <c r="V955" s="9">
        <f>MIN($I955,$H955)*INDEX('Key Metrics'!$E$16:$N$19,MATCH($E955,'Key Metrics'!$E$16:$E$19,0),MATCH(V$1,'Key Metrics'!$E$16:$M$16,0))</f>
        <v>86852.25</v>
      </c>
      <c r="W955" s="9">
        <f>IF($H955&gt;I955, MIN($H955-I955, J955-I955)*INDEX('Key Metrics'!$E$16:$N$19,MATCH($E955,'Key Metrics'!$E$16:$E$19,0),MATCH(W$1,'Key Metrics'!$E$16:$M$16,0)),0)</f>
        <v>0</v>
      </c>
      <c r="X955" s="9">
        <f>IF($H955&gt;J955, MIN($H955-J955, K955-J955)*INDEX('Key Metrics'!$E$16:$N$19,MATCH($E955,'Key Metrics'!$E$16:$E$19,0),MATCH(X$1,'Key Metrics'!$E$16:$M$16,0)),0)</f>
        <v>0</v>
      </c>
      <c r="Y955" s="9">
        <f>IF($H955&gt;K955, MIN($H955-K955, L955-K955)*INDEX('Key Metrics'!$E$16:$N$19,MATCH($E955,'Key Metrics'!$E$16:$E$19,0),MATCH(Y$1,'Key Metrics'!$E$16:$M$16,0)),0)</f>
        <v>0</v>
      </c>
      <c r="Z955" s="9">
        <f>IF($H955&gt;L955,($H955-L955)*INDEX('Key Metrics'!$E$16:$N$19,MATCH($E955,'Key Metrics'!$E$16:$E$19,0),MATCH(Z$1,'Key Metrics'!$E$16:$M$16,0)),0)</f>
        <v>0</v>
      </c>
      <c r="AA955" s="9">
        <f t="shared" si="149"/>
        <v>86852.25</v>
      </c>
      <c r="AB955" s="9">
        <f t="shared" si="151"/>
        <v>86853.215024999998</v>
      </c>
    </row>
    <row r="956" spans="1:28" x14ac:dyDescent="0.55000000000000004">
      <c r="A956" t="str">
        <f t="shared" si="142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COUNTIF(deals_closed!$D$2:$D$20001,Calculations!B233)</f>
        <v>24</v>
      </c>
      <c r="H956" s="7">
        <f>SUMIF(deals_closed!$D:$D,Calculations!B233,deals_closed!$C:$C)</f>
        <v>937239</v>
      </c>
      <c r="I956" s="5">
        <f>VLOOKUP(E956,'2018_commission_structure'!$A$1:$I$4,9,FALSE)</f>
        <v>600000</v>
      </c>
      <c r="J956" s="9">
        <f t="shared" si="143"/>
        <v>750000</v>
      </c>
      <c r="K956" s="10">
        <f t="shared" si="144"/>
        <v>900000</v>
      </c>
      <c r="L956" s="9">
        <f t="shared" si="145"/>
        <v>1200000</v>
      </c>
      <c r="M956" s="8">
        <f t="shared" si="146"/>
        <v>1.562065</v>
      </c>
      <c r="N956" t="str">
        <f t="shared" si="147"/>
        <v>150-200%</v>
      </c>
      <c r="O956" s="9">
        <f>MIN($H956,$I956)*INDEX('2018_commission_structure'!$A$1:$I$4,MATCH($E956,'2018_commission_structure'!$A$1:$A$4,0),MATCH(O$1,'2018_commission_structure'!$A$1:$I$1,0))</f>
        <v>78000</v>
      </c>
      <c r="P956" s="9">
        <f>IF(H956&gt;I956, MIN(H956-I956, J956-I956)*INDEX('2018_commission_structure'!$A$1:$I$4,MATCH($E956,'2018_commission_structure'!$A$1:$A$4,0),MATCH(P$1,'2018_commission_structure'!$A$1:$I$1,0)),0)</f>
        <v>25500.000000000004</v>
      </c>
      <c r="Q956" s="9">
        <f>IF($H956&gt;J956, MIN($H956-J956, K956-J956)*INDEX('2018_commission_structure'!$A$1:$I$4,MATCH($E956,'2018_commission_structure'!$A$1:$A$4,0),MATCH(Q$1,'2018_commission_structure'!$A$1:$I$1,0)),0)</f>
        <v>31500</v>
      </c>
      <c r="R956" s="9">
        <f>IF($H956&gt;K956, MIN($H956-K956, L956-K956)*INDEX('2018_commission_structure'!$A$1:$I$4,MATCH($E956,'2018_commission_structure'!$A$1:$A$4,0),MATCH(R$1,'2018_commission_structure'!$A$1:$I$1,0)),0)</f>
        <v>9682.1400000000012</v>
      </c>
      <c r="S956" s="9">
        <f>IF(H956&gt;L956,(H956-L956)*INDEX('2018_commission_structure'!$A$1:$I$4,MATCH($E956,'2018_commission_structure'!$A$1:$A$4,0),MATCH(S$1,'2018_commission_structure'!$A$1:$I$1,0)),0)</f>
        <v>0</v>
      </c>
      <c r="T956" s="9">
        <f t="shared" si="148"/>
        <v>144682.14000000001</v>
      </c>
      <c r="U956" s="9">
        <f t="shared" si="150"/>
        <v>208436.14</v>
      </c>
      <c r="V956" s="9">
        <f>MIN($I956,$H956)*INDEX('Key Metrics'!$E$16:$N$19,MATCH($E956,'Key Metrics'!$E$16:$E$19,0),MATCH(V$1,'Key Metrics'!$E$16:$M$16,0))</f>
        <v>90000</v>
      </c>
      <c r="W956" s="9">
        <f>IF($H956&gt;I956, MIN($H956-I956, J956-I956)*INDEX('Key Metrics'!$E$16:$N$19,MATCH($E956,'Key Metrics'!$E$16:$E$19,0),MATCH(W$1,'Key Metrics'!$E$16:$M$16,0)),0)</f>
        <v>27000</v>
      </c>
      <c r="X956" s="9">
        <f>IF($H956&gt;J956, MIN($H956-J956, K956-J956)*INDEX('Key Metrics'!$E$16:$N$19,MATCH($E956,'Key Metrics'!$E$16:$E$19,0),MATCH(X$1,'Key Metrics'!$E$16:$M$16,0)),0)</f>
        <v>37500</v>
      </c>
      <c r="Y956" s="9">
        <f>IF($H956&gt;K956, MIN($H956-K956, L956-K956)*INDEX('Key Metrics'!$E$16:$N$19,MATCH($E956,'Key Metrics'!$E$16:$E$19,0),MATCH(Y$1,'Key Metrics'!$E$16:$M$16,0)),0)</f>
        <v>11171.699999999999</v>
      </c>
      <c r="Z956" s="9">
        <f>IF($H956&gt;L956,($H956-L956)*INDEX('Key Metrics'!$E$16:$N$19,MATCH($E956,'Key Metrics'!$E$16:$E$19,0),MATCH(Z$1,'Key Metrics'!$E$16:$M$16,0)),0)</f>
        <v>0</v>
      </c>
      <c r="AA956" s="9">
        <f t="shared" si="149"/>
        <v>165671.70000000001</v>
      </c>
      <c r="AB956" s="9">
        <f t="shared" si="151"/>
        <v>165673.26206500002</v>
      </c>
    </row>
    <row r="957" spans="1:28" x14ac:dyDescent="0.55000000000000004">
      <c r="A957" t="str">
        <f t="shared" si="142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COUNTIF(deals_closed!$D$2:$D$20001,Calculations!B394)</f>
        <v>23</v>
      </c>
      <c r="H957" s="7">
        <f>SUMIF(deals_closed!$D:$D,Calculations!B394,deals_closed!$C:$C)</f>
        <v>804790</v>
      </c>
      <c r="I957" s="5">
        <f>VLOOKUP(E957,'2018_commission_structure'!$A$1:$I$4,9,FALSE)</f>
        <v>500000</v>
      </c>
      <c r="J957" s="9">
        <f t="shared" si="143"/>
        <v>625000</v>
      </c>
      <c r="K957" s="10">
        <f t="shared" si="144"/>
        <v>750000</v>
      </c>
      <c r="L957" s="9">
        <f t="shared" si="145"/>
        <v>1000000</v>
      </c>
      <c r="M957" s="8">
        <f t="shared" si="146"/>
        <v>1.60958</v>
      </c>
      <c r="N957" t="str">
        <f t="shared" si="147"/>
        <v>150-200%</v>
      </c>
      <c r="O957" s="9">
        <f>MIN($H957,$I957)*INDEX('2018_commission_structure'!$A$1:$I$4,MATCH($E957,'2018_commission_structure'!$A$1:$A$4,0),MATCH(O$1,'2018_commission_structure'!$A$1:$I$1,0))</f>
        <v>50000</v>
      </c>
      <c r="P957" s="9">
        <f>IF(H957&gt;I957, MIN(H957-I957, J957-I957)*INDEX('2018_commission_structure'!$A$1:$I$4,MATCH($E957,'2018_commission_structure'!$A$1:$A$4,0),MATCH(P$1,'2018_commission_structure'!$A$1:$I$1,0)),0)</f>
        <v>18750</v>
      </c>
      <c r="Q957" s="9">
        <f>IF($H957&gt;J957, MIN($H957-J957, K957-J957)*INDEX('2018_commission_structure'!$A$1:$I$4,MATCH($E957,'2018_commission_structure'!$A$1:$A$4,0),MATCH(Q$1,'2018_commission_structure'!$A$1:$I$1,0)),0)</f>
        <v>22500</v>
      </c>
      <c r="R957" s="9">
        <f>IF($H957&gt;K957, MIN($H957-K957, L957-K957)*INDEX('2018_commission_structure'!$A$1:$I$4,MATCH($E957,'2018_commission_structure'!$A$1:$A$4,0),MATCH(R$1,'2018_commission_structure'!$A$1:$I$1,0)),0)</f>
        <v>12053.8</v>
      </c>
      <c r="S957" s="9">
        <f>IF(H957&gt;L957,(H957-L957)*INDEX('2018_commission_structure'!$A$1:$I$4,MATCH($E957,'2018_commission_structure'!$A$1:$A$4,0),MATCH(S$1,'2018_commission_structure'!$A$1:$I$1,0)),0)</f>
        <v>0</v>
      </c>
      <c r="T957" s="9">
        <f t="shared" si="148"/>
        <v>103303.8</v>
      </c>
      <c r="U957" s="9">
        <f t="shared" si="150"/>
        <v>155615.79999999999</v>
      </c>
      <c r="V957" s="9">
        <f>MIN($I957,$H957)*INDEX('Key Metrics'!$E$16:$N$19,MATCH($E957,'Key Metrics'!$E$16:$E$19,0),MATCH(V$1,'Key Metrics'!$E$16:$M$16,0))</f>
        <v>60000</v>
      </c>
      <c r="W957" s="9">
        <f>IF($H957&gt;I957, MIN($H957-I957, J957-I957)*INDEX('Key Metrics'!$E$16:$N$19,MATCH($E957,'Key Metrics'!$E$16:$E$19,0),MATCH(W$1,'Key Metrics'!$E$16:$M$16,0)),0)</f>
        <v>21250</v>
      </c>
      <c r="X957" s="9">
        <f>IF($H957&gt;J957, MIN($H957-J957, K957-J957)*INDEX('Key Metrics'!$E$16:$N$19,MATCH($E957,'Key Metrics'!$E$16:$E$19,0),MATCH(X$1,'Key Metrics'!$E$16:$M$16,0)),0)</f>
        <v>25000</v>
      </c>
      <c r="Y957" s="9">
        <f>IF($H957&gt;K957, MIN($H957-K957, L957-K957)*INDEX('Key Metrics'!$E$16:$N$19,MATCH($E957,'Key Metrics'!$E$16:$E$19,0),MATCH(Y$1,'Key Metrics'!$E$16:$M$16,0)),0)</f>
        <v>12053.8</v>
      </c>
      <c r="Z957" s="9">
        <f>IF($H957&gt;L957,($H957-L957)*INDEX('Key Metrics'!$E$16:$N$19,MATCH($E957,'Key Metrics'!$E$16:$E$19,0),MATCH(Z$1,'Key Metrics'!$E$16:$M$16,0)),0)</f>
        <v>0</v>
      </c>
      <c r="AA957" s="9">
        <f t="shared" si="149"/>
        <v>118303.8</v>
      </c>
      <c r="AB957" s="9">
        <f t="shared" si="151"/>
        <v>118305.40958000001</v>
      </c>
    </row>
    <row r="958" spans="1:28" x14ac:dyDescent="0.55000000000000004">
      <c r="A958" t="str">
        <f t="shared" si="142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COUNTIF(deals_closed!$D$2:$D$20001,Calculations!B66)</f>
        <v>20</v>
      </c>
      <c r="H958" s="7">
        <f>SUMIF(deals_closed!$D:$D,Calculations!B66,deals_closed!$C:$C)</f>
        <v>770020</v>
      </c>
      <c r="I958" s="5">
        <f>VLOOKUP(E958,'2018_commission_structure'!$A$1:$I$4,9,FALSE)</f>
        <v>600000</v>
      </c>
      <c r="J958" s="9">
        <f t="shared" si="143"/>
        <v>750000</v>
      </c>
      <c r="K958" s="10">
        <f t="shared" si="144"/>
        <v>900000</v>
      </c>
      <c r="L958" s="9">
        <f t="shared" si="145"/>
        <v>1200000</v>
      </c>
      <c r="M958" s="8">
        <f t="shared" si="146"/>
        <v>1.2833666666666668</v>
      </c>
      <c r="N958" t="str">
        <f t="shared" si="147"/>
        <v>125-150%</v>
      </c>
      <c r="O958" s="9">
        <f>MIN($H958,$I958)*INDEX('2018_commission_structure'!$A$1:$I$4,MATCH($E958,'2018_commission_structure'!$A$1:$A$4,0),MATCH(O$1,'2018_commission_structure'!$A$1:$I$1,0))</f>
        <v>78000</v>
      </c>
      <c r="P958" s="9">
        <f>IF(H958&gt;I958, MIN(H958-I958, J958-I958)*INDEX('2018_commission_structure'!$A$1:$I$4,MATCH($E958,'2018_commission_structure'!$A$1:$A$4,0),MATCH(P$1,'2018_commission_structure'!$A$1:$I$1,0)),0)</f>
        <v>25500.000000000004</v>
      </c>
      <c r="Q958" s="9">
        <f>IF($H958&gt;J958, MIN($H958-J958, K958-J958)*INDEX('2018_commission_structure'!$A$1:$I$4,MATCH($E958,'2018_commission_structure'!$A$1:$A$4,0),MATCH(Q$1,'2018_commission_structure'!$A$1:$I$1,0)),0)</f>
        <v>4204.2</v>
      </c>
      <c r="R958" s="9">
        <f>IF($H958&gt;K958, MIN($H958-K958, L958-K958)*INDEX('2018_commission_structure'!$A$1:$I$4,MATCH($E958,'2018_commission_structure'!$A$1:$A$4,0),MATCH(R$1,'2018_commission_structure'!$A$1:$I$1,0)),0)</f>
        <v>0</v>
      </c>
      <c r="S958" s="9">
        <f>IF(H958&gt;L958,(H958-L958)*INDEX('2018_commission_structure'!$A$1:$I$4,MATCH($E958,'2018_commission_structure'!$A$1:$A$4,0),MATCH(S$1,'2018_commission_structure'!$A$1:$I$1,0)),0)</f>
        <v>0</v>
      </c>
      <c r="T958" s="9">
        <f t="shared" si="148"/>
        <v>107704.2</v>
      </c>
      <c r="U958" s="9">
        <f t="shared" si="150"/>
        <v>179120.2</v>
      </c>
      <c r="V958" s="9">
        <f>MIN($I958,$H958)*INDEX('Key Metrics'!$E$16:$N$19,MATCH($E958,'Key Metrics'!$E$16:$E$19,0),MATCH(V$1,'Key Metrics'!$E$16:$M$16,0))</f>
        <v>90000</v>
      </c>
      <c r="W958" s="9">
        <f>IF($H958&gt;I958, MIN($H958-I958, J958-I958)*INDEX('Key Metrics'!$E$16:$N$19,MATCH($E958,'Key Metrics'!$E$16:$E$19,0),MATCH(W$1,'Key Metrics'!$E$16:$M$16,0)),0)</f>
        <v>27000</v>
      </c>
      <c r="X958" s="9">
        <f>IF($H958&gt;J958, MIN($H958-J958, K958-J958)*INDEX('Key Metrics'!$E$16:$N$19,MATCH($E958,'Key Metrics'!$E$16:$E$19,0),MATCH(X$1,'Key Metrics'!$E$16:$M$16,0)),0)</f>
        <v>5005</v>
      </c>
      <c r="Y958" s="9">
        <f>IF($H958&gt;K958, MIN($H958-K958, L958-K958)*INDEX('Key Metrics'!$E$16:$N$19,MATCH($E958,'Key Metrics'!$E$16:$E$19,0),MATCH(Y$1,'Key Metrics'!$E$16:$M$16,0)),0)</f>
        <v>0</v>
      </c>
      <c r="Z958" s="9">
        <f>IF($H958&gt;L958,($H958-L958)*INDEX('Key Metrics'!$E$16:$N$19,MATCH($E958,'Key Metrics'!$E$16:$E$19,0),MATCH(Z$1,'Key Metrics'!$E$16:$M$16,0)),0)</f>
        <v>0</v>
      </c>
      <c r="AA958" s="9">
        <f t="shared" si="149"/>
        <v>122005</v>
      </c>
      <c r="AB958" s="9">
        <f t="shared" si="151"/>
        <v>122006.28336666667</v>
      </c>
    </row>
    <row r="959" spans="1:28" x14ac:dyDescent="0.55000000000000004">
      <c r="A959" t="str">
        <f t="shared" si="142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COUNTIF(deals_closed!$D$2:$D$20001,Calculations!B735)</f>
        <v>19</v>
      </c>
      <c r="H959" s="7">
        <f>SUMIF(deals_closed!$D:$D,Calculations!B735,deals_closed!$C:$C)</f>
        <v>543496</v>
      </c>
      <c r="I959" s="5">
        <f>VLOOKUP(E959,'2018_commission_structure'!$A$1:$I$4,9,FALSE)</f>
        <v>600000</v>
      </c>
      <c r="J959" s="9">
        <f t="shared" si="143"/>
        <v>750000</v>
      </c>
      <c r="K959" s="10">
        <f t="shared" si="144"/>
        <v>900000</v>
      </c>
      <c r="L959" s="9">
        <f t="shared" si="145"/>
        <v>1200000</v>
      </c>
      <c r="M959" s="8">
        <f t="shared" si="146"/>
        <v>0.90582666666666667</v>
      </c>
      <c r="N959" t="str">
        <f t="shared" si="147"/>
        <v>0-100%</v>
      </c>
      <c r="O959" s="9">
        <f>MIN($H959,$I959)*INDEX('2018_commission_structure'!$A$1:$I$4,MATCH($E959,'2018_commission_structure'!$A$1:$A$4,0),MATCH(O$1,'2018_commission_structure'!$A$1:$I$1,0))</f>
        <v>70654.48</v>
      </c>
      <c r="P959" s="9">
        <f>IF(H959&gt;I959, MIN(H959-I959, J959-I959)*INDEX('2018_commission_structure'!$A$1:$I$4,MATCH($E959,'2018_commission_structure'!$A$1:$A$4,0),MATCH(P$1,'2018_commission_structure'!$A$1:$I$1,0)),0)</f>
        <v>0</v>
      </c>
      <c r="Q959" s="9">
        <f>IF($H959&gt;J959, MIN($H959-J959, K959-J959)*INDEX('2018_commission_structure'!$A$1:$I$4,MATCH($E959,'2018_commission_structure'!$A$1:$A$4,0),MATCH(Q$1,'2018_commission_structure'!$A$1:$I$1,0)),0)</f>
        <v>0</v>
      </c>
      <c r="R959" s="9">
        <f>IF($H959&gt;K959, MIN($H959-K959, L959-K959)*INDEX('2018_commission_structure'!$A$1:$I$4,MATCH($E959,'2018_commission_structure'!$A$1:$A$4,0),MATCH(R$1,'2018_commission_structure'!$A$1:$I$1,0)),0)</f>
        <v>0</v>
      </c>
      <c r="S959" s="9">
        <f>IF(H959&gt;L959,(H959-L959)*INDEX('2018_commission_structure'!$A$1:$I$4,MATCH($E959,'2018_commission_structure'!$A$1:$A$4,0),MATCH(S$1,'2018_commission_structure'!$A$1:$I$1,0)),0)</f>
        <v>0</v>
      </c>
      <c r="T959" s="9">
        <f t="shared" si="148"/>
        <v>70654.48</v>
      </c>
      <c r="U959" s="9">
        <f t="shared" si="150"/>
        <v>147684.47999999998</v>
      </c>
      <c r="V959" s="9">
        <f>MIN($I959,$H959)*INDEX('Key Metrics'!$E$16:$N$19,MATCH($E959,'Key Metrics'!$E$16:$E$19,0),MATCH(V$1,'Key Metrics'!$E$16:$M$16,0))</f>
        <v>81524.399999999994</v>
      </c>
      <c r="W959" s="9">
        <f>IF($H959&gt;I959, MIN($H959-I959, J959-I959)*INDEX('Key Metrics'!$E$16:$N$19,MATCH($E959,'Key Metrics'!$E$16:$E$19,0),MATCH(W$1,'Key Metrics'!$E$16:$M$16,0)),0)</f>
        <v>0</v>
      </c>
      <c r="X959" s="9">
        <f>IF($H959&gt;J959, MIN($H959-J959, K959-J959)*INDEX('Key Metrics'!$E$16:$N$19,MATCH($E959,'Key Metrics'!$E$16:$E$19,0),MATCH(X$1,'Key Metrics'!$E$16:$M$16,0)),0)</f>
        <v>0</v>
      </c>
      <c r="Y959" s="9">
        <f>IF($H959&gt;K959, MIN($H959-K959, L959-K959)*INDEX('Key Metrics'!$E$16:$N$19,MATCH($E959,'Key Metrics'!$E$16:$E$19,0),MATCH(Y$1,'Key Metrics'!$E$16:$M$16,0)),0)</f>
        <v>0</v>
      </c>
      <c r="Z959" s="9">
        <f>IF($H959&gt;L959,($H959-L959)*INDEX('Key Metrics'!$E$16:$N$19,MATCH($E959,'Key Metrics'!$E$16:$E$19,0),MATCH(Z$1,'Key Metrics'!$E$16:$M$16,0)),0)</f>
        <v>0</v>
      </c>
      <c r="AA959" s="9">
        <f t="shared" si="149"/>
        <v>81524.399999999994</v>
      </c>
      <c r="AB959" s="9">
        <f t="shared" si="151"/>
        <v>81525.305826666663</v>
      </c>
    </row>
    <row r="960" spans="1:28" x14ac:dyDescent="0.55000000000000004">
      <c r="A960" t="str">
        <f t="shared" si="142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COUNTIF(deals_closed!$D$2:$D$20001,Calculations!B501)</f>
        <v>24</v>
      </c>
      <c r="H960" s="7">
        <f>SUMIF(deals_closed!$D:$D,Calculations!B501,deals_closed!$C:$C)</f>
        <v>773542</v>
      </c>
      <c r="I960" s="5">
        <f>VLOOKUP(E960,'2018_commission_structure'!$A$1:$I$4,9,FALSE)</f>
        <v>500000</v>
      </c>
      <c r="J960" s="9">
        <f t="shared" si="143"/>
        <v>625000</v>
      </c>
      <c r="K960" s="10">
        <f t="shared" si="144"/>
        <v>750000</v>
      </c>
      <c r="L960" s="9">
        <f t="shared" si="145"/>
        <v>1000000</v>
      </c>
      <c r="M960" s="8">
        <f t="shared" si="146"/>
        <v>1.5470839999999999</v>
      </c>
      <c r="N960" t="str">
        <f t="shared" si="147"/>
        <v>150-200%</v>
      </c>
      <c r="O960" s="9">
        <f>MIN($H960,$I960)*INDEX('2018_commission_structure'!$A$1:$I$4,MATCH($E960,'2018_commission_structure'!$A$1:$A$4,0),MATCH(O$1,'2018_commission_structure'!$A$1:$I$1,0))</f>
        <v>50000</v>
      </c>
      <c r="P960" s="9">
        <f>IF(H960&gt;I960, MIN(H960-I960, J960-I960)*INDEX('2018_commission_structure'!$A$1:$I$4,MATCH($E960,'2018_commission_structure'!$A$1:$A$4,0),MATCH(P$1,'2018_commission_structure'!$A$1:$I$1,0)),0)</f>
        <v>18750</v>
      </c>
      <c r="Q960" s="9">
        <f>IF($H960&gt;J960, MIN($H960-J960, K960-J960)*INDEX('2018_commission_structure'!$A$1:$I$4,MATCH($E960,'2018_commission_structure'!$A$1:$A$4,0),MATCH(Q$1,'2018_commission_structure'!$A$1:$I$1,0)),0)</f>
        <v>22500</v>
      </c>
      <c r="R960" s="9">
        <f>IF($H960&gt;K960, MIN($H960-K960, L960-K960)*INDEX('2018_commission_structure'!$A$1:$I$4,MATCH($E960,'2018_commission_structure'!$A$1:$A$4,0),MATCH(R$1,'2018_commission_structure'!$A$1:$I$1,0)),0)</f>
        <v>5179.24</v>
      </c>
      <c r="S960" s="9">
        <f>IF(H960&gt;L960,(H960-L960)*INDEX('2018_commission_structure'!$A$1:$I$4,MATCH($E960,'2018_commission_structure'!$A$1:$A$4,0),MATCH(S$1,'2018_commission_structure'!$A$1:$I$1,0)),0)</f>
        <v>0</v>
      </c>
      <c r="T960" s="9">
        <f t="shared" si="148"/>
        <v>96429.24</v>
      </c>
      <c r="U960" s="9">
        <f t="shared" si="150"/>
        <v>147866.23999999999</v>
      </c>
      <c r="V960" s="9">
        <f>MIN($I960,$H960)*INDEX('Key Metrics'!$E$16:$N$19,MATCH($E960,'Key Metrics'!$E$16:$E$19,0),MATCH(V$1,'Key Metrics'!$E$16:$M$16,0))</f>
        <v>60000</v>
      </c>
      <c r="W960" s="9">
        <f>IF($H960&gt;I960, MIN($H960-I960, J960-I960)*INDEX('Key Metrics'!$E$16:$N$19,MATCH($E960,'Key Metrics'!$E$16:$E$19,0),MATCH(W$1,'Key Metrics'!$E$16:$M$16,0)),0)</f>
        <v>21250</v>
      </c>
      <c r="X960" s="9">
        <f>IF($H960&gt;J960, MIN($H960-J960, K960-J960)*INDEX('Key Metrics'!$E$16:$N$19,MATCH($E960,'Key Metrics'!$E$16:$E$19,0),MATCH(X$1,'Key Metrics'!$E$16:$M$16,0)),0)</f>
        <v>25000</v>
      </c>
      <c r="Y960" s="9">
        <f>IF($H960&gt;K960, MIN($H960-K960, L960-K960)*INDEX('Key Metrics'!$E$16:$N$19,MATCH($E960,'Key Metrics'!$E$16:$E$19,0),MATCH(Y$1,'Key Metrics'!$E$16:$M$16,0)),0)</f>
        <v>5179.24</v>
      </c>
      <c r="Z960" s="9">
        <f>IF($H960&gt;L960,($H960-L960)*INDEX('Key Metrics'!$E$16:$N$19,MATCH($E960,'Key Metrics'!$E$16:$E$19,0),MATCH(Z$1,'Key Metrics'!$E$16:$M$16,0)),0)</f>
        <v>0</v>
      </c>
      <c r="AA960" s="9">
        <f t="shared" si="149"/>
        <v>111429.24</v>
      </c>
      <c r="AB960" s="9">
        <f t="shared" si="151"/>
        <v>111430.78708400001</v>
      </c>
    </row>
    <row r="961" spans="1:28" x14ac:dyDescent="0.55000000000000004">
      <c r="A961" t="str">
        <f t="shared" si="142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COUNTIF(deals_closed!$D$2:$D$20001,Calculations!B291)</f>
        <v>29</v>
      </c>
      <c r="H961" s="7">
        <f>SUMIF(deals_closed!$D:$D,Calculations!B291,deals_closed!$C:$C)</f>
        <v>995076</v>
      </c>
      <c r="I961" s="5">
        <f>VLOOKUP(E961,'2018_commission_structure'!$A$1:$I$4,9,FALSE)</f>
        <v>600000</v>
      </c>
      <c r="J961" s="9">
        <f t="shared" si="143"/>
        <v>750000</v>
      </c>
      <c r="K961" s="10">
        <f t="shared" si="144"/>
        <v>900000</v>
      </c>
      <c r="L961" s="9">
        <f t="shared" si="145"/>
        <v>1200000</v>
      </c>
      <c r="M961" s="8">
        <f t="shared" si="146"/>
        <v>1.65846</v>
      </c>
      <c r="N961" t="str">
        <f t="shared" si="147"/>
        <v>150-200%</v>
      </c>
      <c r="O961" s="9">
        <f>MIN($H961,$I961)*INDEX('2018_commission_structure'!$A$1:$I$4,MATCH($E961,'2018_commission_structure'!$A$1:$A$4,0),MATCH(O$1,'2018_commission_structure'!$A$1:$I$1,0))</f>
        <v>78000</v>
      </c>
      <c r="P961" s="9">
        <f>IF(H961&gt;I961, MIN(H961-I961, J961-I961)*INDEX('2018_commission_structure'!$A$1:$I$4,MATCH($E961,'2018_commission_structure'!$A$1:$A$4,0),MATCH(P$1,'2018_commission_structure'!$A$1:$I$1,0)),0)</f>
        <v>25500.000000000004</v>
      </c>
      <c r="Q961" s="9">
        <f>IF($H961&gt;J961, MIN($H961-J961, K961-J961)*INDEX('2018_commission_structure'!$A$1:$I$4,MATCH($E961,'2018_commission_structure'!$A$1:$A$4,0),MATCH(Q$1,'2018_commission_structure'!$A$1:$I$1,0)),0)</f>
        <v>31500</v>
      </c>
      <c r="R961" s="9">
        <f>IF($H961&gt;K961, MIN($H961-K961, L961-K961)*INDEX('2018_commission_structure'!$A$1:$I$4,MATCH($E961,'2018_commission_structure'!$A$1:$A$4,0),MATCH(R$1,'2018_commission_structure'!$A$1:$I$1,0)),0)</f>
        <v>24719.760000000002</v>
      </c>
      <c r="S961" s="9">
        <f>IF(H961&gt;L961,(H961-L961)*INDEX('2018_commission_structure'!$A$1:$I$4,MATCH($E961,'2018_commission_structure'!$A$1:$A$4,0),MATCH(S$1,'2018_commission_structure'!$A$1:$I$1,0)),0)</f>
        <v>0</v>
      </c>
      <c r="T961" s="9">
        <f t="shared" si="148"/>
        <v>159719.76</v>
      </c>
      <c r="U961" s="9">
        <f t="shared" si="150"/>
        <v>218038.76</v>
      </c>
      <c r="V961" s="9">
        <f>MIN($I961,$H961)*INDEX('Key Metrics'!$E$16:$N$19,MATCH($E961,'Key Metrics'!$E$16:$E$19,0),MATCH(V$1,'Key Metrics'!$E$16:$M$16,0))</f>
        <v>90000</v>
      </c>
      <c r="W961" s="9">
        <f>IF($H961&gt;I961, MIN($H961-I961, J961-I961)*INDEX('Key Metrics'!$E$16:$N$19,MATCH($E961,'Key Metrics'!$E$16:$E$19,0),MATCH(W$1,'Key Metrics'!$E$16:$M$16,0)),0)</f>
        <v>27000</v>
      </c>
      <c r="X961" s="9">
        <f>IF($H961&gt;J961, MIN($H961-J961, K961-J961)*INDEX('Key Metrics'!$E$16:$N$19,MATCH($E961,'Key Metrics'!$E$16:$E$19,0),MATCH(X$1,'Key Metrics'!$E$16:$M$16,0)),0)</f>
        <v>37500</v>
      </c>
      <c r="Y961" s="9">
        <f>IF($H961&gt;K961, MIN($H961-K961, L961-K961)*INDEX('Key Metrics'!$E$16:$N$19,MATCH($E961,'Key Metrics'!$E$16:$E$19,0),MATCH(Y$1,'Key Metrics'!$E$16:$M$16,0)),0)</f>
        <v>28522.799999999999</v>
      </c>
      <c r="Z961" s="9">
        <f>IF($H961&gt;L961,($H961-L961)*INDEX('Key Metrics'!$E$16:$N$19,MATCH($E961,'Key Metrics'!$E$16:$E$19,0),MATCH(Z$1,'Key Metrics'!$E$16:$M$16,0)),0)</f>
        <v>0</v>
      </c>
      <c r="AA961" s="9">
        <f t="shared" si="149"/>
        <v>183022.8</v>
      </c>
      <c r="AB961" s="9">
        <f t="shared" si="151"/>
        <v>183024.45845999999</v>
      </c>
    </row>
    <row r="962" spans="1:28" x14ac:dyDescent="0.55000000000000004">
      <c r="A962" t="str">
        <f t="shared" ref="A962:A1001" si="152">CONCATENATE(C962," ",D962)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COUNTIF(deals_closed!$D$2:$D$20001,Calculations!B896)</f>
        <v>21</v>
      </c>
      <c r="H962" s="7">
        <f>SUMIF(deals_closed!$D:$D,Calculations!B896,deals_closed!$C:$C)</f>
        <v>685708</v>
      </c>
      <c r="I962" s="5">
        <f>VLOOKUP(E962,'2018_commission_structure'!$A$1:$I$4,9,FALSE)</f>
        <v>600000</v>
      </c>
      <c r="J962" s="9">
        <f t="shared" ref="J962:J1025" si="153">I962*1.25</f>
        <v>750000</v>
      </c>
      <c r="K962" s="10">
        <f t="shared" ref="K962:K1001" si="154">I962*1.5</f>
        <v>900000</v>
      </c>
      <c r="L962" s="9">
        <f t="shared" ref="L962:L1001" si="155">I962*2</f>
        <v>1200000</v>
      </c>
      <c r="M962" s="8">
        <f t="shared" ref="M962:M1001" si="156">H962/I962</f>
        <v>1.1428466666666666</v>
      </c>
      <c r="N962" t="str">
        <f t="shared" ref="N962:N1025" si="157">IF(M962&lt;=100%,"0-100%",IF(M962&lt;=125%,"100-125%",IF(M962&lt;=150%,"125-150%",IF(M962&lt;=200%,"150-200%","&gt;200%"))))</f>
        <v>100-125%</v>
      </c>
      <c r="O962" s="9">
        <f>MIN($H962,$I962)*INDEX('2018_commission_structure'!$A$1:$I$4,MATCH($E962,'2018_commission_structure'!$A$1:$A$4,0),MATCH(O$1,'2018_commission_structure'!$A$1:$I$1,0))</f>
        <v>78000</v>
      </c>
      <c r="P962" s="9">
        <f>IF(H962&gt;I962, MIN(H962-I962, J962-I962)*INDEX('2018_commission_structure'!$A$1:$I$4,MATCH($E962,'2018_commission_structure'!$A$1:$A$4,0),MATCH(P$1,'2018_commission_structure'!$A$1:$I$1,0)),0)</f>
        <v>14570.36</v>
      </c>
      <c r="Q962" s="9">
        <f>IF($H962&gt;J962, MIN($H962-J962, K962-J962)*INDEX('2018_commission_structure'!$A$1:$I$4,MATCH($E962,'2018_commission_structure'!$A$1:$A$4,0),MATCH(Q$1,'2018_commission_structure'!$A$1:$I$1,0)),0)</f>
        <v>0</v>
      </c>
      <c r="R962" s="9">
        <f>IF($H962&gt;K962, MIN($H962-K962, L962-K962)*INDEX('2018_commission_structure'!$A$1:$I$4,MATCH($E962,'2018_commission_structure'!$A$1:$A$4,0),MATCH(R$1,'2018_commission_structure'!$A$1:$I$1,0)),0)</f>
        <v>0</v>
      </c>
      <c r="S962" s="9">
        <f>IF(H962&gt;L962,(H962-L962)*INDEX('2018_commission_structure'!$A$1:$I$4,MATCH($E962,'2018_commission_structure'!$A$1:$A$4,0),MATCH(S$1,'2018_commission_structure'!$A$1:$I$1,0)),0)</f>
        <v>0</v>
      </c>
      <c r="T962" s="9">
        <f t="shared" ref="T962:T1025" si="158">SUM(O962:S962)</f>
        <v>92570.36</v>
      </c>
      <c r="U962" s="9">
        <f t="shared" si="150"/>
        <v>163808.35999999999</v>
      </c>
      <c r="V962" s="9">
        <f>MIN($I962,$H962)*INDEX('Key Metrics'!$E$16:$N$19,MATCH($E962,'Key Metrics'!$E$16:$E$19,0),MATCH(V$1,'Key Metrics'!$E$16:$M$16,0))</f>
        <v>90000</v>
      </c>
      <c r="W962" s="9">
        <f>IF($H962&gt;I962, MIN($H962-I962, J962-I962)*INDEX('Key Metrics'!$E$16:$N$19,MATCH($E962,'Key Metrics'!$E$16:$E$19,0),MATCH(W$1,'Key Metrics'!$E$16:$M$16,0)),0)</f>
        <v>15427.439999999999</v>
      </c>
      <c r="X962" s="9">
        <f>IF($H962&gt;J962, MIN($H962-J962, K962-J962)*INDEX('Key Metrics'!$E$16:$N$19,MATCH($E962,'Key Metrics'!$E$16:$E$19,0),MATCH(X$1,'Key Metrics'!$E$16:$M$16,0)),0)</f>
        <v>0</v>
      </c>
      <c r="Y962" s="9">
        <f>IF($H962&gt;K962, MIN($H962-K962, L962-K962)*INDEX('Key Metrics'!$E$16:$N$19,MATCH($E962,'Key Metrics'!$E$16:$E$19,0),MATCH(Y$1,'Key Metrics'!$E$16:$M$16,0)),0)</f>
        <v>0</v>
      </c>
      <c r="Z962" s="9">
        <f>IF($H962&gt;L962,($H962-L962)*INDEX('Key Metrics'!$E$16:$N$19,MATCH($E962,'Key Metrics'!$E$16:$E$19,0),MATCH(Z$1,'Key Metrics'!$E$16:$M$16,0)),0)</f>
        <v>0</v>
      </c>
      <c r="AA962" s="9">
        <f t="shared" ref="AA962:AA1025" si="159">SUM(V962:Z962)</f>
        <v>105427.44</v>
      </c>
      <c r="AB962" s="9">
        <f t="shared" si="151"/>
        <v>105428.58284666667</v>
      </c>
    </row>
    <row r="963" spans="1:28" x14ac:dyDescent="0.55000000000000004">
      <c r="A963" t="str">
        <f t="shared" si="152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COUNTIF(deals_closed!$D$2:$D$20001,Calculations!B746)</f>
        <v>17</v>
      </c>
      <c r="H963" s="7">
        <f>SUMIF(deals_closed!$D:$D,Calculations!B746,deals_closed!$C:$C)</f>
        <v>551413</v>
      </c>
      <c r="I963" s="5">
        <f>VLOOKUP(E963,'2018_commission_structure'!$A$1:$I$4,9,FALSE)</f>
        <v>600000</v>
      </c>
      <c r="J963" s="9">
        <f t="shared" si="153"/>
        <v>750000</v>
      </c>
      <c r="K963" s="10">
        <f t="shared" si="154"/>
        <v>900000</v>
      </c>
      <c r="L963" s="9">
        <f t="shared" si="155"/>
        <v>1200000</v>
      </c>
      <c r="M963" s="8">
        <f t="shared" si="156"/>
        <v>0.91902166666666663</v>
      </c>
      <c r="N963" t="str">
        <f t="shared" si="157"/>
        <v>0-100%</v>
      </c>
      <c r="O963" s="9">
        <f>MIN($H963,$I963)*INDEX('2018_commission_structure'!$A$1:$I$4,MATCH($E963,'2018_commission_structure'!$A$1:$A$4,0),MATCH(O$1,'2018_commission_structure'!$A$1:$I$1,0))</f>
        <v>71683.69</v>
      </c>
      <c r="P963" s="9">
        <f>IF(H963&gt;I963, MIN(H963-I963, J963-I963)*INDEX('2018_commission_structure'!$A$1:$I$4,MATCH($E963,'2018_commission_structure'!$A$1:$A$4,0),MATCH(P$1,'2018_commission_structure'!$A$1:$I$1,0)),0)</f>
        <v>0</v>
      </c>
      <c r="Q963" s="9">
        <f>IF($H963&gt;J963, MIN($H963-J963, K963-J963)*INDEX('2018_commission_structure'!$A$1:$I$4,MATCH($E963,'2018_commission_structure'!$A$1:$A$4,0),MATCH(Q$1,'2018_commission_structure'!$A$1:$I$1,0)),0)</f>
        <v>0</v>
      </c>
      <c r="R963" s="9">
        <f>IF($H963&gt;K963, MIN($H963-K963, L963-K963)*INDEX('2018_commission_structure'!$A$1:$I$4,MATCH($E963,'2018_commission_structure'!$A$1:$A$4,0),MATCH(R$1,'2018_commission_structure'!$A$1:$I$1,0)),0)</f>
        <v>0</v>
      </c>
      <c r="S963" s="9">
        <f>IF(H963&gt;L963,(H963-L963)*INDEX('2018_commission_structure'!$A$1:$I$4,MATCH($E963,'2018_commission_structure'!$A$1:$A$4,0),MATCH(S$1,'2018_commission_structure'!$A$1:$I$1,0)),0)</f>
        <v>0</v>
      </c>
      <c r="T963" s="9">
        <f t="shared" si="158"/>
        <v>71683.69</v>
      </c>
      <c r="U963" s="9">
        <f t="shared" si="150"/>
        <v>136958.69</v>
      </c>
      <c r="V963" s="9">
        <f>MIN($I963,$H963)*INDEX('Key Metrics'!$E$16:$N$19,MATCH($E963,'Key Metrics'!$E$16:$E$19,0),MATCH(V$1,'Key Metrics'!$E$16:$M$16,0))</f>
        <v>82711.95</v>
      </c>
      <c r="W963" s="9">
        <f>IF($H963&gt;I963, MIN($H963-I963, J963-I963)*INDEX('Key Metrics'!$E$16:$N$19,MATCH($E963,'Key Metrics'!$E$16:$E$19,0),MATCH(W$1,'Key Metrics'!$E$16:$M$16,0)),0)</f>
        <v>0</v>
      </c>
      <c r="X963" s="9">
        <f>IF($H963&gt;J963, MIN($H963-J963, K963-J963)*INDEX('Key Metrics'!$E$16:$N$19,MATCH($E963,'Key Metrics'!$E$16:$E$19,0),MATCH(X$1,'Key Metrics'!$E$16:$M$16,0)),0)</f>
        <v>0</v>
      </c>
      <c r="Y963" s="9">
        <f>IF($H963&gt;K963, MIN($H963-K963, L963-K963)*INDEX('Key Metrics'!$E$16:$N$19,MATCH($E963,'Key Metrics'!$E$16:$E$19,0),MATCH(Y$1,'Key Metrics'!$E$16:$M$16,0)),0)</f>
        <v>0</v>
      </c>
      <c r="Z963" s="9">
        <f>IF($H963&gt;L963,($H963-L963)*INDEX('Key Metrics'!$E$16:$N$19,MATCH($E963,'Key Metrics'!$E$16:$E$19,0),MATCH(Z$1,'Key Metrics'!$E$16:$M$16,0)),0)</f>
        <v>0</v>
      </c>
      <c r="AA963" s="9">
        <f t="shared" si="159"/>
        <v>82711.95</v>
      </c>
      <c r="AB963" s="9">
        <f t="shared" si="151"/>
        <v>82712.869021666658</v>
      </c>
    </row>
    <row r="964" spans="1:28" x14ac:dyDescent="0.55000000000000004">
      <c r="A964" t="str">
        <f t="shared" si="152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COUNTIF(deals_closed!$D$2:$D$20001,Calculations!B992)</f>
        <v>20</v>
      </c>
      <c r="H964" s="7">
        <f>SUMIF(deals_closed!$D:$D,Calculations!B992,deals_closed!$C:$C)</f>
        <v>794819</v>
      </c>
      <c r="I964" s="5">
        <f>VLOOKUP(E964,'2018_commission_structure'!$A$1:$I$4,9,FALSE)</f>
        <v>500000</v>
      </c>
      <c r="J964" s="9">
        <f t="shared" si="153"/>
        <v>625000</v>
      </c>
      <c r="K964" s="10">
        <f t="shared" si="154"/>
        <v>750000</v>
      </c>
      <c r="L964" s="9">
        <f t="shared" si="155"/>
        <v>1000000</v>
      </c>
      <c r="M964" s="8">
        <f t="shared" si="156"/>
        <v>1.5896380000000001</v>
      </c>
      <c r="N964" t="str">
        <f t="shared" si="157"/>
        <v>150-200%</v>
      </c>
      <c r="O964" s="9">
        <f>MIN($H964,$I964)*INDEX('2018_commission_structure'!$A$1:$I$4,MATCH($E964,'2018_commission_structure'!$A$1:$A$4,0),MATCH(O$1,'2018_commission_structure'!$A$1:$I$1,0))</f>
        <v>50000</v>
      </c>
      <c r="P964" s="9">
        <f>IF(H964&gt;I964, MIN(H964-I964, J964-I964)*INDEX('2018_commission_structure'!$A$1:$I$4,MATCH($E964,'2018_commission_structure'!$A$1:$A$4,0),MATCH(P$1,'2018_commission_structure'!$A$1:$I$1,0)),0)</f>
        <v>18750</v>
      </c>
      <c r="Q964" s="9">
        <f>IF($H964&gt;J964, MIN($H964-J964, K964-J964)*INDEX('2018_commission_structure'!$A$1:$I$4,MATCH($E964,'2018_commission_structure'!$A$1:$A$4,0),MATCH(Q$1,'2018_commission_structure'!$A$1:$I$1,0)),0)</f>
        <v>22500</v>
      </c>
      <c r="R964" s="9">
        <f>IF($H964&gt;K964, MIN($H964-K964, L964-K964)*INDEX('2018_commission_structure'!$A$1:$I$4,MATCH($E964,'2018_commission_structure'!$A$1:$A$4,0),MATCH(R$1,'2018_commission_structure'!$A$1:$I$1,0)),0)</f>
        <v>9860.18</v>
      </c>
      <c r="S964" s="9">
        <f>IF(H964&gt;L964,(H964-L964)*INDEX('2018_commission_structure'!$A$1:$I$4,MATCH($E964,'2018_commission_structure'!$A$1:$A$4,0),MATCH(S$1,'2018_commission_structure'!$A$1:$I$1,0)),0)</f>
        <v>0</v>
      </c>
      <c r="T964" s="9">
        <f t="shared" si="158"/>
        <v>101110.18</v>
      </c>
      <c r="U964" s="9">
        <f t="shared" si="150"/>
        <v>138503.18</v>
      </c>
      <c r="V964" s="9">
        <f>MIN($I964,$H964)*INDEX('Key Metrics'!$E$16:$N$19,MATCH($E964,'Key Metrics'!$E$16:$E$19,0),MATCH(V$1,'Key Metrics'!$E$16:$M$16,0))</f>
        <v>60000</v>
      </c>
      <c r="W964" s="9">
        <f>IF($H964&gt;I964, MIN($H964-I964, J964-I964)*INDEX('Key Metrics'!$E$16:$N$19,MATCH($E964,'Key Metrics'!$E$16:$E$19,0),MATCH(W$1,'Key Metrics'!$E$16:$M$16,0)),0)</f>
        <v>21250</v>
      </c>
      <c r="X964" s="9">
        <f>IF($H964&gt;J964, MIN($H964-J964, K964-J964)*INDEX('Key Metrics'!$E$16:$N$19,MATCH($E964,'Key Metrics'!$E$16:$E$19,0),MATCH(X$1,'Key Metrics'!$E$16:$M$16,0)),0)</f>
        <v>25000</v>
      </c>
      <c r="Y964" s="9">
        <f>IF($H964&gt;K964, MIN($H964-K964, L964-K964)*INDEX('Key Metrics'!$E$16:$N$19,MATCH($E964,'Key Metrics'!$E$16:$E$19,0),MATCH(Y$1,'Key Metrics'!$E$16:$M$16,0)),0)</f>
        <v>9860.18</v>
      </c>
      <c r="Z964" s="9">
        <f>IF($H964&gt;L964,($H964-L964)*INDEX('Key Metrics'!$E$16:$N$19,MATCH($E964,'Key Metrics'!$E$16:$E$19,0),MATCH(Z$1,'Key Metrics'!$E$16:$M$16,0)),0)</f>
        <v>0</v>
      </c>
      <c r="AA964" s="9">
        <f t="shared" si="159"/>
        <v>116110.18</v>
      </c>
      <c r="AB964" s="9">
        <f t="shared" si="151"/>
        <v>116111.769638</v>
      </c>
    </row>
    <row r="965" spans="1:28" x14ac:dyDescent="0.55000000000000004">
      <c r="A965" t="str">
        <f t="shared" si="152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COUNTIF(deals_closed!$D$2:$D$20001,Calculations!B316)</f>
        <v>19</v>
      </c>
      <c r="H965" s="7">
        <f>SUMIF(deals_closed!$D:$D,Calculations!B316,deals_closed!$C:$C)</f>
        <v>578752</v>
      </c>
      <c r="I965" s="5">
        <f>VLOOKUP(E965,'2018_commission_structure'!$A$1:$I$4,9,FALSE)</f>
        <v>750000</v>
      </c>
      <c r="J965" s="9">
        <f t="shared" si="153"/>
        <v>937500</v>
      </c>
      <c r="K965" s="10">
        <f t="shared" si="154"/>
        <v>1125000</v>
      </c>
      <c r="L965" s="9">
        <f t="shared" si="155"/>
        <v>1500000</v>
      </c>
      <c r="M965" s="8">
        <f t="shared" si="156"/>
        <v>0.77166933333333332</v>
      </c>
      <c r="N965" t="str">
        <f t="shared" si="157"/>
        <v>0-100%</v>
      </c>
      <c r="O965" s="9">
        <f>MIN($H965,$I965)*INDEX('2018_commission_structure'!$A$1:$I$4,MATCH($E965,'2018_commission_structure'!$A$1:$A$4,0),MATCH(O$1,'2018_commission_structure'!$A$1:$I$1,0))</f>
        <v>86812.800000000003</v>
      </c>
      <c r="P965" s="9">
        <f>IF(H965&gt;I965, MIN(H965-I965, J965-I965)*INDEX('2018_commission_structure'!$A$1:$I$4,MATCH($E965,'2018_commission_structure'!$A$1:$A$4,0),MATCH(P$1,'2018_commission_structure'!$A$1:$I$1,0)),0)</f>
        <v>0</v>
      </c>
      <c r="Q965" s="9">
        <f>IF($H965&gt;J965, MIN($H965-J965, K965-J965)*INDEX('2018_commission_structure'!$A$1:$I$4,MATCH($E965,'2018_commission_structure'!$A$1:$A$4,0),MATCH(Q$1,'2018_commission_structure'!$A$1:$I$1,0)),0)</f>
        <v>0</v>
      </c>
      <c r="R965" s="9">
        <f>IF($H965&gt;K965, MIN($H965-K965, L965-K965)*INDEX('2018_commission_structure'!$A$1:$I$4,MATCH($E965,'2018_commission_structure'!$A$1:$A$4,0),MATCH(R$1,'2018_commission_structure'!$A$1:$I$1,0)),0)</f>
        <v>0</v>
      </c>
      <c r="S965" s="9">
        <f>IF(H965&gt;L965,(H965-L965)*INDEX('2018_commission_structure'!$A$1:$I$4,MATCH($E965,'2018_commission_structure'!$A$1:$A$4,0),MATCH(S$1,'2018_commission_structure'!$A$1:$I$1,0)),0)</f>
        <v>0</v>
      </c>
      <c r="T965" s="9">
        <f t="shared" si="158"/>
        <v>86812.800000000003</v>
      </c>
      <c r="U965" s="9">
        <f t="shared" si="150"/>
        <v>162809.79999999999</v>
      </c>
      <c r="V965" s="9">
        <f>MIN($I965,$H965)*INDEX('Key Metrics'!$E$16:$N$19,MATCH($E965,'Key Metrics'!$E$16:$E$19,0),MATCH(V$1,'Key Metrics'!$E$16:$M$16,0))</f>
        <v>86812.800000000003</v>
      </c>
      <c r="W965" s="9">
        <f>IF($H965&gt;I965, MIN($H965-I965, J965-I965)*INDEX('Key Metrics'!$E$16:$N$19,MATCH($E965,'Key Metrics'!$E$16:$E$19,0),MATCH(W$1,'Key Metrics'!$E$16:$M$16,0)),0)</f>
        <v>0</v>
      </c>
      <c r="X965" s="9">
        <f>IF($H965&gt;J965, MIN($H965-J965, K965-J965)*INDEX('Key Metrics'!$E$16:$N$19,MATCH($E965,'Key Metrics'!$E$16:$E$19,0),MATCH(X$1,'Key Metrics'!$E$16:$M$16,0)),0)</f>
        <v>0</v>
      </c>
      <c r="Y965" s="9">
        <f>IF($H965&gt;K965, MIN($H965-K965, L965-K965)*INDEX('Key Metrics'!$E$16:$N$19,MATCH($E965,'Key Metrics'!$E$16:$E$19,0),MATCH(Y$1,'Key Metrics'!$E$16:$M$16,0)),0)</f>
        <v>0</v>
      </c>
      <c r="Z965" s="9">
        <f>IF($H965&gt;L965,($H965-L965)*INDEX('Key Metrics'!$E$16:$N$19,MATCH($E965,'Key Metrics'!$E$16:$E$19,0),MATCH(Z$1,'Key Metrics'!$E$16:$M$16,0)),0)</f>
        <v>0</v>
      </c>
      <c r="AA965" s="9">
        <f t="shared" si="159"/>
        <v>86812.800000000003</v>
      </c>
      <c r="AB965" s="9">
        <f t="shared" si="151"/>
        <v>86813.571669333338</v>
      </c>
    </row>
    <row r="966" spans="1:28" x14ac:dyDescent="0.55000000000000004">
      <c r="A966" t="str">
        <f t="shared" si="152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COUNTIF(deals_closed!$D$2:$D$20001,Calculations!B489)</f>
        <v>18</v>
      </c>
      <c r="H966" s="7">
        <f>SUMIF(deals_closed!$D:$D,Calculations!B489,deals_closed!$C:$C)</f>
        <v>717908</v>
      </c>
      <c r="I966" s="5">
        <f>VLOOKUP(E966,'2018_commission_structure'!$A$1:$I$4,9,FALSE)</f>
        <v>750000</v>
      </c>
      <c r="J966" s="9">
        <f t="shared" si="153"/>
        <v>937500</v>
      </c>
      <c r="K966" s="10">
        <f t="shared" si="154"/>
        <v>1125000</v>
      </c>
      <c r="L966" s="9">
        <f t="shared" si="155"/>
        <v>1500000</v>
      </c>
      <c r="M966" s="8">
        <f t="shared" si="156"/>
        <v>0.95721066666666665</v>
      </c>
      <c r="N966" t="str">
        <f t="shared" si="157"/>
        <v>0-100%</v>
      </c>
      <c r="O966" s="9">
        <f>MIN($H966,$I966)*INDEX('2018_commission_structure'!$A$1:$I$4,MATCH($E966,'2018_commission_structure'!$A$1:$A$4,0),MATCH(O$1,'2018_commission_structure'!$A$1:$I$1,0))</f>
        <v>107686.2</v>
      </c>
      <c r="P966" s="9">
        <f>IF(H966&gt;I966, MIN(H966-I966, J966-I966)*INDEX('2018_commission_structure'!$A$1:$I$4,MATCH($E966,'2018_commission_structure'!$A$1:$A$4,0),MATCH(P$1,'2018_commission_structure'!$A$1:$I$1,0)),0)</f>
        <v>0</v>
      </c>
      <c r="Q966" s="9">
        <f>IF($H966&gt;J966, MIN($H966-J966, K966-J966)*INDEX('2018_commission_structure'!$A$1:$I$4,MATCH($E966,'2018_commission_structure'!$A$1:$A$4,0),MATCH(Q$1,'2018_commission_structure'!$A$1:$I$1,0)),0)</f>
        <v>0</v>
      </c>
      <c r="R966" s="9">
        <f>IF($H966&gt;K966, MIN($H966-K966, L966-K966)*INDEX('2018_commission_structure'!$A$1:$I$4,MATCH($E966,'2018_commission_structure'!$A$1:$A$4,0),MATCH(R$1,'2018_commission_structure'!$A$1:$I$1,0)),0)</f>
        <v>0</v>
      </c>
      <c r="S966" s="9">
        <f>IF(H966&gt;L966,(H966-L966)*INDEX('2018_commission_structure'!$A$1:$I$4,MATCH($E966,'2018_commission_structure'!$A$1:$A$4,0),MATCH(S$1,'2018_commission_structure'!$A$1:$I$1,0)),0)</f>
        <v>0</v>
      </c>
      <c r="T966" s="9">
        <f t="shared" si="158"/>
        <v>107686.2</v>
      </c>
      <c r="U966" s="9">
        <f t="shared" si="150"/>
        <v>218070.2</v>
      </c>
      <c r="V966" s="9">
        <f>MIN($I966,$H966)*INDEX('Key Metrics'!$E$16:$N$19,MATCH($E966,'Key Metrics'!$E$16:$E$19,0),MATCH(V$1,'Key Metrics'!$E$16:$M$16,0))</f>
        <v>107686.2</v>
      </c>
      <c r="W966" s="9">
        <f>IF($H966&gt;I966, MIN($H966-I966, J966-I966)*INDEX('Key Metrics'!$E$16:$N$19,MATCH($E966,'Key Metrics'!$E$16:$E$19,0),MATCH(W$1,'Key Metrics'!$E$16:$M$16,0)),0)</f>
        <v>0</v>
      </c>
      <c r="X966" s="9">
        <f>IF($H966&gt;J966, MIN($H966-J966, K966-J966)*INDEX('Key Metrics'!$E$16:$N$19,MATCH($E966,'Key Metrics'!$E$16:$E$19,0),MATCH(X$1,'Key Metrics'!$E$16:$M$16,0)),0)</f>
        <v>0</v>
      </c>
      <c r="Y966" s="9">
        <f>IF($H966&gt;K966, MIN($H966-K966, L966-K966)*INDEX('Key Metrics'!$E$16:$N$19,MATCH($E966,'Key Metrics'!$E$16:$E$19,0),MATCH(Y$1,'Key Metrics'!$E$16:$M$16,0)),0)</f>
        <v>0</v>
      </c>
      <c r="Z966" s="9">
        <f>IF($H966&gt;L966,($H966-L966)*INDEX('Key Metrics'!$E$16:$N$19,MATCH($E966,'Key Metrics'!$E$16:$E$19,0),MATCH(Z$1,'Key Metrics'!$E$16:$M$16,0)),0)</f>
        <v>0</v>
      </c>
      <c r="AA966" s="9">
        <f t="shared" si="159"/>
        <v>107686.2</v>
      </c>
      <c r="AB966" s="9">
        <f t="shared" si="151"/>
        <v>107687.15721066666</v>
      </c>
    </row>
    <row r="967" spans="1:28" x14ac:dyDescent="0.55000000000000004">
      <c r="A967" t="str">
        <f t="shared" si="152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COUNTIF(deals_closed!$D$2:$D$20001,Calculations!B75)</f>
        <v>21</v>
      </c>
      <c r="H967" s="7">
        <f>SUMIF(deals_closed!$D:$D,Calculations!B75,deals_closed!$C:$C)</f>
        <v>760918</v>
      </c>
      <c r="I967" s="5">
        <f>VLOOKUP(E967,'2018_commission_structure'!$A$1:$I$4,9,FALSE)</f>
        <v>500000</v>
      </c>
      <c r="J967" s="9">
        <f t="shared" si="153"/>
        <v>625000</v>
      </c>
      <c r="K967" s="10">
        <f t="shared" si="154"/>
        <v>750000</v>
      </c>
      <c r="L967" s="9">
        <f t="shared" si="155"/>
        <v>1000000</v>
      </c>
      <c r="M967" s="8">
        <f t="shared" si="156"/>
        <v>1.521836</v>
      </c>
      <c r="N967" t="str">
        <f t="shared" si="157"/>
        <v>150-200%</v>
      </c>
      <c r="O967" s="9">
        <f>MIN($H967,$I967)*INDEX('2018_commission_structure'!$A$1:$I$4,MATCH($E967,'2018_commission_structure'!$A$1:$A$4,0),MATCH(O$1,'2018_commission_structure'!$A$1:$I$1,0))</f>
        <v>50000</v>
      </c>
      <c r="P967" s="9">
        <f>IF(H967&gt;I967, MIN(H967-I967, J967-I967)*INDEX('2018_commission_structure'!$A$1:$I$4,MATCH($E967,'2018_commission_structure'!$A$1:$A$4,0),MATCH(P$1,'2018_commission_structure'!$A$1:$I$1,0)),0)</f>
        <v>18750</v>
      </c>
      <c r="Q967" s="9">
        <f>IF($H967&gt;J967, MIN($H967-J967, K967-J967)*INDEX('2018_commission_structure'!$A$1:$I$4,MATCH($E967,'2018_commission_structure'!$A$1:$A$4,0),MATCH(Q$1,'2018_commission_structure'!$A$1:$I$1,0)),0)</f>
        <v>22500</v>
      </c>
      <c r="R967" s="9">
        <f>IF($H967&gt;K967, MIN($H967-K967, L967-K967)*INDEX('2018_commission_structure'!$A$1:$I$4,MATCH($E967,'2018_commission_structure'!$A$1:$A$4,0),MATCH(R$1,'2018_commission_structure'!$A$1:$I$1,0)),0)</f>
        <v>2401.96</v>
      </c>
      <c r="S967" s="9">
        <f>IF(H967&gt;L967,(H967-L967)*INDEX('2018_commission_structure'!$A$1:$I$4,MATCH($E967,'2018_commission_structure'!$A$1:$A$4,0),MATCH(S$1,'2018_commission_structure'!$A$1:$I$1,0)),0)</f>
        <v>0</v>
      </c>
      <c r="T967" s="9">
        <f t="shared" si="158"/>
        <v>93651.96</v>
      </c>
      <c r="U967" s="9">
        <f t="shared" si="150"/>
        <v>151199.96000000002</v>
      </c>
      <c r="V967" s="9">
        <f>MIN($I967,$H967)*INDEX('Key Metrics'!$E$16:$N$19,MATCH($E967,'Key Metrics'!$E$16:$E$19,0),MATCH(V$1,'Key Metrics'!$E$16:$M$16,0))</f>
        <v>60000</v>
      </c>
      <c r="W967" s="9">
        <f>IF($H967&gt;I967, MIN($H967-I967, J967-I967)*INDEX('Key Metrics'!$E$16:$N$19,MATCH($E967,'Key Metrics'!$E$16:$E$19,0),MATCH(W$1,'Key Metrics'!$E$16:$M$16,0)),0)</f>
        <v>21250</v>
      </c>
      <c r="X967" s="9">
        <f>IF($H967&gt;J967, MIN($H967-J967, K967-J967)*INDEX('Key Metrics'!$E$16:$N$19,MATCH($E967,'Key Metrics'!$E$16:$E$19,0),MATCH(X$1,'Key Metrics'!$E$16:$M$16,0)),0)</f>
        <v>25000</v>
      </c>
      <c r="Y967" s="9">
        <f>IF($H967&gt;K967, MIN($H967-K967, L967-K967)*INDEX('Key Metrics'!$E$16:$N$19,MATCH($E967,'Key Metrics'!$E$16:$E$19,0),MATCH(Y$1,'Key Metrics'!$E$16:$M$16,0)),0)</f>
        <v>2401.96</v>
      </c>
      <c r="Z967" s="9">
        <f>IF($H967&gt;L967,($H967-L967)*INDEX('Key Metrics'!$E$16:$N$19,MATCH($E967,'Key Metrics'!$E$16:$E$19,0),MATCH(Z$1,'Key Metrics'!$E$16:$M$16,0)),0)</f>
        <v>0</v>
      </c>
      <c r="AA967" s="9">
        <f t="shared" si="159"/>
        <v>108651.96</v>
      </c>
      <c r="AB967" s="9">
        <f t="shared" si="151"/>
        <v>108653.48183600001</v>
      </c>
    </row>
    <row r="968" spans="1:28" x14ac:dyDescent="0.55000000000000004">
      <c r="A968" t="str">
        <f t="shared" si="152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COUNTIF(deals_closed!$D$2:$D$20001,Calculations!B832)</f>
        <v>20</v>
      </c>
      <c r="H968" s="7">
        <f>SUMIF(deals_closed!$D:$D,Calculations!B832,deals_closed!$C:$C)</f>
        <v>720615</v>
      </c>
      <c r="I968" s="5">
        <f>VLOOKUP(E968,'2018_commission_structure'!$A$1:$I$4,9,FALSE)</f>
        <v>750000</v>
      </c>
      <c r="J968" s="9">
        <f t="shared" si="153"/>
        <v>937500</v>
      </c>
      <c r="K968" s="10">
        <f t="shared" si="154"/>
        <v>1125000</v>
      </c>
      <c r="L968" s="9">
        <f t="shared" si="155"/>
        <v>1500000</v>
      </c>
      <c r="M968" s="8">
        <f t="shared" si="156"/>
        <v>0.96082000000000001</v>
      </c>
      <c r="N968" t="str">
        <f t="shared" si="157"/>
        <v>0-100%</v>
      </c>
      <c r="O968" s="9">
        <f>MIN($H968,$I968)*INDEX('2018_commission_structure'!$A$1:$I$4,MATCH($E968,'2018_commission_structure'!$A$1:$A$4,0),MATCH(O$1,'2018_commission_structure'!$A$1:$I$1,0))</f>
        <v>108092.25</v>
      </c>
      <c r="P968" s="9">
        <f>IF(H968&gt;I968, MIN(H968-I968, J968-I968)*INDEX('2018_commission_structure'!$A$1:$I$4,MATCH($E968,'2018_commission_structure'!$A$1:$A$4,0),MATCH(P$1,'2018_commission_structure'!$A$1:$I$1,0)),0)</f>
        <v>0</v>
      </c>
      <c r="Q968" s="9">
        <f>IF($H968&gt;J968, MIN($H968-J968, K968-J968)*INDEX('2018_commission_structure'!$A$1:$I$4,MATCH($E968,'2018_commission_structure'!$A$1:$A$4,0),MATCH(Q$1,'2018_commission_structure'!$A$1:$I$1,0)),0)</f>
        <v>0</v>
      </c>
      <c r="R968" s="9">
        <f>IF($H968&gt;K968, MIN($H968-K968, L968-K968)*INDEX('2018_commission_structure'!$A$1:$I$4,MATCH($E968,'2018_commission_structure'!$A$1:$A$4,0),MATCH(R$1,'2018_commission_structure'!$A$1:$I$1,0)),0)</f>
        <v>0</v>
      </c>
      <c r="S968" s="9">
        <f>IF(H968&gt;L968,(H968-L968)*INDEX('2018_commission_structure'!$A$1:$I$4,MATCH($E968,'2018_commission_structure'!$A$1:$A$4,0),MATCH(S$1,'2018_commission_structure'!$A$1:$I$1,0)),0)</f>
        <v>0</v>
      </c>
      <c r="T968" s="9">
        <f t="shared" si="158"/>
        <v>108092.25</v>
      </c>
      <c r="U968" s="9">
        <f t="shared" si="150"/>
        <v>226287.25</v>
      </c>
      <c r="V968" s="9">
        <f>MIN($I968,$H968)*INDEX('Key Metrics'!$E$16:$N$19,MATCH($E968,'Key Metrics'!$E$16:$E$19,0),MATCH(V$1,'Key Metrics'!$E$16:$M$16,0))</f>
        <v>108092.25</v>
      </c>
      <c r="W968" s="9">
        <f>IF($H968&gt;I968, MIN($H968-I968, J968-I968)*INDEX('Key Metrics'!$E$16:$N$19,MATCH($E968,'Key Metrics'!$E$16:$E$19,0),MATCH(W$1,'Key Metrics'!$E$16:$M$16,0)),0)</f>
        <v>0</v>
      </c>
      <c r="X968" s="9">
        <f>IF($H968&gt;J968, MIN($H968-J968, K968-J968)*INDEX('Key Metrics'!$E$16:$N$19,MATCH($E968,'Key Metrics'!$E$16:$E$19,0),MATCH(X$1,'Key Metrics'!$E$16:$M$16,0)),0)</f>
        <v>0</v>
      </c>
      <c r="Y968" s="9">
        <f>IF($H968&gt;K968, MIN($H968-K968, L968-K968)*INDEX('Key Metrics'!$E$16:$N$19,MATCH($E968,'Key Metrics'!$E$16:$E$19,0),MATCH(Y$1,'Key Metrics'!$E$16:$M$16,0)),0)</f>
        <v>0</v>
      </c>
      <c r="Z968" s="9">
        <f>IF($H968&gt;L968,($H968-L968)*INDEX('Key Metrics'!$E$16:$N$19,MATCH($E968,'Key Metrics'!$E$16:$E$19,0),MATCH(Z$1,'Key Metrics'!$E$16:$M$16,0)),0)</f>
        <v>0</v>
      </c>
      <c r="AA968" s="9">
        <f t="shared" si="159"/>
        <v>108092.25</v>
      </c>
      <c r="AB968" s="9">
        <f t="shared" si="151"/>
        <v>108093.21081999999</v>
      </c>
    </row>
    <row r="969" spans="1:28" x14ac:dyDescent="0.55000000000000004">
      <c r="A969" t="str">
        <f t="shared" si="152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COUNTIF(deals_closed!$D$2:$D$20001,Calculations!B386)</f>
        <v>18</v>
      </c>
      <c r="H969" s="7">
        <f>SUMIF(deals_closed!$D:$D,Calculations!B386,deals_closed!$C:$C)</f>
        <v>669220</v>
      </c>
      <c r="I969" s="5">
        <f>VLOOKUP(E969,'2018_commission_structure'!$A$1:$I$4,9,FALSE)</f>
        <v>750000</v>
      </c>
      <c r="J969" s="9">
        <f t="shared" si="153"/>
        <v>937500</v>
      </c>
      <c r="K969" s="10">
        <f t="shared" si="154"/>
        <v>1125000</v>
      </c>
      <c r="L969" s="9">
        <f t="shared" si="155"/>
        <v>1500000</v>
      </c>
      <c r="M969" s="8">
        <f t="shared" si="156"/>
        <v>0.89229333333333338</v>
      </c>
      <c r="N969" t="str">
        <f t="shared" si="157"/>
        <v>0-100%</v>
      </c>
      <c r="O969" s="9">
        <f>MIN($H969,$I969)*INDEX('2018_commission_structure'!$A$1:$I$4,MATCH($E969,'2018_commission_structure'!$A$1:$A$4,0),MATCH(O$1,'2018_commission_structure'!$A$1:$I$1,0))</f>
        <v>100383</v>
      </c>
      <c r="P969" s="9">
        <f>IF(H969&gt;I969, MIN(H969-I969, J969-I969)*INDEX('2018_commission_structure'!$A$1:$I$4,MATCH($E969,'2018_commission_structure'!$A$1:$A$4,0),MATCH(P$1,'2018_commission_structure'!$A$1:$I$1,0)),0)</f>
        <v>0</v>
      </c>
      <c r="Q969" s="9">
        <f>IF($H969&gt;J969, MIN($H969-J969, K969-J969)*INDEX('2018_commission_structure'!$A$1:$I$4,MATCH($E969,'2018_commission_structure'!$A$1:$A$4,0),MATCH(Q$1,'2018_commission_structure'!$A$1:$I$1,0)),0)</f>
        <v>0</v>
      </c>
      <c r="R969" s="9">
        <f>IF($H969&gt;K969, MIN($H969-K969, L969-K969)*INDEX('2018_commission_structure'!$A$1:$I$4,MATCH($E969,'2018_commission_structure'!$A$1:$A$4,0),MATCH(R$1,'2018_commission_structure'!$A$1:$I$1,0)),0)</f>
        <v>0</v>
      </c>
      <c r="S969" s="9">
        <f>IF(H969&gt;L969,(H969-L969)*INDEX('2018_commission_structure'!$A$1:$I$4,MATCH($E969,'2018_commission_structure'!$A$1:$A$4,0),MATCH(S$1,'2018_commission_structure'!$A$1:$I$1,0)),0)</f>
        <v>0</v>
      </c>
      <c r="T969" s="9">
        <f t="shared" si="158"/>
        <v>100383</v>
      </c>
      <c r="U969" s="9">
        <f t="shared" si="150"/>
        <v>191904</v>
      </c>
      <c r="V969" s="9">
        <f>MIN($I969,$H969)*INDEX('Key Metrics'!$E$16:$N$19,MATCH($E969,'Key Metrics'!$E$16:$E$19,0),MATCH(V$1,'Key Metrics'!$E$16:$M$16,0))</f>
        <v>100383</v>
      </c>
      <c r="W969" s="9">
        <f>IF($H969&gt;I969, MIN($H969-I969, J969-I969)*INDEX('Key Metrics'!$E$16:$N$19,MATCH($E969,'Key Metrics'!$E$16:$E$19,0),MATCH(W$1,'Key Metrics'!$E$16:$M$16,0)),0)</f>
        <v>0</v>
      </c>
      <c r="X969" s="9">
        <f>IF($H969&gt;J969, MIN($H969-J969, K969-J969)*INDEX('Key Metrics'!$E$16:$N$19,MATCH($E969,'Key Metrics'!$E$16:$E$19,0),MATCH(X$1,'Key Metrics'!$E$16:$M$16,0)),0)</f>
        <v>0</v>
      </c>
      <c r="Y969" s="9">
        <f>IF($H969&gt;K969, MIN($H969-K969, L969-K969)*INDEX('Key Metrics'!$E$16:$N$19,MATCH($E969,'Key Metrics'!$E$16:$E$19,0),MATCH(Y$1,'Key Metrics'!$E$16:$M$16,0)),0)</f>
        <v>0</v>
      </c>
      <c r="Z969" s="9">
        <f>IF($H969&gt;L969,($H969-L969)*INDEX('Key Metrics'!$E$16:$N$19,MATCH($E969,'Key Metrics'!$E$16:$E$19,0),MATCH(Z$1,'Key Metrics'!$E$16:$M$16,0)),0)</f>
        <v>0</v>
      </c>
      <c r="AA969" s="9">
        <f t="shared" si="159"/>
        <v>100383</v>
      </c>
      <c r="AB969" s="9">
        <f t="shared" si="151"/>
        <v>100383.89229333334</v>
      </c>
    </row>
    <row r="970" spans="1:28" x14ac:dyDescent="0.55000000000000004">
      <c r="A970" t="str">
        <f t="shared" si="152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COUNTIF(deals_closed!$D$2:$D$20001,Calculations!B577)</f>
        <v>26</v>
      </c>
      <c r="H970" s="7">
        <f>SUMIF(deals_closed!$D:$D,Calculations!B577,deals_closed!$C:$C)</f>
        <v>916479</v>
      </c>
      <c r="I970" s="5">
        <f>VLOOKUP(E970,'2018_commission_structure'!$A$1:$I$4,9,FALSE)</f>
        <v>500000</v>
      </c>
      <c r="J970" s="9">
        <f t="shared" si="153"/>
        <v>625000</v>
      </c>
      <c r="K970" s="10">
        <f t="shared" si="154"/>
        <v>750000</v>
      </c>
      <c r="L970" s="9">
        <f t="shared" si="155"/>
        <v>1000000</v>
      </c>
      <c r="M970" s="8">
        <f t="shared" si="156"/>
        <v>1.8329580000000001</v>
      </c>
      <c r="N970" t="str">
        <f t="shared" si="157"/>
        <v>150-200%</v>
      </c>
      <c r="O970" s="9">
        <f>MIN($H970,$I970)*INDEX('2018_commission_structure'!$A$1:$I$4,MATCH($E970,'2018_commission_structure'!$A$1:$A$4,0),MATCH(O$1,'2018_commission_structure'!$A$1:$I$1,0))</f>
        <v>50000</v>
      </c>
      <c r="P970" s="9">
        <f>IF(H970&gt;I970, MIN(H970-I970, J970-I970)*INDEX('2018_commission_structure'!$A$1:$I$4,MATCH($E970,'2018_commission_structure'!$A$1:$A$4,0),MATCH(P$1,'2018_commission_structure'!$A$1:$I$1,0)),0)</f>
        <v>18750</v>
      </c>
      <c r="Q970" s="9">
        <f>IF($H970&gt;J970, MIN($H970-J970, K970-J970)*INDEX('2018_commission_structure'!$A$1:$I$4,MATCH($E970,'2018_commission_structure'!$A$1:$A$4,0),MATCH(Q$1,'2018_commission_structure'!$A$1:$I$1,0)),0)</f>
        <v>22500</v>
      </c>
      <c r="R970" s="9">
        <f>IF($H970&gt;K970, MIN($H970-K970, L970-K970)*INDEX('2018_commission_structure'!$A$1:$I$4,MATCH($E970,'2018_commission_structure'!$A$1:$A$4,0),MATCH(R$1,'2018_commission_structure'!$A$1:$I$1,0)),0)</f>
        <v>36625.379999999997</v>
      </c>
      <c r="S970" s="9">
        <f>IF(H970&gt;L970,(H970-L970)*INDEX('2018_commission_structure'!$A$1:$I$4,MATCH($E970,'2018_commission_structure'!$A$1:$A$4,0),MATCH(S$1,'2018_commission_structure'!$A$1:$I$1,0)),0)</f>
        <v>0</v>
      </c>
      <c r="T970" s="9">
        <f t="shared" si="158"/>
        <v>127875.38</v>
      </c>
      <c r="U970" s="9">
        <f t="shared" si="150"/>
        <v>187931.38</v>
      </c>
      <c r="V970" s="9">
        <f>MIN($I970,$H970)*INDEX('Key Metrics'!$E$16:$N$19,MATCH($E970,'Key Metrics'!$E$16:$E$19,0),MATCH(V$1,'Key Metrics'!$E$16:$M$16,0))</f>
        <v>60000</v>
      </c>
      <c r="W970" s="9">
        <f>IF($H970&gt;I970, MIN($H970-I970, J970-I970)*INDEX('Key Metrics'!$E$16:$N$19,MATCH($E970,'Key Metrics'!$E$16:$E$19,0),MATCH(W$1,'Key Metrics'!$E$16:$M$16,0)),0)</f>
        <v>21250</v>
      </c>
      <c r="X970" s="9">
        <f>IF($H970&gt;J970, MIN($H970-J970, K970-J970)*INDEX('Key Metrics'!$E$16:$N$19,MATCH($E970,'Key Metrics'!$E$16:$E$19,0),MATCH(X$1,'Key Metrics'!$E$16:$M$16,0)),0)</f>
        <v>25000</v>
      </c>
      <c r="Y970" s="9">
        <f>IF($H970&gt;K970, MIN($H970-K970, L970-K970)*INDEX('Key Metrics'!$E$16:$N$19,MATCH($E970,'Key Metrics'!$E$16:$E$19,0),MATCH(Y$1,'Key Metrics'!$E$16:$M$16,0)),0)</f>
        <v>36625.379999999997</v>
      </c>
      <c r="Z970" s="9">
        <f>IF($H970&gt;L970,($H970-L970)*INDEX('Key Metrics'!$E$16:$N$19,MATCH($E970,'Key Metrics'!$E$16:$E$19,0),MATCH(Z$1,'Key Metrics'!$E$16:$M$16,0)),0)</f>
        <v>0</v>
      </c>
      <c r="AA970" s="9">
        <f t="shared" si="159"/>
        <v>142875.38</v>
      </c>
      <c r="AB970" s="9">
        <f t="shared" si="151"/>
        <v>142877.21295800002</v>
      </c>
    </row>
    <row r="971" spans="1:28" x14ac:dyDescent="0.55000000000000004">
      <c r="A971" t="str">
        <f t="shared" si="152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COUNTIF(deals_closed!$D$2:$D$20001,Calculations!B597)</f>
        <v>20</v>
      </c>
      <c r="H971" s="7">
        <f>SUMIF(deals_closed!$D:$D,Calculations!B597,deals_closed!$C:$C)</f>
        <v>858970</v>
      </c>
      <c r="I971" s="5">
        <f>VLOOKUP(E971,'2018_commission_structure'!$A$1:$I$4,9,FALSE)</f>
        <v>500000</v>
      </c>
      <c r="J971" s="9">
        <f t="shared" si="153"/>
        <v>625000</v>
      </c>
      <c r="K971" s="10">
        <f t="shared" si="154"/>
        <v>750000</v>
      </c>
      <c r="L971" s="9">
        <f t="shared" si="155"/>
        <v>1000000</v>
      </c>
      <c r="M971" s="8">
        <f t="shared" si="156"/>
        <v>1.71794</v>
      </c>
      <c r="N971" t="str">
        <f t="shared" si="157"/>
        <v>150-200%</v>
      </c>
      <c r="O971" s="9">
        <f>MIN($H971,$I971)*INDEX('2018_commission_structure'!$A$1:$I$4,MATCH($E971,'2018_commission_structure'!$A$1:$A$4,0),MATCH(O$1,'2018_commission_structure'!$A$1:$I$1,0))</f>
        <v>50000</v>
      </c>
      <c r="P971" s="9">
        <f>IF(H971&gt;I971, MIN(H971-I971, J971-I971)*INDEX('2018_commission_structure'!$A$1:$I$4,MATCH($E971,'2018_commission_structure'!$A$1:$A$4,0),MATCH(P$1,'2018_commission_structure'!$A$1:$I$1,0)),0)</f>
        <v>18750</v>
      </c>
      <c r="Q971" s="9">
        <f>IF($H971&gt;J971, MIN($H971-J971, K971-J971)*INDEX('2018_commission_structure'!$A$1:$I$4,MATCH($E971,'2018_commission_structure'!$A$1:$A$4,0),MATCH(Q$1,'2018_commission_structure'!$A$1:$I$1,0)),0)</f>
        <v>22500</v>
      </c>
      <c r="R971" s="9">
        <f>IF($H971&gt;K971, MIN($H971-K971, L971-K971)*INDEX('2018_commission_structure'!$A$1:$I$4,MATCH($E971,'2018_commission_structure'!$A$1:$A$4,0),MATCH(R$1,'2018_commission_structure'!$A$1:$I$1,0)),0)</f>
        <v>23973.4</v>
      </c>
      <c r="S971" s="9">
        <f>IF(H971&gt;L971,(H971-L971)*INDEX('2018_commission_structure'!$A$1:$I$4,MATCH($E971,'2018_commission_structure'!$A$1:$A$4,0),MATCH(S$1,'2018_commission_structure'!$A$1:$I$1,0)),0)</f>
        <v>0</v>
      </c>
      <c r="T971" s="9">
        <f t="shared" si="158"/>
        <v>115223.4</v>
      </c>
      <c r="U971" s="9">
        <f t="shared" si="150"/>
        <v>159173.4</v>
      </c>
      <c r="V971" s="9">
        <f>MIN($I971,$H971)*INDEX('Key Metrics'!$E$16:$N$19,MATCH($E971,'Key Metrics'!$E$16:$E$19,0),MATCH(V$1,'Key Metrics'!$E$16:$M$16,0))</f>
        <v>60000</v>
      </c>
      <c r="W971" s="9">
        <f>IF($H971&gt;I971, MIN($H971-I971, J971-I971)*INDEX('Key Metrics'!$E$16:$N$19,MATCH($E971,'Key Metrics'!$E$16:$E$19,0),MATCH(W$1,'Key Metrics'!$E$16:$M$16,0)),0)</f>
        <v>21250</v>
      </c>
      <c r="X971" s="9">
        <f>IF($H971&gt;J971, MIN($H971-J971, K971-J971)*INDEX('Key Metrics'!$E$16:$N$19,MATCH($E971,'Key Metrics'!$E$16:$E$19,0),MATCH(X$1,'Key Metrics'!$E$16:$M$16,0)),0)</f>
        <v>25000</v>
      </c>
      <c r="Y971" s="9">
        <f>IF($H971&gt;K971, MIN($H971-K971, L971-K971)*INDEX('Key Metrics'!$E$16:$N$19,MATCH($E971,'Key Metrics'!$E$16:$E$19,0),MATCH(Y$1,'Key Metrics'!$E$16:$M$16,0)),0)</f>
        <v>23973.4</v>
      </c>
      <c r="Z971" s="9">
        <f>IF($H971&gt;L971,($H971-L971)*INDEX('Key Metrics'!$E$16:$N$19,MATCH($E971,'Key Metrics'!$E$16:$E$19,0),MATCH(Z$1,'Key Metrics'!$E$16:$M$16,0)),0)</f>
        <v>0</v>
      </c>
      <c r="AA971" s="9">
        <f t="shared" si="159"/>
        <v>130223.4</v>
      </c>
      <c r="AB971" s="9">
        <f t="shared" si="151"/>
        <v>130225.11794</v>
      </c>
    </row>
    <row r="972" spans="1:28" x14ac:dyDescent="0.55000000000000004">
      <c r="A972" t="str">
        <f t="shared" si="152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COUNTIF(deals_closed!$D$2:$D$20001,Calculations!B679)</f>
        <v>20</v>
      </c>
      <c r="H972" s="7">
        <f>SUMIF(deals_closed!$D:$D,Calculations!B679,deals_closed!$C:$C)</f>
        <v>665204</v>
      </c>
      <c r="I972" s="5">
        <f>VLOOKUP(E972,'2018_commission_structure'!$A$1:$I$4,9,FALSE)</f>
        <v>750000</v>
      </c>
      <c r="J972" s="9">
        <f t="shared" si="153"/>
        <v>937500</v>
      </c>
      <c r="K972" s="10">
        <f t="shared" si="154"/>
        <v>1125000</v>
      </c>
      <c r="L972" s="9">
        <f t="shared" si="155"/>
        <v>1500000</v>
      </c>
      <c r="M972" s="8">
        <f t="shared" si="156"/>
        <v>0.88693866666666665</v>
      </c>
      <c r="N972" t="str">
        <f t="shared" si="157"/>
        <v>0-100%</v>
      </c>
      <c r="O972" s="9">
        <f>MIN($H972,$I972)*INDEX('2018_commission_structure'!$A$1:$I$4,MATCH($E972,'2018_commission_structure'!$A$1:$A$4,0),MATCH(O$1,'2018_commission_structure'!$A$1:$I$1,0))</f>
        <v>99780.599999999991</v>
      </c>
      <c r="P972" s="9">
        <f>IF(H972&gt;I972, MIN(H972-I972, J972-I972)*INDEX('2018_commission_structure'!$A$1:$I$4,MATCH($E972,'2018_commission_structure'!$A$1:$A$4,0),MATCH(P$1,'2018_commission_structure'!$A$1:$I$1,0)),0)</f>
        <v>0</v>
      </c>
      <c r="Q972" s="9">
        <f>IF($H972&gt;J972, MIN($H972-J972, K972-J972)*INDEX('2018_commission_structure'!$A$1:$I$4,MATCH($E972,'2018_commission_structure'!$A$1:$A$4,0),MATCH(Q$1,'2018_commission_structure'!$A$1:$I$1,0)),0)</f>
        <v>0</v>
      </c>
      <c r="R972" s="9">
        <f>IF($H972&gt;K972, MIN($H972-K972, L972-K972)*INDEX('2018_commission_structure'!$A$1:$I$4,MATCH($E972,'2018_commission_structure'!$A$1:$A$4,0),MATCH(R$1,'2018_commission_structure'!$A$1:$I$1,0)),0)</f>
        <v>0</v>
      </c>
      <c r="S972" s="9">
        <f>IF(H972&gt;L972,(H972-L972)*INDEX('2018_commission_structure'!$A$1:$I$4,MATCH($E972,'2018_commission_structure'!$A$1:$A$4,0),MATCH(S$1,'2018_commission_structure'!$A$1:$I$1,0)),0)</f>
        <v>0</v>
      </c>
      <c r="T972" s="9">
        <f t="shared" si="158"/>
        <v>99780.599999999991</v>
      </c>
      <c r="U972" s="9">
        <f t="shared" si="150"/>
        <v>217561.59999999998</v>
      </c>
      <c r="V972" s="9">
        <f>MIN($I972,$H972)*INDEX('Key Metrics'!$E$16:$N$19,MATCH($E972,'Key Metrics'!$E$16:$E$19,0),MATCH(V$1,'Key Metrics'!$E$16:$M$16,0))</f>
        <v>99780.599999999991</v>
      </c>
      <c r="W972" s="9">
        <f>IF($H972&gt;I972, MIN($H972-I972, J972-I972)*INDEX('Key Metrics'!$E$16:$N$19,MATCH($E972,'Key Metrics'!$E$16:$E$19,0),MATCH(W$1,'Key Metrics'!$E$16:$M$16,0)),0)</f>
        <v>0</v>
      </c>
      <c r="X972" s="9">
        <f>IF($H972&gt;J972, MIN($H972-J972, K972-J972)*INDEX('Key Metrics'!$E$16:$N$19,MATCH($E972,'Key Metrics'!$E$16:$E$19,0),MATCH(X$1,'Key Metrics'!$E$16:$M$16,0)),0)</f>
        <v>0</v>
      </c>
      <c r="Y972" s="9">
        <f>IF($H972&gt;K972, MIN($H972-K972, L972-K972)*INDEX('Key Metrics'!$E$16:$N$19,MATCH($E972,'Key Metrics'!$E$16:$E$19,0),MATCH(Y$1,'Key Metrics'!$E$16:$M$16,0)),0)</f>
        <v>0</v>
      </c>
      <c r="Z972" s="9">
        <f>IF($H972&gt;L972,($H972-L972)*INDEX('Key Metrics'!$E$16:$N$19,MATCH($E972,'Key Metrics'!$E$16:$E$19,0),MATCH(Z$1,'Key Metrics'!$E$16:$M$16,0)),0)</f>
        <v>0</v>
      </c>
      <c r="AA972" s="9">
        <f t="shared" si="159"/>
        <v>99780.599999999991</v>
      </c>
      <c r="AB972" s="9">
        <f t="shared" si="151"/>
        <v>99781.486938666654</v>
      </c>
    </row>
    <row r="973" spans="1:28" x14ac:dyDescent="0.55000000000000004">
      <c r="A973" t="str">
        <f t="shared" si="152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COUNTIF(deals_closed!$D$2:$D$20001,Calculations!B772)</f>
        <v>19</v>
      </c>
      <c r="H973" s="7">
        <f>SUMIF(deals_closed!$D:$D,Calculations!B772,deals_closed!$C:$C)</f>
        <v>652389</v>
      </c>
      <c r="I973" s="5">
        <f>VLOOKUP(E973,'2018_commission_structure'!$A$1:$I$4,9,FALSE)</f>
        <v>750000</v>
      </c>
      <c r="J973" s="9">
        <f t="shared" si="153"/>
        <v>937500</v>
      </c>
      <c r="K973" s="10">
        <f t="shared" si="154"/>
        <v>1125000</v>
      </c>
      <c r="L973" s="9">
        <f t="shared" si="155"/>
        <v>1500000</v>
      </c>
      <c r="M973" s="8">
        <f t="shared" si="156"/>
        <v>0.86985199999999996</v>
      </c>
      <c r="N973" t="str">
        <f t="shared" si="157"/>
        <v>0-100%</v>
      </c>
      <c r="O973" s="9">
        <f>MIN($H973,$I973)*INDEX('2018_commission_structure'!$A$1:$I$4,MATCH($E973,'2018_commission_structure'!$A$1:$A$4,0),MATCH(O$1,'2018_commission_structure'!$A$1:$I$1,0))</f>
        <v>97858.349999999991</v>
      </c>
      <c r="P973" s="9">
        <f>IF(H973&gt;I973, MIN(H973-I973, J973-I973)*INDEX('2018_commission_structure'!$A$1:$I$4,MATCH($E973,'2018_commission_structure'!$A$1:$A$4,0),MATCH(P$1,'2018_commission_structure'!$A$1:$I$1,0)),0)</f>
        <v>0</v>
      </c>
      <c r="Q973" s="9">
        <f>IF($H973&gt;J973, MIN($H973-J973, K973-J973)*INDEX('2018_commission_structure'!$A$1:$I$4,MATCH($E973,'2018_commission_structure'!$A$1:$A$4,0),MATCH(Q$1,'2018_commission_structure'!$A$1:$I$1,0)),0)</f>
        <v>0</v>
      </c>
      <c r="R973" s="9">
        <f>IF($H973&gt;K973, MIN($H973-K973, L973-K973)*INDEX('2018_commission_structure'!$A$1:$I$4,MATCH($E973,'2018_commission_structure'!$A$1:$A$4,0),MATCH(R$1,'2018_commission_structure'!$A$1:$I$1,0)),0)</f>
        <v>0</v>
      </c>
      <c r="S973" s="9">
        <f>IF(H973&gt;L973,(H973-L973)*INDEX('2018_commission_structure'!$A$1:$I$4,MATCH($E973,'2018_commission_structure'!$A$1:$A$4,0),MATCH(S$1,'2018_commission_structure'!$A$1:$I$1,0)),0)</f>
        <v>0</v>
      </c>
      <c r="T973" s="9">
        <f t="shared" si="158"/>
        <v>97858.349999999991</v>
      </c>
      <c r="U973" s="9">
        <f t="shared" si="150"/>
        <v>214596.34999999998</v>
      </c>
      <c r="V973" s="9">
        <f>MIN($I973,$H973)*INDEX('Key Metrics'!$E$16:$N$19,MATCH($E973,'Key Metrics'!$E$16:$E$19,0),MATCH(V$1,'Key Metrics'!$E$16:$M$16,0))</f>
        <v>97858.349999999991</v>
      </c>
      <c r="W973" s="9">
        <f>IF($H973&gt;I973, MIN($H973-I973, J973-I973)*INDEX('Key Metrics'!$E$16:$N$19,MATCH($E973,'Key Metrics'!$E$16:$E$19,0),MATCH(W$1,'Key Metrics'!$E$16:$M$16,0)),0)</f>
        <v>0</v>
      </c>
      <c r="X973" s="9">
        <f>IF($H973&gt;J973, MIN($H973-J973, K973-J973)*INDEX('Key Metrics'!$E$16:$N$19,MATCH($E973,'Key Metrics'!$E$16:$E$19,0),MATCH(X$1,'Key Metrics'!$E$16:$M$16,0)),0)</f>
        <v>0</v>
      </c>
      <c r="Y973" s="9">
        <f>IF($H973&gt;K973, MIN($H973-K973, L973-K973)*INDEX('Key Metrics'!$E$16:$N$19,MATCH($E973,'Key Metrics'!$E$16:$E$19,0),MATCH(Y$1,'Key Metrics'!$E$16:$M$16,0)),0)</f>
        <v>0</v>
      </c>
      <c r="Z973" s="9">
        <f>IF($H973&gt;L973,($H973-L973)*INDEX('Key Metrics'!$E$16:$N$19,MATCH($E973,'Key Metrics'!$E$16:$E$19,0),MATCH(Z$1,'Key Metrics'!$E$16:$M$16,0)),0)</f>
        <v>0</v>
      </c>
      <c r="AA973" s="9">
        <f t="shared" si="159"/>
        <v>97858.349999999991</v>
      </c>
      <c r="AB973" s="9">
        <f t="shared" si="151"/>
        <v>97859.219851999995</v>
      </c>
    </row>
    <row r="974" spans="1:28" x14ac:dyDescent="0.55000000000000004">
      <c r="A974" t="str">
        <f t="shared" si="152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COUNTIF(deals_closed!$D$2:$D$20001,Calculations!B894)</f>
        <v>22</v>
      </c>
      <c r="H974" s="7">
        <f>SUMIF(deals_closed!$D:$D,Calculations!B894,deals_closed!$C:$C)</f>
        <v>898061</v>
      </c>
      <c r="I974" s="5">
        <f>VLOOKUP(E974,'2018_commission_structure'!$A$1:$I$4,9,FALSE)</f>
        <v>600000</v>
      </c>
      <c r="J974" s="9">
        <f t="shared" si="153"/>
        <v>750000</v>
      </c>
      <c r="K974" s="10">
        <f t="shared" si="154"/>
        <v>900000</v>
      </c>
      <c r="L974" s="9">
        <f t="shared" si="155"/>
        <v>1200000</v>
      </c>
      <c r="M974" s="8">
        <f t="shared" si="156"/>
        <v>1.4967683333333333</v>
      </c>
      <c r="N974" t="str">
        <f t="shared" si="157"/>
        <v>125-150%</v>
      </c>
      <c r="O974" s="9">
        <f>MIN($H974,$I974)*INDEX('2018_commission_structure'!$A$1:$I$4,MATCH($E974,'2018_commission_structure'!$A$1:$A$4,0),MATCH(O$1,'2018_commission_structure'!$A$1:$I$1,0))</f>
        <v>78000</v>
      </c>
      <c r="P974" s="9">
        <f>IF(H974&gt;I974, MIN(H974-I974, J974-I974)*INDEX('2018_commission_structure'!$A$1:$I$4,MATCH($E974,'2018_commission_structure'!$A$1:$A$4,0),MATCH(P$1,'2018_commission_structure'!$A$1:$I$1,0)),0)</f>
        <v>25500.000000000004</v>
      </c>
      <c r="Q974" s="9">
        <f>IF($H974&gt;J974, MIN($H974-J974, K974-J974)*INDEX('2018_commission_structure'!$A$1:$I$4,MATCH($E974,'2018_commission_structure'!$A$1:$A$4,0),MATCH(Q$1,'2018_commission_structure'!$A$1:$I$1,0)),0)</f>
        <v>31092.809999999998</v>
      </c>
      <c r="R974" s="9">
        <f>IF($H974&gt;K974, MIN($H974-K974, L974-K974)*INDEX('2018_commission_structure'!$A$1:$I$4,MATCH($E974,'2018_commission_structure'!$A$1:$A$4,0),MATCH(R$1,'2018_commission_structure'!$A$1:$I$1,0)),0)</f>
        <v>0</v>
      </c>
      <c r="S974" s="9">
        <f>IF(H974&gt;L974,(H974-L974)*INDEX('2018_commission_structure'!$A$1:$I$4,MATCH($E974,'2018_commission_structure'!$A$1:$A$4,0),MATCH(S$1,'2018_commission_structure'!$A$1:$I$1,0)),0)</f>
        <v>0</v>
      </c>
      <c r="T974" s="9">
        <f t="shared" si="158"/>
        <v>134592.81</v>
      </c>
      <c r="U974" s="9">
        <f t="shared" si="150"/>
        <v>211859.81</v>
      </c>
      <c r="V974" s="9">
        <f>MIN($I974,$H974)*INDEX('Key Metrics'!$E$16:$N$19,MATCH($E974,'Key Metrics'!$E$16:$E$19,0),MATCH(V$1,'Key Metrics'!$E$16:$M$16,0))</f>
        <v>90000</v>
      </c>
      <c r="W974" s="9">
        <f>IF($H974&gt;I974, MIN($H974-I974, J974-I974)*INDEX('Key Metrics'!$E$16:$N$19,MATCH($E974,'Key Metrics'!$E$16:$E$19,0),MATCH(W$1,'Key Metrics'!$E$16:$M$16,0)),0)</f>
        <v>27000</v>
      </c>
      <c r="X974" s="9">
        <f>IF($H974&gt;J974, MIN($H974-J974, K974-J974)*INDEX('Key Metrics'!$E$16:$N$19,MATCH($E974,'Key Metrics'!$E$16:$E$19,0),MATCH(X$1,'Key Metrics'!$E$16:$M$16,0)),0)</f>
        <v>37015.25</v>
      </c>
      <c r="Y974" s="9">
        <f>IF($H974&gt;K974, MIN($H974-K974, L974-K974)*INDEX('Key Metrics'!$E$16:$N$19,MATCH($E974,'Key Metrics'!$E$16:$E$19,0),MATCH(Y$1,'Key Metrics'!$E$16:$M$16,0)),0)</f>
        <v>0</v>
      </c>
      <c r="Z974" s="9">
        <f>IF($H974&gt;L974,($H974-L974)*INDEX('Key Metrics'!$E$16:$N$19,MATCH($E974,'Key Metrics'!$E$16:$E$19,0),MATCH(Z$1,'Key Metrics'!$E$16:$M$16,0)),0)</f>
        <v>0</v>
      </c>
      <c r="AA974" s="9">
        <f t="shared" si="159"/>
        <v>154015.25</v>
      </c>
      <c r="AB974" s="9">
        <f t="shared" si="151"/>
        <v>154016.74676833334</v>
      </c>
    </row>
    <row r="975" spans="1:28" x14ac:dyDescent="0.55000000000000004">
      <c r="A975" t="str">
        <f t="shared" si="152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COUNTIF(deals_closed!$D$2:$D$20001,Calculations!B318)</f>
        <v>19</v>
      </c>
      <c r="H975" s="7">
        <f>SUMIF(deals_closed!$D:$D,Calculations!B318,deals_closed!$C:$C)</f>
        <v>607396</v>
      </c>
      <c r="I975" s="5">
        <f>VLOOKUP(E975,'2018_commission_structure'!$A$1:$I$4,9,FALSE)</f>
        <v>600000</v>
      </c>
      <c r="J975" s="9">
        <f t="shared" si="153"/>
        <v>750000</v>
      </c>
      <c r="K975" s="10">
        <f t="shared" si="154"/>
        <v>900000</v>
      </c>
      <c r="L975" s="9">
        <f t="shared" si="155"/>
        <v>1200000</v>
      </c>
      <c r="M975" s="8">
        <f t="shared" si="156"/>
        <v>1.0123266666666666</v>
      </c>
      <c r="N975" t="str">
        <f t="shared" si="157"/>
        <v>100-125%</v>
      </c>
      <c r="O975" s="9">
        <f>MIN($H975,$I975)*INDEX('2018_commission_structure'!$A$1:$I$4,MATCH($E975,'2018_commission_structure'!$A$1:$A$4,0),MATCH(O$1,'2018_commission_structure'!$A$1:$I$1,0))</f>
        <v>78000</v>
      </c>
      <c r="P975" s="9">
        <f>IF(H975&gt;I975, MIN(H975-I975, J975-I975)*INDEX('2018_commission_structure'!$A$1:$I$4,MATCH($E975,'2018_commission_structure'!$A$1:$A$4,0),MATCH(P$1,'2018_commission_structure'!$A$1:$I$1,0)),0)</f>
        <v>1257.3200000000002</v>
      </c>
      <c r="Q975" s="9">
        <f>IF($H975&gt;J975, MIN($H975-J975, K975-J975)*INDEX('2018_commission_structure'!$A$1:$I$4,MATCH($E975,'2018_commission_structure'!$A$1:$A$4,0),MATCH(Q$1,'2018_commission_structure'!$A$1:$I$1,0)),0)</f>
        <v>0</v>
      </c>
      <c r="R975" s="9">
        <f>IF($H975&gt;K975, MIN($H975-K975, L975-K975)*INDEX('2018_commission_structure'!$A$1:$I$4,MATCH($E975,'2018_commission_structure'!$A$1:$A$4,0),MATCH(R$1,'2018_commission_structure'!$A$1:$I$1,0)),0)</f>
        <v>0</v>
      </c>
      <c r="S975" s="9">
        <f>IF(H975&gt;L975,(H975-L975)*INDEX('2018_commission_structure'!$A$1:$I$4,MATCH($E975,'2018_commission_structure'!$A$1:$A$4,0),MATCH(S$1,'2018_commission_structure'!$A$1:$I$1,0)),0)</f>
        <v>0</v>
      </c>
      <c r="T975" s="9">
        <f t="shared" si="158"/>
        <v>79257.320000000007</v>
      </c>
      <c r="U975" s="9">
        <f t="shared" si="150"/>
        <v>148339.32</v>
      </c>
      <c r="V975" s="9">
        <f>MIN($I975,$H975)*INDEX('Key Metrics'!$E$16:$N$19,MATCH($E975,'Key Metrics'!$E$16:$E$19,0),MATCH(V$1,'Key Metrics'!$E$16:$M$16,0))</f>
        <v>90000</v>
      </c>
      <c r="W975" s="9">
        <f>IF($H975&gt;I975, MIN($H975-I975, J975-I975)*INDEX('Key Metrics'!$E$16:$N$19,MATCH($E975,'Key Metrics'!$E$16:$E$19,0),MATCH(W$1,'Key Metrics'!$E$16:$M$16,0)),0)</f>
        <v>1331.28</v>
      </c>
      <c r="X975" s="9">
        <f>IF($H975&gt;J975, MIN($H975-J975, K975-J975)*INDEX('Key Metrics'!$E$16:$N$19,MATCH($E975,'Key Metrics'!$E$16:$E$19,0),MATCH(X$1,'Key Metrics'!$E$16:$M$16,0)),0)</f>
        <v>0</v>
      </c>
      <c r="Y975" s="9">
        <f>IF($H975&gt;K975, MIN($H975-K975, L975-K975)*INDEX('Key Metrics'!$E$16:$N$19,MATCH($E975,'Key Metrics'!$E$16:$E$19,0),MATCH(Y$1,'Key Metrics'!$E$16:$M$16,0)),0)</f>
        <v>0</v>
      </c>
      <c r="Z975" s="9">
        <f>IF($H975&gt;L975,($H975-L975)*INDEX('Key Metrics'!$E$16:$N$19,MATCH($E975,'Key Metrics'!$E$16:$E$19,0),MATCH(Z$1,'Key Metrics'!$E$16:$M$16,0)),0)</f>
        <v>0</v>
      </c>
      <c r="AA975" s="9">
        <f t="shared" si="159"/>
        <v>91331.28</v>
      </c>
      <c r="AB975" s="9">
        <f t="shared" si="151"/>
        <v>91332.292326666662</v>
      </c>
    </row>
    <row r="976" spans="1:28" x14ac:dyDescent="0.55000000000000004">
      <c r="A976" t="str">
        <f t="shared" si="152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COUNTIF(deals_closed!$D$2:$D$20001,Calculations!B808)</f>
        <v>10</v>
      </c>
      <c r="H976" s="7">
        <f>SUMIF(deals_closed!$D:$D,Calculations!B808,deals_closed!$C:$C)</f>
        <v>303175</v>
      </c>
      <c r="I976" s="5">
        <f>VLOOKUP(E976,'2018_commission_structure'!$A$1:$I$4,9,FALSE)</f>
        <v>600000</v>
      </c>
      <c r="J976" s="9">
        <f t="shared" si="153"/>
        <v>750000</v>
      </c>
      <c r="K976" s="10">
        <f t="shared" si="154"/>
        <v>900000</v>
      </c>
      <c r="L976" s="9">
        <f t="shared" si="155"/>
        <v>1200000</v>
      </c>
      <c r="M976" s="8">
        <f t="shared" si="156"/>
        <v>0.50529166666666669</v>
      </c>
      <c r="N976" t="str">
        <f t="shared" si="157"/>
        <v>0-100%</v>
      </c>
      <c r="O976" s="9">
        <f>MIN($H976,$I976)*INDEX('2018_commission_structure'!$A$1:$I$4,MATCH($E976,'2018_commission_structure'!$A$1:$A$4,0),MATCH(O$1,'2018_commission_structure'!$A$1:$I$1,0))</f>
        <v>39412.75</v>
      </c>
      <c r="P976" s="9">
        <f>IF(H976&gt;I976, MIN(H976-I976, J976-I976)*INDEX('2018_commission_structure'!$A$1:$I$4,MATCH($E976,'2018_commission_structure'!$A$1:$A$4,0),MATCH(P$1,'2018_commission_structure'!$A$1:$I$1,0)),0)</f>
        <v>0</v>
      </c>
      <c r="Q976" s="9">
        <f>IF($H976&gt;J976, MIN($H976-J976, K976-J976)*INDEX('2018_commission_structure'!$A$1:$I$4,MATCH($E976,'2018_commission_structure'!$A$1:$A$4,0),MATCH(Q$1,'2018_commission_structure'!$A$1:$I$1,0)),0)</f>
        <v>0</v>
      </c>
      <c r="R976" s="9">
        <f>IF($H976&gt;K976, MIN($H976-K976, L976-K976)*INDEX('2018_commission_structure'!$A$1:$I$4,MATCH($E976,'2018_commission_structure'!$A$1:$A$4,0),MATCH(R$1,'2018_commission_structure'!$A$1:$I$1,0)),0)</f>
        <v>0</v>
      </c>
      <c r="S976" s="9">
        <f>IF(H976&gt;L976,(H976-L976)*INDEX('2018_commission_structure'!$A$1:$I$4,MATCH($E976,'2018_commission_structure'!$A$1:$A$4,0),MATCH(S$1,'2018_commission_structure'!$A$1:$I$1,0)),0)</f>
        <v>0</v>
      </c>
      <c r="T976" s="9">
        <f t="shared" si="158"/>
        <v>39412.75</v>
      </c>
      <c r="U976" s="9">
        <f t="shared" si="150"/>
        <v>117554.75</v>
      </c>
      <c r="V976" s="9">
        <f>MIN($I976,$H976)*INDEX('Key Metrics'!$E$16:$N$19,MATCH($E976,'Key Metrics'!$E$16:$E$19,0),MATCH(V$1,'Key Metrics'!$E$16:$M$16,0))</f>
        <v>45476.25</v>
      </c>
      <c r="W976" s="9">
        <f>IF($H976&gt;I976, MIN($H976-I976, J976-I976)*INDEX('Key Metrics'!$E$16:$N$19,MATCH($E976,'Key Metrics'!$E$16:$E$19,0),MATCH(W$1,'Key Metrics'!$E$16:$M$16,0)),0)</f>
        <v>0</v>
      </c>
      <c r="X976" s="9">
        <f>IF($H976&gt;J976, MIN($H976-J976, K976-J976)*INDEX('Key Metrics'!$E$16:$N$19,MATCH($E976,'Key Metrics'!$E$16:$E$19,0),MATCH(X$1,'Key Metrics'!$E$16:$M$16,0)),0)</f>
        <v>0</v>
      </c>
      <c r="Y976" s="9">
        <f>IF($H976&gt;K976, MIN($H976-K976, L976-K976)*INDEX('Key Metrics'!$E$16:$N$19,MATCH($E976,'Key Metrics'!$E$16:$E$19,0),MATCH(Y$1,'Key Metrics'!$E$16:$M$16,0)),0)</f>
        <v>0</v>
      </c>
      <c r="Z976" s="9">
        <f>IF($H976&gt;L976,($H976-L976)*INDEX('Key Metrics'!$E$16:$N$19,MATCH($E976,'Key Metrics'!$E$16:$E$19,0),MATCH(Z$1,'Key Metrics'!$E$16:$M$16,0)),0)</f>
        <v>0</v>
      </c>
      <c r="AA976" s="9">
        <f t="shared" si="159"/>
        <v>45476.25</v>
      </c>
      <c r="AB976" s="9">
        <f t="shared" si="151"/>
        <v>45476.755291666668</v>
      </c>
    </row>
    <row r="977" spans="1:28" x14ac:dyDescent="0.55000000000000004">
      <c r="A977" t="str">
        <f t="shared" si="152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COUNTIF(deals_closed!$D$2:$D$20001,Calculations!B837)</f>
        <v>17</v>
      </c>
      <c r="H977" s="7">
        <f>SUMIF(deals_closed!$D:$D,Calculations!B837,deals_closed!$C:$C)</f>
        <v>650996</v>
      </c>
      <c r="I977" s="5">
        <f>VLOOKUP(E977,'2018_commission_structure'!$A$1:$I$4,9,FALSE)</f>
        <v>600000</v>
      </c>
      <c r="J977" s="9">
        <f t="shared" si="153"/>
        <v>750000</v>
      </c>
      <c r="K977" s="10">
        <f t="shared" si="154"/>
        <v>900000</v>
      </c>
      <c r="L977" s="9">
        <f t="shared" si="155"/>
        <v>1200000</v>
      </c>
      <c r="M977" s="8">
        <f t="shared" si="156"/>
        <v>1.0849933333333333</v>
      </c>
      <c r="N977" t="str">
        <f t="shared" si="157"/>
        <v>100-125%</v>
      </c>
      <c r="O977" s="9">
        <f>MIN($H977,$I977)*INDEX('2018_commission_structure'!$A$1:$I$4,MATCH($E977,'2018_commission_structure'!$A$1:$A$4,0),MATCH(O$1,'2018_commission_structure'!$A$1:$I$1,0))</f>
        <v>78000</v>
      </c>
      <c r="P977" s="9">
        <f>IF(H977&gt;I977, MIN(H977-I977, J977-I977)*INDEX('2018_commission_structure'!$A$1:$I$4,MATCH($E977,'2018_commission_structure'!$A$1:$A$4,0),MATCH(P$1,'2018_commission_structure'!$A$1:$I$1,0)),0)</f>
        <v>8669.3200000000015</v>
      </c>
      <c r="Q977" s="9">
        <f>IF($H977&gt;J977, MIN($H977-J977, K977-J977)*INDEX('2018_commission_structure'!$A$1:$I$4,MATCH($E977,'2018_commission_structure'!$A$1:$A$4,0),MATCH(Q$1,'2018_commission_structure'!$A$1:$I$1,0)),0)</f>
        <v>0</v>
      </c>
      <c r="R977" s="9">
        <f>IF($H977&gt;K977, MIN($H977-K977, L977-K977)*INDEX('2018_commission_structure'!$A$1:$I$4,MATCH($E977,'2018_commission_structure'!$A$1:$A$4,0),MATCH(R$1,'2018_commission_structure'!$A$1:$I$1,0)),0)</f>
        <v>0</v>
      </c>
      <c r="S977" s="9">
        <f>IF(H977&gt;L977,(H977-L977)*INDEX('2018_commission_structure'!$A$1:$I$4,MATCH($E977,'2018_commission_structure'!$A$1:$A$4,0),MATCH(S$1,'2018_commission_structure'!$A$1:$I$1,0)),0)</f>
        <v>0</v>
      </c>
      <c r="T977" s="9">
        <f t="shared" si="158"/>
        <v>86669.32</v>
      </c>
      <c r="U977" s="9">
        <f t="shared" si="150"/>
        <v>146834.32</v>
      </c>
      <c r="V977" s="9">
        <f>MIN($I977,$H977)*INDEX('Key Metrics'!$E$16:$N$19,MATCH($E977,'Key Metrics'!$E$16:$E$19,0),MATCH(V$1,'Key Metrics'!$E$16:$M$16,0))</f>
        <v>90000</v>
      </c>
      <c r="W977" s="9">
        <f>IF($H977&gt;I977, MIN($H977-I977, J977-I977)*INDEX('Key Metrics'!$E$16:$N$19,MATCH($E977,'Key Metrics'!$E$16:$E$19,0),MATCH(W$1,'Key Metrics'!$E$16:$M$16,0)),0)</f>
        <v>9179.2799999999988</v>
      </c>
      <c r="X977" s="9">
        <f>IF($H977&gt;J977, MIN($H977-J977, K977-J977)*INDEX('Key Metrics'!$E$16:$N$19,MATCH($E977,'Key Metrics'!$E$16:$E$19,0),MATCH(X$1,'Key Metrics'!$E$16:$M$16,0)),0)</f>
        <v>0</v>
      </c>
      <c r="Y977" s="9">
        <f>IF($H977&gt;K977, MIN($H977-K977, L977-K977)*INDEX('Key Metrics'!$E$16:$N$19,MATCH($E977,'Key Metrics'!$E$16:$E$19,0),MATCH(Y$1,'Key Metrics'!$E$16:$M$16,0)),0)</f>
        <v>0</v>
      </c>
      <c r="Z977" s="9">
        <f>IF($H977&gt;L977,($H977-L977)*INDEX('Key Metrics'!$E$16:$N$19,MATCH($E977,'Key Metrics'!$E$16:$E$19,0),MATCH(Z$1,'Key Metrics'!$E$16:$M$16,0)),0)</f>
        <v>0</v>
      </c>
      <c r="AA977" s="9">
        <f t="shared" si="159"/>
        <v>99179.28</v>
      </c>
      <c r="AB977" s="9">
        <f t="shared" si="151"/>
        <v>99180.364993333336</v>
      </c>
    </row>
    <row r="978" spans="1:28" x14ac:dyDescent="0.55000000000000004">
      <c r="A978" t="str">
        <f t="shared" si="152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COUNTIF(deals_closed!$D$2:$D$20001,Calculations!B259)</f>
        <v>21</v>
      </c>
      <c r="H978" s="7">
        <f>SUMIF(deals_closed!$D:$D,Calculations!B259,deals_closed!$C:$C)</f>
        <v>664445</v>
      </c>
      <c r="I978" s="5">
        <f>VLOOKUP(E978,'2018_commission_structure'!$A$1:$I$4,9,FALSE)</f>
        <v>750000</v>
      </c>
      <c r="J978" s="9">
        <f t="shared" si="153"/>
        <v>937500</v>
      </c>
      <c r="K978" s="10">
        <f t="shared" si="154"/>
        <v>1125000</v>
      </c>
      <c r="L978" s="9">
        <f t="shared" si="155"/>
        <v>1500000</v>
      </c>
      <c r="M978" s="8">
        <f t="shared" si="156"/>
        <v>0.88592666666666664</v>
      </c>
      <c r="N978" t="str">
        <f t="shared" si="157"/>
        <v>0-100%</v>
      </c>
      <c r="O978" s="9">
        <f>MIN($H978,$I978)*INDEX('2018_commission_structure'!$A$1:$I$4,MATCH($E978,'2018_commission_structure'!$A$1:$A$4,0),MATCH(O$1,'2018_commission_structure'!$A$1:$I$1,0))</f>
        <v>99666.75</v>
      </c>
      <c r="P978" s="9">
        <f>IF(H978&gt;I978, MIN(H978-I978, J978-I978)*INDEX('2018_commission_structure'!$A$1:$I$4,MATCH($E978,'2018_commission_structure'!$A$1:$A$4,0),MATCH(P$1,'2018_commission_structure'!$A$1:$I$1,0)),0)</f>
        <v>0</v>
      </c>
      <c r="Q978" s="9">
        <f>IF($H978&gt;J978, MIN($H978-J978, K978-J978)*INDEX('2018_commission_structure'!$A$1:$I$4,MATCH($E978,'2018_commission_structure'!$A$1:$A$4,0),MATCH(Q$1,'2018_commission_structure'!$A$1:$I$1,0)),0)</f>
        <v>0</v>
      </c>
      <c r="R978" s="9">
        <f>IF($H978&gt;K978, MIN($H978-K978, L978-K978)*INDEX('2018_commission_structure'!$A$1:$I$4,MATCH($E978,'2018_commission_structure'!$A$1:$A$4,0),MATCH(R$1,'2018_commission_structure'!$A$1:$I$1,0)),0)</f>
        <v>0</v>
      </c>
      <c r="S978" s="9">
        <f>IF(H978&gt;L978,(H978-L978)*INDEX('2018_commission_structure'!$A$1:$I$4,MATCH($E978,'2018_commission_structure'!$A$1:$A$4,0),MATCH(S$1,'2018_commission_structure'!$A$1:$I$1,0)),0)</f>
        <v>0</v>
      </c>
      <c r="T978" s="9">
        <f t="shared" si="158"/>
        <v>99666.75</v>
      </c>
      <c r="U978" s="9">
        <f t="shared" si="150"/>
        <v>175821.75</v>
      </c>
      <c r="V978" s="9">
        <f>MIN($I978,$H978)*INDEX('Key Metrics'!$E$16:$N$19,MATCH($E978,'Key Metrics'!$E$16:$E$19,0),MATCH(V$1,'Key Metrics'!$E$16:$M$16,0))</f>
        <v>99666.75</v>
      </c>
      <c r="W978" s="9">
        <f>IF($H978&gt;I978, MIN($H978-I978, J978-I978)*INDEX('Key Metrics'!$E$16:$N$19,MATCH($E978,'Key Metrics'!$E$16:$E$19,0),MATCH(W$1,'Key Metrics'!$E$16:$M$16,0)),0)</f>
        <v>0</v>
      </c>
      <c r="X978" s="9">
        <f>IF($H978&gt;J978, MIN($H978-J978, K978-J978)*INDEX('Key Metrics'!$E$16:$N$19,MATCH($E978,'Key Metrics'!$E$16:$E$19,0),MATCH(X$1,'Key Metrics'!$E$16:$M$16,0)),0)</f>
        <v>0</v>
      </c>
      <c r="Y978" s="9">
        <f>IF($H978&gt;K978, MIN($H978-K978, L978-K978)*INDEX('Key Metrics'!$E$16:$N$19,MATCH($E978,'Key Metrics'!$E$16:$E$19,0),MATCH(Y$1,'Key Metrics'!$E$16:$M$16,0)),0)</f>
        <v>0</v>
      </c>
      <c r="Z978" s="9">
        <f>IF($H978&gt;L978,($H978-L978)*INDEX('Key Metrics'!$E$16:$N$19,MATCH($E978,'Key Metrics'!$E$16:$E$19,0),MATCH(Z$1,'Key Metrics'!$E$16:$M$16,0)),0)</f>
        <v>0</v>
      </c>
      <c r="AA978" s="9">
        <f t="shared" si="159"/>
        <v>99666.75</v>
      </c>
      <c r="AB978" s="9">
        <f t="shared" si="151"/>
        <v>99667.63592666667</v>
      </c>
    </row>
    <row r="979" spans="1:28" x14ac:dyDescent="0.55000000000000004">
      <c r="A979" t="str">
        <f t="shared" si="152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COUNTIF(deals_closed!$D$2:$D$20001,Calculations!B272)</f>
        <v>32</v>
      </c>
      <c r="H979" s="7">
        <f>SUMIF(deals_closed!$D:$D,Calculations!B272,deals_closed!$C:$C)</f>
        <v>1012954</v>
      </c>
      <c r="I979" s="5">
        <f>VLOOKUP(E979,'2018_commission_structure'!$A$1:$I$4,9,FALSE)</f>
        <v>500000</v>
      </c>
      <c r="J979" s="9">
        <f t="shared" si="153"/>
        <v>625000</v>
      </c>
      <c r="K979" s="10">
        <f t="shared" si="154"/>
        <v>750000</v>
      </c>
      <c r="L979" s="9">
        <f t="shared" si="155"/>
        <v>1000000</v>
      </c>
      <c r="M979" s="8">
        <f t="shared" si="156"/>
        <v>2.0259079999999998</v>
      </c>
      <c r="N979" t="str">
        <f t="shared" si="157"/>
        <v>&gt;200%</v>
      </c>
      <c r="O979" s="9">
        <f>MIN($H979,$I979)*INDEX('2018_commission_structure'!$A$1:$I$4,MATCH($E979,'2018_commission_structure'!$A$1:$A$4,0),MATCH(O$1,'2018_commission_structure'!$A$1:$I$1,0))</f>
        <v>50000</v>
      </c>
      <c r="P979" s="9">
        <f>IF(H979&gt;I979, MIN(H979-I979, J979-I979)*INDEX('2018_commission_structure'!$A$1:$I$4,MATCH($E979,'2018_commission_structure'!$A$1:$A$4,0),MATCH(P$1,'2018_commission_structure'!$A$1:$I$1,0)),0)</f>
        <v>18750</v>
      </c>
      <c r="Q979" s="9">
        <f>IF($H979&gt;J979, MIN($H979-J979, K979-J979)*INDEX('2018_commission_structure'!$A$1:$I$4,MATCH($E979,'2018_commission_structure'!$A$1:$A$4,0),MATCH(Q$1,'2018_commission_structure'!$A$1:$I$1,0)),0)</f>
        <v>22500</v>
      </c>
      <c r="R979" s="9">
        <f>IF($H979&gt;K979, MIN($H979-K979, L979-K979)*INDEX('2018_commission_structure'!$A$1:$I$4,MATCH($E979,'2018_commission_structure'!$A$1:$A$4,0),MATCH(R$1,'2018_commission_structure'!$A$1:$I$1,0)),0)</f>
        <v>55000</v>
      </c>
      <c r="S979" s="9">
        <f>IF(H979&gt;L979,(H979-L979)*INDEX('2018_commission_structure'!$A$1:$I$4,MATCH($E979,'2018_commission_structure'!$A$1:$A$4,0),MATCH(S$1,'2018_commission_structure'!$A$1:$I$1,0)),0)</f>
        <v>1295.4000000000001</v>
      </c>
      <c r="T979" s="9">
        <f t="shared" si="158"/>
        <v>147545.4</v>
      </c>
      <c r="U979" s="9">
        <f t="shared" si="150"/>
        <v>204270.4</v>
      </c>
      <c r="V979" s="9">
        <f>MIN($I979,$H979)*INDEX('Key Metrics'!$E$16:$N$19,MATCH($E979,'Key Metrics'!$E$16:$E$19,0),MATCH(V$1,'Key Metrics'!$E$16:$M$16,0))</f>
        <v>60000</v>
      </c>
      <c r="W979" s="9">
        <f>IF($H979&gt;I979, MIN($H979-I979, J979-I979)*INDEX('Key Metrics'!$E$16:$N$19,MATCH($E979,'Key Metrics'!$E$16:$E$19,0),MATCH(W$1,'Key Metrics'!$E$16:$M$16,0)),0)</f>
        <v>21250</v>
      </c>
      <c r="X979" s="9">
        <f>IF($H979&gt;J979, MIN($H979-J979, K979-J979)*INDEX('Key Metrics'!$E$16:$N$19,MATCH($E979,'Key Metrics'!$E$16:$E$19,0),MATCH(X$1,'Key Metrics'!$E$16:$M$16,0)),0)</f>
        <v>25000</v>
      </c>
      <c r="Y979" s="9">
        <f>IF($H979&gt;K979, MIN($H979-K979, L979-K979)*INDEX('Key Metrics'!$E$16:$N$19,MATCH($E979,'Key Metrics'!$E$16:$E$19,0),MATCH(Y$1,'Key Metrics'!$E$16:$M$16,0)),0)</f>
        <v>55000</v>
      </c>
      <c r="Z979" s="9">
        <f>IF($H979&gt;L979,($H979-L979)*INDEX('Key Metrics'!$E$16:$N$19,MATCH($E979,'Key Metrics'!$E$16:$E$19,0),MATCH(Z$1,'Key Metrics'!$E$16:$M$16,0)),0)</f>
        <v>1295.4000000000001</v>
      </c>
      <c r="AA979" s="9">
        <f t="shared" si="159"/>
        <v>162545.4</v>
      </c>
      <c r="AB979" s="9">
        <f t="shared" si="151"/>
        <v>162547.425908</v>
      </c>
    </row>
    <row r="980" spans="1:28" x14ac:dyDescent="0.55000000000000004">
      <c r="A980" t="str">
        <f t="shared" si="152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COUNTIF(deals_closed!$D$2:$D$20001,Calculations!B326)</f>
        <v>16</v>
      </c>
      <c r="H980" s="7">
        <f>SUMIF(deals_closed!$D:$D,Calculations!B326,deals_closed!$C:$C)</f>
        <v>569297</v>
      </c>
      <c r="I980" s="5">
        <f>VLOOKUP(E980,'2018_commission_structure'!$A$1:$I$4,9,FALSE)</f>
        <v>600000</v>
      </c>
      <c r="J980" s="9">
        <f t="shared" si="153"/>
        <v>750000</v>
      </c>
      <c r="K980" s="10">
        <f t="shared" si="154"/>
        <v>900000</v>
      </c>
      <c r="L980" s="9">
        <f t="shared" si="155"/>
        <v>1200000</v>
      </c>
      <c r="M980" s="8">
        <f t="shared" si="156"/>
        <v>0.94882833333333338</v>
      </c>
      <c r="N980" t="str">
        <f t="shared" si="157"/>
        <v>0-100%</v>
      </c>
      <c r="O980" s="9">
        <f>MIN($H980,$I980)*INDEX('2018_commission_structure'!$A$1:$I$4,MATCH($E980,'2018_commission_structure'!$A$1:$A$4,0),MATCH(O$1,'2018_commission_structure'!$A$1:$I$1,0))</f>
        <v>74008.61</v>
      </c>
      <c r="P980" s="9">
        <f>IF(H980&gt;I980, MIN(H980-I980, J980-I980)*INDEX('2018_commission_structure'!$A$1:$I$4,MATCH($E980,'2018_commission_structure'!$A$1:$A$4,0),MATCH(P$1,'2018_commission_structure'!$A$1:$I$1,0)),0)</f>
        <v>0</v>
      </c>
      <c r="Q980" s="9">
        <f>IF($H980&gt;J980, MIN($H980-J980, K980-J980)*INDEX('2018_commission_structure'!$A$1:$I$4,MATCH($E980,'2018_commission_structure'!$A$1:$A$4,0),MATCH(Q$1,'2018_commission_structure'!$A$1:$I$1,0)),0)</f>
        <v>0</v>
      </c>
      <c r="R980" s="9">
        <f>IF($H980&gt;K980, MIN($H980-K980, L980-K980)*INDEX('2018_commission_structure'!$A$1:$I$4,MATCH($E980,'2018_commission_structure'!$A$1:$A$4,0),MATCH(R$1,'2018_commission_structure'!$A$1:$I$1,0)),0)</f>
        <v>0</v>
      </c>
      <c r="S980" s="9">
        <f>IF(H980&gt;L980,(H980-L980)*INDEX('2018_commission_structure'!$A$1:$I$4,MATCH($E980,'2018_commission_structure'!$A$1:$A$4,0),MATCH(S$1,'2018_commission_structure'!$A$1:$I$1,0)),0)</f>
        <v>0</v>
      </c>
      <c r="T980" s="9">
        <f t="shared" si="158"/>
        <v>74008.61</v>
      </c>
      <c r="U980" s="9">
        <f t="shared" si="150"/>
        <v>151473.60999999999</v>
      </c>
      <c r="V980" s="9">
        <f>MIN($I980,$H980)*INDEX('Key Metrics'!$E$16:$N$19,MATCH($E980,'Key Metrics'!$E$16:$E$19,0),MATCH(V$1,'Key Metrics'!$E$16:$M$16,0))</f>
        <v>85394.55</v>
      </c>
      <c r="W980" s="9">
        <f>IF($H980&gt;I980, MIN($H980-I980, J980-I980)*INDEX('Key Metrics'!$E$16:$N$19,MATCH($E980,'Key Metrics'!$E$16:$E$19,0),MATCH(W$1,'Key Metrics'!$E$16:$M$16,0)),0)</f>
        <v>0</v>
      </c>
      <c r="X980" s="9">
        <f>IF($H980&gt;J980, MIN($H980-J980, K980-J980)*INDEX('Key Metrics'!$E$16:$N$19,MATCH($E980,'Key Metrics'!$E$16:$E$19,0),MATCH(X$1,'Key Metrics'!$E$16:$M$16,0)),0)</f>
        <v>0</v>
      </c>
      <c r="Y980" s="9">
        <f>IF($H980&gt;K980, MIN($H980-K980, L980-K980)*INDEX('Key Metrics'!$E$16:$N$19,MATCH($E980,'Key Metrics'!$E$16:$E$19,0),MATCH(Y$1,'Key Metrics'!$E$16:$M$16,0)),0)</f>
        <v>0</v>
      </c>
      <c r="Z980" s="9">
        <f>IF($H980&gt;L980,($H980-L980)*INDEX('Key Metrics'!$E$16:$N$19,MATCH($E980,'Key Metrics'!$E$16:$E$19,0),MATCH(Z$1,'Key Metrics'!$E$16:$M$16,0)),0)</f>
        <v>0</v>
      </c>
      <c r="AA980" s="9">
        <f t="shared" si="159"/>
        <v>85394.55</v>
      </c>
      <c r="AB980" s="9">
        <f t="shared" si="151"/>
        <v>85395.498828333337</v>
      </c>
    </row>
    <row r="981" spans="1:28" x14ac:dyDescent="0.55000000000000004">
      <c r="A981" t="str">
        <f t="shared" si="152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COUNTIF(deals_closed!$D$2:$D$20001,Calculations!B935)</f>
        <v>21</v>
      </c>
      <c r="H981" s="7">
        <f>SUMIF(deals_closed!$D:$D,Calculations!B935,deals_closed!$C:$C)</f>
        <v>745518</v>
      </c>
      <c r="I981" s="5">
        <f>VLOOKUP(E981,'2018_commission_structure'!$A$1:$I$4,9,FALSE)</f>
        <v>500000</v>
      </c>
      <c r="J981" s="9">
        <f t="shared" si="153"/>
        <v>625000</v>
      </c>
      <c r="K981" s="10">
        <f t="shared" si="154"/>
        <v>750000</v>
      </c>
      <c r="L981" s="9">
        <f t="shared" si="155"/>
        <v>1000000</v>
      </c>
      <c r="M981" s="8">
        <f t="shared" si="156"/>
        <v>1.491036</v>
      </c>
      <c r="N981" t="str">
        <f t="shared" si="157"/>
        <v>125-150%</v>
      </c>
      <c r="O981" s="9">
        <f>MIN($H981,$I981)*INDEX('2018_commission_structure'!$A$1:$I$4,MATCH($E981,'2018_commission_structure'!$A$1:$A$4,0),MATCH(O$1,'2018_commission_structure'!$A$1:$I$1,0))</f>
        <v>50000</v>
      </c>
      <c r="P981" s="9">
        <f>IF(H981&gt;I981, MIN(H981-I981, J981-I981)*INDEX('2018_commission_structure'!$A$1:$I$4,MATCH($E981,'2018_commission_structure'!$A$1:$A$4,0),MATCH(P$1,'2018_commission_structure'!$A$1:$I$1,0)),0)</f>
        <v>18750</v>
      </c>
      <c r="Q981" s="9">
        <f>IF($H981&gt;J981, MIN($H981-J981, K981-J981)*INDEX('2018_commission_structure'!$A$1:$I$4,MATCH($E981,'2018_commission_structure'!$A$1:$A$4,0),MATCH(Q$1,'2018_commission_structure'!$A$1:$I$1,0)),0)</f>
        <v>21693.239999999998</v>
      </c>
      <c r="R981" s="9">
        <f>IF($H981&gt;K981, MIN($H981-K981, L981-K981)*INDEX('2018_commission_structure'!$A$1:$I$4,MATCH($E981,'2018_commission_structure'!$A$1:$A$4,0),MATCH(R$1,'2018_commission_structure'!$A$1:$I$1,0)),0)</f>
        <v>0</v>
      </c>
      <c r="S981" s="9">
        <f>IF(H981&gt;L981,(H981-L981)*INDEX('2018_commission_structure'!$A$1:$I$4,MATCH($E981,'2018_commission_structure'!$A$1:$A$4,0),MATCH(S$1,'2018_commission_structure'!$A$1:$I$1,0)),0)</f>
        <v>0</v>
      </c>
      <c r="T981" s="9">
        <f t="shared" si="158"/>
        <v>90443.239999999991</v>
      </c>
      <c r="U981" s="9">
        <f t="shared" si="150"/>
        <v>136735.24</v>
      </c>
      <c r="V981" s="9">
        <f>MIN($I981,$H981)*INDEX('Key Metrics'!$E$16:$N$19,MATCH($E981,'Key Metrics'!$E$16:$E$19,0),MATCH(V$1,'Key Metrics'!$E$16:$M$16,0))</f>
        <v>60000</v>
      </c>
      <c r="W981" s="9">
        <f>IF($H981&gt;I981, MIN($H981-I981, J981-I981)*INDEX('Key Metrics'!$E$16:$N$19,MATCH($E981,'Key Metrics'!$E$16:$E$19,0),MATCH(W$1,'Key Metrics'!$E$16:$M$16,0)),0)</f>
        <v>21250</v>
      </c>
      <c r="X981" s="9">
        <f>IF($H981&gt;J981, MIN($H981-J981, K981-J981)*INDEX('Key Metrics'!$E$16:$N$19,MATCH($E981,'Key Metrics'!$E$16:$E$19,0),MATCH(X$1,'Key Metrics'!$E$16:$M$16,0)),0)</f>
        <v>24103.600000000002</v>
      </c>
      <c r="Y981" s="9">
        <f>IF($H981&gt;K981, MIN($H981-K981, L981-K981)*INDEX('Key Metrics'!$E$16:$N$19,MATCH($E981,'Key Metrics'!$E$16:$E$19,0),MATCH(Y$1,'Key Metrics'!$E$16:$M$16,0)),0)</f>
        <v>0</v>
      </c>
      <c r="Z981" s="9">
        <f>IF($H981&gt;L981,($H981-L981)*INDEX('Key Metrics'!$E$16:$N$19,MATCH($E981,'Key Metrics'!$E$16:$E$19,0),MATCH(Z$1,'Key Metrics'!$E$16:$M$16,0)),0)</f>
        <v>0</v>
      </c>
      <c r="AA981" s="9">
        <f t="shared" si="159"/>
        <v>105353.60000000001</v>
      </c>
      <c r="AB981" s="9">
        <f t="shared" si="151"/>
        <v>105355.09103600001</v>
      </c>
    </row>
    <row r="982" spans="1:28" x14ac:dyDescent="0.55000000000000004">
      <c r="A982" t="str">
        <f t="shared" si="152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COUNTIF(deals_closed!$D$2:$D$20001,Calculations!B752)</f>
        <v>22</v>
      </c>
      <c r="H982" s="7">
        <f>SUMIF(deals_closed!$D:$D,Calculations!B752,deals_closed!$C:$C)</f>
        <v>776116</v>
      </c>
      <c r="I982" s="5">
        <f>VLOOKUP(E982,'2018_commission_structure'!$A$1:$I$4,9,FALSE)</f>
        <v>750000</v>
      </c>
      <c r="J982" s="9">
        <f t="shared" si="153"/>
        <v>937500</v>
      </c>
      <c r="K982" s="10">
        <f t="shared" si="154"/>
        <v>1125000</v>
      </c>
      <c r="L982" s="9">
        <f t="shared" si="155"/>
        <v>1500000</v>
      </c>
      <c r="M982" s="8">
        <f t="shared" si="156"/>
        <v>1.0348213333333334</v>
      </c>
      <c r="N982" t="str">
        <f t="shared" si="157"/>
        <v>100-125%</v>
      </c>
      <c r="O982" s="9">
        <f>MIN($H982,$I982)*INDEX('2018_commission_structure'!$A$1:$I$4,MATCH($E982,'2018_commission_structure'!$A$1:$A$4,0),MATCH(O$1,'2018_commission_structure'!$A$1:$I$1,0))</f>
        <v>112500</v>
      </c>
      <c r="P982" s="9">
        <f>IF(H982&gt;I982, MIN(H982-I982, J982-I982)*INDEX('2018_commission_structure'!$A$1:$I$4,MATCH($E982,'2018_commission_structure'!$A$1:$A$4,0),MATCH(P$1,'2018_commission_structure'!$A$1:$I$1,0)),0)</f>
        <v>4962.04</v>
      </c>
      <c r="Q982" s="9">
        <f>IF($H982&gt;J982, MIN($H982-J982, K982-J982)*INDEX('2018_commission_structure'!$A$1:$I$4,MATCH($E982,'2018_commission_structure'!$A$1:$A$4,0),MATCH(Q$1,'2018_commission_structure'!$A$1:$I$1,0)),0)</f>
        <v>0</v>
      </c>
      <c r="R982" s="9">
        <f>IF($H982&gt;K982, MIN($H982-K982, L982-K982)*INDEX('2018_commission_structure'!$A$1:$I$4,MATCH($E982,'2018_commission_structure'!$A$1:$A$4,0),MATCH(R$1,'2018_commission_structure'!$A$1:$I$1,0)),0)</f>
        <v>0</v>
      </c>
      <c r="S982" s="9">
        <f>IF(H982&gt;L982,(H982-L982)*INDEX('2018_commission_structure'!$A$1:$I$4,MATCH($E982,'2018_commission_structure'!$A$1:$A$4,0),MATCH(S$1,'2018_commission_structure'!$A$1:$I$1,0)),0)</f>
        <v>0</v>
      </c>
      <c r="T982" s="9">
        <f t="shared" si="158"/>
        <v>117462.04</v>
      </c>
      <c r="U982" s="9">
        <f t="shared" si="150"/>
        <v>222994.03999999998</v>
      </c>
      <c r="V982" s="9">
        <f>MIN($I982,$H982)*INDEX('Key Metrics'!$E$16:$N$19,MATCH($E982,'Key Metrics'!$E$16:$E$19,0),MATCH(V$1,'Key Metrics'!$E$16:$M$16,0))</f>
        <v>112500</v>
      </c>
      <c r="W982" s="9">
        <f>IF($H982&gt;I982, MIN($H982-I982, J982-I982)*INDEX('Key Metrics'!$E$16:$N$19,MATCH($E982,'Key Metrics'!$E$16:$E$19,0),MATCH(W$1,'Key Metrics'!$E$16:$M$16,0)),0)</f>
        <v>5745.52</v>
      </c>
      <c r="X982" s="9">
        <f>IF($H982&gt;J982, MIN($H982-J982, K982-J982)*INDEX('Key Metrics'!$E$16:$N$19,MATCH($E982,'Key Metrics'!$E$16:$E$19,0),MATCH(X$1,'Key Metrics'!$E$16:$M$16,0)),0)</f>
        <v>0</v>
      </c>
      <c r="Y982" s="9">
        <f>IF($H982&gt;K982, MIN($H982-K982, L982-K982)*INDEX('Key Metrics'!$E$16:$N$19,MATCH($E982,'Key Metrics'!$E$16:$E$19,0),MATCH(Y$1,'Key Metrics'!$E$16:$M$16,0)),0)</f>
        <v>0</v>
      </c>
      <c r="Z982" s="9">
        <f>IF($H982&gt;L982,($H982-L982)*INDEX('Key Metrics'!$E$16:$N$19,MATCH($E982,'Key Metrics'!$E$16:$E$19,0),MATCH(Z$1,'Key Metrics'!$E$16:$M$16,0)),0)</f>
        <v>0</v>
      </c>
      <c r="AA982" s="9">
        <f t="shared" si="159"/>
        <v>118245.52</v>
      </c>
      <c r="AB982" s="9">
        <f t="shared" si="151"/>
        <v>118246.55482133334</v>
      </c>
    </row>
    <row r="983" spans="1:28" x14ac:dyDescent="0.55000000000000004">
      <c r="A983" t="str">
        <f t="shared" si="152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COUNTIF(deals_closed!$D$2:$D$20001,Calculations!B814)</f>
        <v>23</v>
      </c>
      <c r="H983" s="7">
        <f>SUMIF(deals_closed!$D:$D,Calculations!B814,deals_closed!$C:$C)</f>
        <v>924403</v>
      </c>
      <c r="I983" s="5">
        <f>VLOOKUP(E983,'2018_commission_structure'!$A$1:$I$4,9,FALSE)</f>
        <v>600000</v>
      </c>
      <c r="J983" s="9">
        <f t="shared" si="153"/>
        <v>750000</v>
      </c>
      <c r="K983" s="10">
        <f t="shared" si="154"/>
        <v>900000</v>
      </c>
      <c r="L983" s="9">
        <f t="shared" si="155"/>
        <v>1200000</v>
      </c>
      <c r="M983" s="8">
        <f t="shared" si="156"/>
        <v>1.5406716666666667</v>
      </c>
      <c r="N983" t="str">
        <f t="shared" si="157"/>
        <v>150-200%</v>
      </c>
      <c r="O983" s="9">
        <f>MIN($H983,$I983)*INDEX('2018_commission_structure'!$A$1:$I$4,MATCH($E983,'2018_commission_structure'!$A$1:$A$4,0),MATCH(O$1,'2018_commission_structure'!$A$1:$I$1,0))</f>
        <v>78000</v>
      </c>
      <c r="P983" s="9">
        <f>IF(H983&gt;I983, MIN(H983-I983, J983-I983)*INDEX('2018_commission_structure'!$A$1:$I$4,MATCH($E983,'2018_commission_structure'!$A$1:$A$4,0),MATCH(P$1,'2018_commission_structure'!$A$1:$I$1,0)),0)</f>
        <v>25500.000000000004</v>
      </c>
      <c r="Q983" s="9">
        <f>IF($H983&gt;J983, MIN($H983-J983, K983-J983)*INDEX('2018_commission_structure'!$A$1:$I$4,MATCH($E983,'2018_commission_structure'!$A$1:$A$4,0),MATCH(Q$1,'2018_commission_structure'!$A$1:$I$1,0)),0)</f>
        <v>31500</v>
      </c>
      <c r="R983" s="9">
        <f>IF($H983&gt;K983, MIN($H983-K983, L983-K983)*INDEX('2018_commission_structure'!$A$1:$I$4,MATCH($E983,'2018_commission_structure'!$A$1:$A$4,0),MATCH(R$1,'2018_commission_structure'!$A$1:$I$1,0)),0)</f>
        <v>6344.7800000000007</v>
      </c>
      <c r="S983" s="9">
        <f>IF(H983&gt;L983,(H983-L983)*INDEX('2018_commission_structure'!$A$1:$I$4,MATCH($E983,'2018_commission_structure'!$A$1:$A$4,0),MATCH(S$1,'2018_commission_structure'!$A$1:$I$1,0)),0)</f>
        <v>0</v>
      </c>
      <c r="T983" s="9">
        <f t="shared" si="158"/>
        <v>141344.78</v>
      </c>
      <c r="U983" s="9">
        <f t="shared" si="150"/>
        <v>203948.78</v>
      </c>
      <c r="V983" s="9">
        <f>MIN($I983,$H983)*INDEX('Key Metrics'!$E$16:$N$19,MATCH($E983,'Key Metrics'!$E$16:$E$19,0),MATCH(V$1,'Key Metrics'!$E$16:$M$16,0))</f>
        <v>90000</v>
      </c>
      <c r="W983" s="9">
        <f>IF($H983&gt;I983, MIN($H983-I983, J983-I983)*INDEX('Key Metrics'!$E$16:$N$19,MATCH($E983,'Key Metrics'!$E$16:$E$19,0),MATCH(W$1,'Key Metrics'!$E$16:$M$16,0)),0)</f>
        <v>27000</v>
      </c>
      <c r="X983" s="9">
        <f>IF($H983&gt;J983, MIN($H983-J983, K983-J983)*INDEX('Key Metrics'!$E$16:$N$19,MATCH($E983,'Key Metrics'!$E$16:$E$19,0),MATCH(X$1,'Key Metrics'!$E$16:$M$16,0)),0)</f>
        <v>37500</v>
      </c>
      <c r="Y983" s="9">
        <f>IF($H983&gt;K983, MIN($H983-K983, L983-K983)*INDEX('Key Metrics'!$E$16:$N$19,MATCH($E983,'Key Metrics'!$E$16:$E$19,0),MATCH(Y$1,'Key Metrics'!$E$16:$M$16,0)),0)</f>
        <v>7320.9</v>
      </c>
      <c r="Z983" s="9">
        <f>IF($H983&gt;L983,($H983-L983)*INDEX('Key Metrics'!$E$16:$N$19,MATCH($E983,'Key Metrics'!$E$16:$E$19,0),MATCH(Z$1,'Key Metrics'!$E$16:$M$16,0)),0)</f>
        <v>0</v>
      </c>
      <c r="AA983" s="9">
        <f t="shared" si="159"/>
        <v>161820.9</v>
      </c>
      <c r="AB983" s="9">
        <f t="shared" si="151"/>
        <v>161822.44067166667</v>
      </c>
    </row>
    <row r="984" spans="1:28" x14ac:dyDescent="0.55000000000000004">
      <c r="A984" t="str">
        <f t="shared" si="152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COUNTIF(deals_closed!$D$2:$D$20001,Calculations!B321)</f>
        <v>24</v>
      </c>
      <c r="H984" s="7">
        <f>SUMIF(deals_closed!$D:$D,Calculations!B321,deals_closed!$C:$C)</f>
        <v>818243</v>
      </c>
      <c r="I984" s="5">
        <f>VLOOKUP(E984,'2018_commission_structure'!$A$1:$I$4,9,FALSE)</f>
        <v>600000</v>
      </c>
      <c r="J984" s="9">
        <f t="shared" si="153"/>
        <v>750000</v>
      </c>
      <c r="K984" s="10">
        <f t="shared" si="154"/>
        <v>900000</v>
      </c>
      <c r="L984" s="9">
        <f t="shared" si="155"/>
        <v>1200000</v>
      </c>
      <c r="M984" s="8">
        <f t="shared" si="156"/>
        <v>1.3637383333333333</v>
      </c>
      <c r="N984" t="str">
        <f t="shared" si="157"/>
        <v>125-150%</v>
      </c>
      <c r="O984" s="9">
        <f>MIN($H984,$I984)*INDEX('2018_commission_structure'!$A$1:$I$4,MATCH($E984,'2018_commission_structure'!$A$1:$A$4,0),MATCH(O$1,'2018_commission_structure'!$A$1:$I$1,0))</f>
        <v>78000</v>
      </c>
      <c r="P984" s="9">
        <f>IF(H984&gt;I984, MIN(H984-I984, J984-I984)*INDEX('2018_commission_structure'!$A$1:$I$4,MATCH($E984,'2018_commission_structure'!$A$1:$A$4,0),MATCH(P$1,'2018_commission_structure'!$A$1:$I$1,0)),0)</f>
        <v>25500.000000000004</v>
      </c>
      <c r="Q984" s="9">
        <f>IF($H984&gt;J984, MIN($H984-J984, K984-J984)*INDEX('2018_commission_structure'!$A$1:$I$4,MATCH($E984,'2018_commission_structure'!$A$1:$A$4,0),MATCH(Q$1,'2018_commission_structure'!$A$1:$I$1,0)),0)</f>
        <v>14331.029999999999</v>
      </c>
      <c r="R984" s="9">
        <f>IF($H984&gt;K984, MIN($H984-K984, L984-K984)*INDEX('2018_commission_structure'!$A$1:$I$4,MATCH($E984,'2018_commission_structure'!$A$1:$A$4,0),MATCH(R$1,'2018_commission_structure'!$A$1:$I$1,0)),0)</f>
        <v>0</v>
      </c>
      <c r="S984" s="9">
        <f>IF(H984&gt;L984,(H984-L984)*INDEX('2018_commission_structure'!$A$1:$I$4,MATCH($E984,'2018_commission_structure'!$A$1:$A$4,0),MATCH(S$1,'2018_commission_structure'!$A$1:$I$1,0)),0)</f>
        <v>0</v>
      </c>
      <c r="T984" s="9">
        <f t="shared" si="158"/>
        <v>117831.03</v>
      </c>
      <c r="U984" s="9">
        <f t="shared" si="150"/>
        <v>181572.03</v>
      </c>
      <c r="V984" s="9">
        <f>MIN($I984,$H984)*INDEX('Key Metrics'!$E$16:$N$19,MATCH($E984,'Key Metrics'!$E$16:$E$19,0),MATCH(V$1,'Key Metrics'!$E$16:$M$16,0))</f>
        <v>90000</v>
      </c>
      <c r="W984" s="9">
        <f>IF($H984&gt;I984, MIN($H984-I984, J984-I984)*INDEX('Key Metrics'!$E$16:$N$19,MATCH($E984,'Key Metrics'!$E$16:$E$19,0),MATCH(W$1,'Key Metrics'!$E$16:$M$16,0)),0)</f>
        <v>27000</v>
      </c>
      <c r="X984" s="9">
        <f>IF($H984&gt;J984, MIN($H984-J984, K984-J984)*INDEX('Key Metrics'!$E$16:$N$19,MATCH($E984,'Key Metrics'!$E$16:$E$19,0),MATCH(X$1,'Key Metrics'!$E$16:$M$16,0)),0)</f>
        <v>17060.75</v>
      </c>
      <c r="Y984" s="9">
        <f>IF($H984&gt;K984, MIN($H984-K984, L984-K984)*INDEX('Key Metrics'!$E$16:$N$19,MATCH($E984,'Key Metrics'!$E$16:$E$19,0),MATCH(Y$1,'Key Metrics'!$E$16:$M$16,0)),0)</f>
        <v>0</v>
      </c>
      <c r="Z984" s="9">
        <f>IF($H984&gt;L984,($H984-L984)*INDEX('Key Metrics'!$E$16:$N$19,MATCH($E984,'Key Metrics'!$E$16:$E$19,0),MATCH(Z$1,'Key Metrics'!$E$16:$M$16,0)),0)</f>
        <v>0</v>
      </c>
      <c r="AA984" s="9">
        <f t="shared" si="159"/>
        <v>134060.75</v>
      </c>
      <c r="AB984" s="9">
        <f t="shared" si="151"/>
        <v>134062.11373833334</v>
      </c>
    </row>
    <row r="985" spans="1:28" x14ac:dyDescent="0.55000000000000004">
      <c r="A985" t="str">
        <f t="shared" si="152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COUNTIF(deals_closed!$D$2:$D$20001,Calculations!B739)</f>
        <v>28</v>
      </c>
      <c r="H985" s="7">
        <f>SUMIF(deals_closed!$D:$D,Calculations!B739,deals_closed!$C:$C)</f>
        <v>946209</v>
      </c>
      <c r="I985" s="5">
        <f>VLOOKUP(E985,'2018_commission_structure'!$A$1:$I$4,9,FALSE)</f>
        <v>600000</v>
      </c>
      <c r="J985" s="9">
        <f t="shared" si="153"/>
        <v>750000</v>
      </c>
      <c r="K985" s="10">
        <f t="shared" si="154"/>
        <v>900000</v>
      </c>
      <c r="L985" s="9">
        <f t="shared" si="155"/>
        <v>1200000</v>
      </c>
      <c r="M985" s="8">
        <f t="shared" si="156"/>
        <v>1.5770150000000001</v>
      </c>
      <c r="N985" t="str">
        <f t="shared" si="157"/>
        <v>150-200%</v>
      </c>
      <c r="O985" s="9">
        <f>MIN($H985,$I985)*INDEX('2018_commission_structure'!$A$1:$I$4,MATCH($E985,'2018_commission_structure'!$A$1:$A$4,0),MATCH(O$1,'2018_commission_structure'!$A$1:$I$1,0))</f>
        <v>78000</v>
      </c>
      <c r="P985" s="9">
        <f>IF(H985&gt;I985, MIN(H985-I985, J985-I985)*INDEX('2018_commission_structure'!$A$1:$I$4,MATCH($E985,'2018_commission_structure'!$A$1:$A$4,0),MATCH(P$1,'2018_commission_structure'!$A$1:$I$1,0)),0)</f>
        <v>25500.000000000004</v>
      </c>
      <c r="Q985" s="9">
        <f>IF($H985&gt;J985, MIN($H985-J985, K985-J985)*INDEX('2018_commission_structure'!$A$1:$I$4,MATCH($E985,'2018_commission_structure'!$A$1:$A$4,0),MATCH(Q$1,'2018_commission_structure'!$A$1:$I$1,0)),0)</f>
        <v>31500</v>
      </c>
      <c r="R985" s="9">
        <f>IF($H985&gt;K985, MIN($H985-K985, L985-K985)*INDEX('2018_commission_structure'!$A$1:$I$4,MATCH($E985,'2018_commission_structure'!$A$1:$A$4,0),MATCH(R$1,'2018_commission_structure'!$A$1:$I$1,0)),0)</f>
        <v>12014.34</v>
      </c>
      <c r="S985" s="9">
        <f>IF(H985&gt;L985,(H985-L985)*INDEX('2018_commission_structure'!$A$1:$I$4,MATCH($E985,'2018_commission_structure'!$A$1:$A$4,0),MATCH(S$1,'2018_commission_structure'!$A$1:$I$1,0)),0)</f>
        <v>0</v>
      </c>
      <c r="T985" s="9">
        <f t="shared" si="158"/>
        <v>147014.34</v>
      </c>
      <c r="U985" s="9">
        <f t="shared" si="150"/>
        <v>206363.34</v>
      </c>
      <c r="V985" s="9">
        <f>MIN($I985,$H985)*INDEX('Key Metrics'!$E$16:$N$19,MATCH($E985,'Key Metrics'!$E$16:$E$19,0),MATCH(V$1,'Key Metrics'!$E$16:$M$16,0))</f>
        <v>90000</v>
      </c>
      <c r="W985" s="9">
        <f>IF($H985&gt;I985, MIN($H985-I985, J985-I985)*INDEX('Key Metrics'!$E$16:$N$19,MATCH($E985,'Key Metrics'!$E$16:$E$19,0),MATCH(W$1,'Key Metrics'!$E$16:$M$16,0)),0)</f>
        <v>27000</v>
      </c>
      <c r="X985" s="9">
        <f>IF($H985&gt;J985, MIN($H985-J985, K985-J985)*INDEX('Key Metrics'!$E$16:$N$19,MATCH($E985,'Key Metrics'!$E$16:$E$19,0),MATCH(X$1,'Key Metrics'!$E$16:$M$16,0)),0)</f>
        <v>37500</v>
      </c>
      <c r="Y985" s="9">
        <f>IF($H985&gt;K985, MIN($H985-K985, L985-K985)*INDEX('Key Metrics'!$E$16:$N$19,MATCH($E985,'Key Metrics'!$E$16:$E$19,0),MATCH(Y$1,'Key Metrics'!$E$16:$M$16,0)),0)</f>
        <v>13862.699999999999</v>
      </c>
      <c r="Z985" s="9">
        <f>IF($H985&gt;L985,($H985-L985)*INDEX('Key Metrics'!$E$16:$N$19,MATCH($E985,'Key Metrics'!$E$16:$E$19,0),MATCH(Z$1,'Key Metrics'!$E$16:$M$16,0)),0)</f>
        <v>0</v>
      </c>
      <c r="AA985" s="9">
        <f t="shared" si="159"/>
        <v>168362.7</v>
      </c>
      <c r="AB985" s="9">
        <f t="shared" si="151"/>
        <v>168364.277015</v>
      </c>
    </row>
    <row r="986" spans="1:28" x14ac:dyDescent="0.55000000000000004">
      <c r="A986" t="str">
        <f t="shared" si="152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COUNTIF(deals_closed!$D$2:$D$20001,Calculations!B848)</f>
        <v>19</v>
      </c>
      <c r="H986" s="7">
        <f>SUMIF(deals_closed!$D:$D,Calculations!B848,deals_closed!$C:$C)</f>
        <v>680191</v>
      </c>
      <c r="I986" s="5">
        <f>VLOOKUP(E986,'2018_commission_structure'!$A$1:$I$4,9,FALSE)</f>
        <v>500000</v>
      </c>
      <c r="J986" s="9">
        <f t="shared" si="153"/>
        <v>625000</v>
      </c>
      <c r="K986" s="10">
        <f t="shared" si="154"/>
        <v>750000</v>
      </c>
      <c r="L986" s="9">
        <f t="shared" si="155"/>
        <v>1000000</v>
      </c>
      <c r="M986" s="8">
        <f t="shared" si="156"/>
        <v>1.360382</v>
      </c>
      <c r="N986" t="str">
        <f t="shared" si="157"/>
        <v>125-150%</v>
      </c>
      <c r="O986" s="9">
        <f>MIN($H986,$I986)*INDEX('2018_commission_structure'!$A$1:$I$4,MATCH($E986,'2018_commission_structure'!$A$1:$A$4,0),MATCH(O$1,'2018_commission_structure'!$A$1:$I$1,0))</f>
        <v>50000</v>
      </c>
      <c r="P986" s="9">
        <f>IF(H986&gt;I986, MIN(H986-I986, J986-I986)*INDEX('2018_commission_structure'!$A$1:$I$4,MATCH($E986,'2018_commission_structure'!$A$1:$A$4,0),MATCH(P$1,'2018_commission_structure'!$A$1:$I$1,0)),0)</f>
        <v>18750</v>
      </c>
      <c r="Q986" s="9">
        <f>IF($H986&gt;J986, MIN($H986-J986, K986-J986)*INDEX('2018_commission_structure'!$A$1:$I$4,MATCH($E986,'2018_commission_structure'!$A$1:$A$4,0),MATCH(Q$1,'2018_commission_structure'!$A$1:$I$1,0)),0)</f>
        <v>9934.3799999999992</v>
      </c>
      <c r="R986" s="9">
        <f>IF($H986&gt;K986, MIN($H986-K986, L986-K986)*INDEX('2018_commission_structure'!$A$1:$I$4,MATCH($E986,'2018_commission_structure'!$A$1:$A$4,0),MATCH(R$1,'2018_commission_structure'!$A$1:$I$1,0)),0)</f>
        <v>0</v>
      </c>
      <c r="S986" s="9">
        <f>IF(H986&gt;L986,(H986-L986)*INDEX('2018_commission_structure'!$A$1:$I$4,MATCH($E986,'2018_commission_structure'!$A$1:$A$4,0),MATCH(S$1,'2018_commission_structure'!$A$1:$I$1,0)),0)</f>
        <v>0</v>
      </c>
      <c r="T986" s="9">
        <f t="shared" si="158"/>
        <v>78684.38</v>
      </c>
      <c r="U986" s="9">
        <f t="shared" si="150"/>
        <v>123869.38</v>
      </c>
      <c r="V986" s="9">
        <f>MIN($I986,$H986)*INDEX('Key Metrics'!$E$16:$N$19,MATCH($E986,'Key Metrics'!$E$16:$E$19,0),MATCH(V$1,'Key Metrics'!$E$16:$M$16,0))</f>
        <v>60000</v>
      </c>
      <c r="W986" s="9">
        <f>IF($H986&gt;I986, MIN($H986-I986, J986-I986)*INDEX('Key Metrics'!$E$16:$N$19,MATCH($E986,'Key Metrics'!$E$16:$E$19,0),MATCH(W$1,'Key Metrics'!$E$16:$M$16,0)),0)</f>
        <v>21250</v>
      </c>
      <c r="X986" s="9">
        <f>IF($H986&gt;J986, MIN($H986-J986, K986-J986)*INDEX('Key Metrics'!$E$16:$N$19,MATCH($E986,'Key Metrics'!$E$16:$E$19,0),MATCH(X$1,'Key Metrics'!$E$16:$M$16,0)),0)</f>
        <v>11038.2</v>
      </c>
      <c r="Y986" s="9">
        <f>IF($H986&gt;K986, MIN($H986-K986, L986-K986)*INDEX('Key Metrics'!$E$16:$N$19,MATCH($E986,'Key Metrics'!$E$16:$E$19,0),MATCH(Y$1,'Key Metrics'!$E$16:$M$16,0)),0)</f>
        <v>0</v>
      </c>
      <c r="Z986" s="9">
        <f>IF($H986&gt;L986,($H986-L986)*INDEX('Key Metrics'!$E$16:$N$19,MATCH($E986,'Key Metrics'!$E$16:$E$19,0),MATCH(Z$1,'Key Metrics'!$E$16:$M$16,0)),0)</f>
        <v>0</v>
      </c>
      <c r="AA986" s="9">
        <f t="shared" si="159"/>
        <v>92288.2</v>
      </c>
      <c r="AB986" s="9">
        <f t="shared" si="151"/>
        <v>92289.560381999996</v>
      </c>
    </row>
    <row r="987" spans="1:28" x14ac:dyDescent="0.55000000000000004">
      <c r="A987" t="str">
        <f t="shared" si="152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COUNTIF(deals_closed!$D$2:$D$20001,Calculations!B731)</f>
        <v>23</v>
      </c>
      <c r="H987" s="7">
        <f>SUMIF(deals_closed!$D:$D,Calculations!B731,deals_closed!$C:$C)</f>
        <v>806664</v>
      </c>
      <c r="I987" s="5">
        <f>VLOOKUP(E987,'2018_commission_structure'!$A$1:$I$4,9,FALSE)</f>
        <v>600000</v>
      </c>
      <c r="J987" s="9">
        <f t="shared" si="153"/>
        <v>750000</v>
      </c>
      <c r="K987" s="10">
        <f t="shared" si="154"/>
        <v>900000</v>
      </c>
      <c r="L987" s="9">
        <f t="shared" si="155"/>
        <v>1200000</v>
      </c>
      <c r="M987" s="8">
        <f t="shared" si="156"/>
        <v>1.3444400000000001</v>
      </c>
      <c r="N987" t="str">
        <f t="shared" si="157"/>
        <v>125-150%</v>
      </c>
      <c r="O987" s="9">
        <f>MIN($H987,$I987)*INDEX('2018_commission_structure'!$A$1:$I$4,MATCH($E987,'2018_commission_structure'!$A$1:$A$4,0),MATCH(O$1,'2018_commission_structure'!$A$1:$I$1,0))</f>
        <v>78000</v>
      </c>
      <c r="P987" s="9">
        <f>IF(H987&gt;I987, MIN(H987-I987, J987-I987)*INDEX('2018_commission_structure'!$A$1:$I$4,MATCH($E987,'2018_commission_structure'!$A$1:$A$4,0),MATCH(P$1,'2018_commission_structure'!$A$1:$I$1,0)),0)</f>
        <v>25500.000000000004</v>
      </c>
      <c r="Q987" s="9">
        <f>IF($H987&gt;J987, MIN($H987-J987, K987-J987)*INDEX('2018_commission_structure'!$A$1:$I$4,MATCH($E987,'2018_commission_structure'!$A$1:$A$4,0),MATCH(Q$1,'2018_commission_structure'!$A$1:$I$1,0)),0)</f>
        <v>11899.439999999999</v>
      </c>
      <c r="R987" s="9">
        <f>IF($H987&gt;K987, MIN($H987-K987, L987-K987)*INDEX('2018_commission_structure'!$A$1:$I$4,MATCH($E987,'2018_commission_structure'!$A$1:$A$4,0),MATCH(R$1,'2018_commission_structure'!$A$1:$I$1,0)),0)</f>
        <v>0</v>
      </c>
      <c r="S987" s="9">
        <f>IF(H987&gt;L987,(H987-L987)*INDEX('2018_commission_structure'!$A$1:$I$4,MATCH($E987,'2018_commission_structure'!$A$1:$A$4,0),MATCH(S$1,'2018_commission_structure'!$A$1:$I$1,0)),0)</f>
        <v>0</v>
      </c>
      <c r="T987" s="9">
        <f t="shared" si="158"/>
        <v>115399.44</v>
      </c>
      <c r="U987" s="9">
        <f t="shared" si="150"/>
        <v>180969.44</v>
      </c>
      <c r="V987" s="9">
        <f>MIN($I987,$H987)*INDEX('Key Metrics'!$E$16:$N$19,MATCH($E987,'Key Metrics'!$E$16:$E$19,0),MATCH(V$1,'Key Metrics'!$E$16:$M$16,0))</f>
        <v>90000</v>
      </c>
      <c r="W987" s="9">
        <f>IF($H987&gt;I987, MIN($H987-I987, J987-I987)*INDEX('Key Metrics'!$E$16:$N$19,MATCH($E987,'Key Metrics'!$E$16:$E$19,0),MATCH(W$1,'Key Metrics'!$E$16:$M$16,0)),0)</f>
        <v>27000</v>
      </c>
      <c r="X987" s="9">
        <f>IF($H987&gt;J987, MIN($H987-J987, K987-J987)*INDEX('Key Metrics'!$E$16:$N$19,MATCH($E987,'Key Metrics'!$E$16:$E$19,0),MATCH(X$1,'Key Metrics'!$E$16:$M$16,0)),0)</f>
        <v>14166</v>
      </c>
      <c r="Y987" s="9">
        <f>IF($H987&gt;K987, MIN($H987-K987, L987-K987)*INDEX('Key Metrics'!$E$16:$N$19,MATCH($E987,'Key Metrics'!$E$16:$E$19,0),MATCH(Y$1,'Key Metrics'!$E$16:$M$16,0)),0)</f>
        <v>0</v>
      </c>
      <c r="Z987" s="9">
        <f>IF($H987&gt;L987,($H987-L987)*INDEX('Key Metrics'!$E$16:$N$19,MATCH($E987,'Key Metrics'!$E$16:$E$19,0),MATCH(Z$1,'Key Metrics'!$E$16:$M$16,0)),0)</f>
        <v>0</v>
      </c>
      <c r="AA987" s="9">
        <f t="shared" si="159"/>
        <v>131166</v>
      </c>
      <c r="AB987" s="9">
        <f t="shared" si="151"/>
        <v>131167.34443999999</v>
      </c>
    </row>
    <row r="988" spans="1:28" x14ac:dyDescent="0.55000000000000004">
      <c r="A988" t="str">
        <f t="shared" si="152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COUNTIF(deals_closed!$D$2:$D$20001,Calculations!B618)</f>
        <v>19</v>
      </c>
      <c r="H988" s="7">
        <f>SUMIF(deals_closed!$D:$D,Calculations!B618,deals_closed!$C:$C)</f>
        <v>681974</v>
      </c>
      <c r="I988" s="5">
        <f>VLOOKUP(E988,'2018_commission_structure'!$A$1:$I$4,9,FALSE)</f>
        <v>500000</v>
      </c>
      <c r="J988" s="9">
        <f t="shared" si="153"/>
        <v>625000</v>
      </c>
      <c r="K988" s="10">
        <f t="shared" si="154"/>
        <v>750000</v>
      </c>
      <c r="L988" s="9">
        <f t="shared" si="155"/>
        <v>1000000</v>
      </c>
      <c r="M988" s="8">
        <f t="shared" si="156"/>
        <v>1.3639479999999999</v>
      </c>
      <c r="N988" t="str">
        <f t="shared" si="157"/>
        <v>125-150%</v>
      </c>
      <c r="O988" s="9">
        <f>MIN($H988,$I988)*INDEX('2018_commission_structure'!$A$1:$I$4,MATCH($E988,'2018_commission_structure'!$A$1:$A$4,0),MATCH(O$1,'2018_commission_structure'!$A$1:$I$1,0))</f>
        <v>50000</v>
      </c>
      <c r="P988" s="9">
        <f>IF(H988&gt;I988, MIN(H988-I988, J988-I988)*INDEX('2018_commission_structure'!$A$1:$I$4,MATCH($E988,'2018_commission_structure'!$A$1:$A$4,0),MATCH(P$1,'2018_commission_structure'!$A$1:$I$1,0)),0)</f>
        <v>18750</v>
      </c>
      <c r="Q988" s="9">
        <f>IF($H988&gt;J988, MIN($H988-J988, K988-J988)*INDEX('2018_commission_structure'!$A$1:$I$4,MATCH($E988,'2018_commission_structure'!$A$1:$A$4,0),MATCH(Q$1,'2018_commission_structure'!$A$1:$I$1,0)),0)</f>
        <v>10255.32</v>
      </c>
      <c r="R988" s="9">
        <f>IF($H988&gt;K988, MIN($H988-K988, L988-K988)*INDEX('2018_commission_structure'!$A$1:$I$4,MATCH($E988,'2018_commission_structure'!$A$1:$A$4,0),MATCH(R$1,'2018_commission_structure'!$A$1:$I$1,0)),0)</f>
        <v>0</v>
      </c>
      <c r="S988" s="9">
        <f>IF(H988&gt;L988,(H988-L988)*INDEX('2018_commission_structure'!$A$1:$I$4,MATCH($E988,'2018_commission_structure'!$A$1:$A$4,0),MATCH(S$1,'2018_commission_structure'!$A$1:$I$1,0)),0)</f>
        <v>0</v>
      </c>
      <c r="T988" s="9">
        <f t="shared" si="158"/>
        <v>79005.320000000007</v>
      </c>
      <c r="U988" s="9">
        <f t="shared" si="150"/>
        <v>127651.32</v>
      </c>
      <c r="V988" s="9">
        <f>MIN($I988,$H988)*INDEX('Key Metrics'!$E$16:$N$19,MATCH($E988,'Key Metrics'!$E$16:$E$19,0),MATCH(V$1,'Key Metrics'!$E$16:$M$16,0))</f>
        <v>60000</v>
      </c>
      <c r="W988" s="9">
        <f>IF($H988&gt;I988, MIN($H988-I988, J988-I988)*INDEX('Key Metrics'!$E$16:$N$19,MATCH($E988,'Key Metrics'!$E$16:$E$19,0),MATCH(W$1,'Key Metrics'!$E$16:$M$16,0)),0)</f>
        <v>21250</v>
      </c>
      <c r="X988" s="9">
        <f>IF($H988&gt;J988, MIN($H988-J988, K988-J988)*INDEX('Key Metrics'!$E$16:$N$19,MATCH($E988,'Key Metrics'!$E$16:$E$19,0),MATCH(X$1,'Key Metrics'!$E$16:$M$16,0)),0)</f>
        <v>11394.800000000001</v>
      </c>
      <c r="Y988" s="9">
        <f>IF($H988&gt;K988, MIN($H988-K988, L988-K988)*INDEX('Key Metrics'!$E$16:$N$19,MATCH($E988,'Key Metrics'!$E$16:$E$19,0),MATCH(Y$1,'Key Metrics'!$E$16:$M$16,0)),0)</f>
        <v>0</v>
      </c>
      <c r="Z988" s="9">
        <f>IF($H988&gt;L988,($H988-L988)*INDEX('Key Metrics'!$E$16:$N$19,MATCH($E988,'Key Metrics'!$E$16:$E$19,0),MATCH(Z$1,'Key Metrics'!$E$16:$M$16,0)),0)</f>
        <v>0</v>
      </c>
      <c r="AA988" s="9">
        <f t="shared" si="159"/>
        <v>92644.800000000003</v>
      </c>
      <c r="AB988" s="9">
        <f t="shared" si="151"/>
        <v>92646.163948000001</v>
      </c>
    </row>
    <row r="989" spans="1:28" x14ac:dyDescent="0.55000000000000004">
      <c r="A989" t="str">
        <f t="shared" si="152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COUNTIF(deals_closed!$D$2:$D$20001,Calculations!B97)</f>
        <v>14</v>
      </c>
      <c r="H989" s="7">
        <f>SUMIF(deals_closed!$D:$D,Calculations!B97,deals_closed!$C:$C)</f>
        <v>550691</v>
      </c>
      <c r="I989" s="5">
        <f>VLOOKUP(E989,'2018_commission_structure'!$A$1:$I$4,9,FALSE)</f>
        <v>500000</v>
      </c>
      <c r="J989" s="9">
        <f t="shared" si="153"/>
        <v>625000</v>
      </c>
      <c r="K989" s="10">
        <f t="shared" si="154"/>
        <v>750000</v>
      </c>
      <c r="L989" s="9">
        <f t="shared" si="155"/>
        <v>1000000</v>
      </c>
      <c r="M989" s="8">
        <f t="shared" si="156"/>
        <v>1.1013820000000001</v>
      </c>
      <c r="N989" t="str">
        <f t="shared" si="157"/>
        <v>100-125%</v>
      </c>
      <c r="O989" s="9">
        <f>MIN($H989,$I989)*INDEX('2018_commission_structure'!$A$1:$I$4,MATCH($E989,'2018_commission_structure'!$A$1:$A$4,0),MATCH(O$1,'2018_commission_structure'!$A$1:$I$1,0))</f>
        <v>50000</v>
      </c>
      <c r="P989" s="9">
        <f>IF(H989&gt;I989, MIN(H989-I989, J989-I989)*INDEX('2018_commission_structure'!$A$1:$I$4,MATCH($E989,'2018_commission_structure'!$A$1:$A$4,0),MATCH(P$1,'2018_commission_structure'!$A$1:$I$1,0)),0)</f>
        <v>7603.65</v>
      </c>
      <c r="Q989" s="9">
        <f>IF($H989&gt;J989, MIN($H989-J989, K989-J989)*INDEX('2018_commission_structure'!$A$1:$I$4,MATCH($E989,'2018_commission_structure'!$A$1:$A$4,0),MATCH(Q$1,'2018_commission_structure'!$A$1:$I$1,0)),0)</f>
        <v>0</v>
      </c>
      <c r="R989" s="9">
        <f>IF($H989&gt;K989, MIN($H989-K989, L989-K989)*INDEX('2018_commission_structure'!$A$1:$I$4,MATCH($E989,'2018_commission_structure'!$A$1:$A$4,0),MATCH(R$1,'2018_commission_structure'!$A$1:$I$1,0)),0)</f>
        <v>0</v>
      </c>
      <c r="S989" s="9">
        <f>IF(H989&gt;L989,(H989-L989)*INDEX('2018_commission_structure'!$A$1:$I$4,MATCH($E989,'2018_commission_structure'!$A$1:$A$4,0),MATCH(S$1,'2018_commission_structure'!$A$1:$I$1,0)),0)</f>
        <v>0</v>
      </c>
      <c r="T989" s="9">
        <f t="shared" si="158"/>
        <v>57603.65</v>
      </c>
      <c r="U989" s="9">
        <f t="shared" si="150"/>
        <v>119754.65</v>
      </c>
      <c r="V989" s="9">
        <f>MIN($I989,$H989)*INDEX('Key Metrics'!$E$16:$N$19,MATCH($E989,'Key Metrics'!$E$16:$E$19,0),MATCH(V$1,'Key Metrics'!$E$16:$M$16,0))</f>
        <v>60000</v>
      </c>
      <c r="W989" s="9">
        <f>IF($H989&gt;I989, MIN($H989-I989, J989-I989)*INDEX('Key Metrics'!$E$16:$N$19,MATCH($E989,'Key Metrics'!$E$16:$E$19,0),MATCH(W$1,'Key Metrics'!$E$16:$M$16,0)),0)</f>
        <v>8617.4700000000012</v>
      </c>
      <c r="X989" s="9">
        <f>IF($H989&gt;J989, MIN($H989-J989, K989-J989)*INDEX('Key Metrics'!$E$16:$N$19,MATCH($E989,'Key Metrics'!$E$16:$E$19,0),MATCH(X$1,'Key Metrics'!$E$16:$M$16,0)),0)</f>
        <v>0</v>
      </c>
      <c r="Y989" s="9">
        <f>IF($H989&gt;K989, MIN($H989-K989, L989-K989)*INDEX('Key Metrics'!$E$16:$N$19,MATCH($E989,'Key Metrics'!$E$16:$E$19,0),MATCH(Y$1,'Key Metrics'!$E$16:$M$16,0)),0)</f>
        <v>0</v>
      </c>
      <c r="Z989" s="9">
        <f>IF($H989&gt;L989,($H989-L989)*INDEX('Key Metrics'!$E$16:$N$19,MATCH($E989,'Key Metrics'!$E$16:$E$19,0),MATCH(Z$1,'Key Metrics'!$E$16:$M$16,0)),0)</f>
        <v>0</v>
      </c>
      <c r="AA989" s="9">
        <f t="shared" si="159"/>
        <v>68617.47</v>
      </c>
      <c r="AB989" s="9">
        <f t="shared" si="151"/>
        <v>68618.571381999995</v>
      </c>
    </row>
    <row r="990" spans="1:28" x14ac:dyDescent="0.55000000000000004">
      <c r="A990" t="str">
        <f t="shared" si="152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COUNTIF(deals_closed!$D$2:$D$20001,Calculations!B269)</f>
        <v>19</v>
      </c>
      <c r="H990" s="7">
        <f>SUMIF(deals_closed!$D:$D,Calculations!B269,deals_closed!$C:$C)</f>
        <v>640951</v>
      </c>
      <c r="I990" s="5">
        <f>VLOOKUP(E990,'2018_commission_structure'!$A$1:$I$4,9,FALSE)</f>
        <v>600000</v>
      </c>
      <c r="J990" s="9">
        <f t="shared" si="153"/>
        <v>750000</v>
      </c>
      <c r="K990" s="10">
        <f t="shared" si="154"/>
        <v>900000</v>
      </c>
      <c r="L990" s="9">
        <f t="shared" si="155"/>
        <v>1200000</v>
      </c>
      <c r="M990" s="8">
        <f t="shared" si="156"/>
        <v>1.0682516666666666</v>
      </c>
      <c r="N990" t="str">
        <f t="shared" si="157"/>
        <v>100-125%</v>
      </c>
      <c r="O990" s="9">
        <f>MIN($H990,$I990)*INDEX('2018_commission_structure'!$A$1:$I$4,MATCH($E990,'2018_commission_structure'!$A$1:$A$4,0),MATCH(O$1,'2018_commission_structure'!$A$1:$I$1,0))</f>
        <v>78000</v>
      </c>
      <c r="P990" s="9">
        <f>IF(H990&gt;I990, MIN(H990-I990, J990-I990)*INDEX('2018_commission_structure'!$A$1:$I$4,MATCH($E990,'2018_commission_structure'!$A$1:$A$4,0),MATCH(P$1,'2018_commission_structure'!$A$1:$I$1,0)),0)</f>
        <v>6961.67</v>
      </c>
      <c r="Q990" s="9">
        <f>IF($H990&gt;J990, MIN($H990-J990, K990-J990)*INDEX('2018_commission_structure'!$A$1:$I$4,MATCH($E990,'2018_commission_structure'!$A$1:$A$4,0),MATCH(Q$1,'2018_commission_structure'!$A$1:$I$1,0)),0)</f>
        <v>0</v>
      </c>
      <c r="R990" s="9">
        <f>IF($H990&gt;K990, MIN($H990-K990, L990-K990)*INDEX('2018_commission_structure'!$A$1:$I$4,MATCH($E990,'2018_commission_structure'!$A$1:$A$4,0),MATCH(R$1,'2018_commission_structure'!$A$1:$I$1,0)),0)</f>
        <v>0</v>
      </c>
      <c r="S990" s="9">
        <f>IF(H990&gt;L990,(H990-L990)*INDEX('2018_commission_structure'!$A$1:$I$4,MATCH($E990,'2018_commission_structure'!$A$1:$A$4,0),MATCH(S$1,'2018_commission_structure'!$A$1:$I$1,0)),0)</f>
        <v>0</v>
      </c>
      <c r="T990" s="9">
        <f t="shared" si="158"/>
        <v>84961.67</v>
      </c>
      <c r="U990" s="9">
        <f t="shared" si="150"/>
        <v>157948.66999999998</v>
      </c>
      <c r="V990" s="9">
        <f>MIN($I990,$H990)*INDEX('Key Metrics'!$E$16:$N$19,MATCH($E990,'Key Metrics'!$E$16:$E$19,0),MATCH(V$1,'Key Metrics'!$E$16:$M$16,0))</f>
        <v>90000</v>
      </c>
      <c r="W990" s="9">
        <f>IF($H990&gt;I990, MIN($H990-I990, J990-I990)*INDEX('Key Metrics'!$E$16:$N$19,MATCH($E990,'Key Metrics'!$E$16:$E$19,0),MATCH(W$1,'Key Metrics'!$E$16:$M$16,0)),0)</f>
        <v>7371.1799999999994</v>
      </c>
      <c r="X990" s="9">
        <f>IF($H990&gt;J990, MIN($H990-J990, K990-J990)*INDEX('Key Metrics'!$E$16:$N$19,MATCH($E990,'Key Metrics'!$E$16:$E$19,0),MATCH(X$1,'Key Metrics'!$E$16:$M$16,0)),0)</f>
        <v>0</v>
      </c>
      <c r="Y990" s="9">
        <f>IF($H990&gt;K990, MIN($H990-K990, L990-K990)*INDEX('Key Metrics'!$E$16:$N$19,MATCH($E990,'Key Metrics'!$E$16:$E$19,0),MATCH(Y$1,'Key Metrics'!$E$16:$M$16,0)),0)</f>
        <v>0</v>
      </c>
      <c r="Z990" s="9">
        <f>IF($H990&gt;L990,($H990-L990)*INDEX('Key Metrics'!$E$16:$N$19,MATCH($E990,'Key Metrics'!$E$16:$E$19,0),MATCH(Z$1,'Key Metrics'!$E$16:$M$16,0)),0)</f>
        <v>0</v>
      </c>
      <c r="AA990" s="9">
        <f t="shared" si="159"/>
        <v>97371.18</v>
      </c>
      <c r="AB990" s="9">
        <f t="shared" si="151"/>
        <v>97372.248251666664</v>
      </c>
    </row>
    <row r="991" spans="1:28" x14ac:dyDescent="0.55000000000000004">
      <c r="A991" t="str">
        <f t="shared" si="152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COUNTIF(deals_closed!$D$2:$D$20001,Calculations!B982)</f>
        <v>24</v>
      </c>
      <c r="H991" s="7">
        <f>SUMIF(deals_closed!$D:$D,Calculations!B982,deals_closed!$C:$C)</f>
        <v>864121</v>
      </c>
      <c r="I991" s="5">
        <f>VLOOKUP(E991,'2018_commission_structure'!$A$1:$I$4,9,FALSE)</f>
        <v>500000</v>
      </c>
      <c r="J991" s="9">
        <f t="shared" si="153"/>
        <v>625000</v>
      </c>
      <c r="K991" s="10">
        <f t="shared" si="154"/>
        <v>750000</v>
      </c>
      <c r="L991" s="9">
        <f t="shared" si="155"/>
        <v>1000000</v>
      </c>
      <c r="M991" s="8">
        <f t="shared" si="156"/>
        <v>1.7282420000000001</v>
      </c>
      <c r="N991" t="str">
        <f t="shared" si="157"/>
        <v>150-200%</v>
      </c>
      <c r="O991" s="9">
        <f>MIN($H991,$I991)*INDEX('2018_commission_structure'!$A$1:$I$4,MATCH($E991,'2018_commission_structure'!$A$1:$A$4,0),MATCH(O$1,'2018_commission_structure'!$A$1:$I$1,0))</f>
        <v>50000</v>
      </c>
      <c r="P991" s="9">
        <f>IF(H991&gt;I991, MIN(H991-I991, J991-I991)*INDEX('2018_commission_structure'!$A$1:$I$4,MATCH($E991,'2018_commission_structure'!$A$1:$A$4,0),MATCH(P$1,'2018_commission_structure'!$A$1:$I$1,0)),0)</f>
        <v>18750</v>
      </c>
      <c r="Q991" s="9">
        <f>IF($H991&gt;J991, MIN($H991-J991, K991-J991)*INDEX('2018_commission_structure'!$A$1:$I$4,MATCH($E991,'2018_commission_structure'!$A$1:$A$4,0),MATCH(Q$1,'2018_commission_structure'!$A$1:$I$1,0)),0)</f>
        <v>22500</v>
      </c>
      <c r="R991" s="9">
        <f>IF($H991&gt;K991, MIN($H991-K991, L991-K991)*INDEX('2018_commission_structure'!$A$1:$I$4,MATCH($E991,'2018_commission_structure'!$A$1:$A$4,0),MATCH(R$1,'2018_commission_structure'!$A$1:$I$1,0)),0)</f>
        <v>25106.62</v>
      </c>
      <c r="S991" s="9">
        <f>IF(H991&gt;L991,(H991-L991)*INDEX('2018_commission_structure'!$A$1:$I$4,MATCH($E991,'2018_commission_structure'!$A$1:$A$4,0),MATCH(S$1,'2018_commission_structure'!$A$1:$I$1,0)),0)</f>
        <v>0</v>
      </c>
      <c r="T991" s="9">
        <f t="shared" si="158"/>
        <v>116356.62</v>
      </c>
      <c r="U991" s="9">
        <f t="shared" si="150"/>
        <v>170751.62</v>
      </c>
      <c r="V991" s="9">
        <f>MIN($I991,$H991)*INDEX('Key Metrics'!$E$16:$N$19,MATCH($E991,'Key Metrics'!$E$16:$E$19,0),MATCH(V$1,'Key Metrics'!$E$16:$M$16,0))</f>
        <v>60000</v>
      </c>
      <c r="W991" s="9">
        <f>IF($H991&gt;I991, MIN($H991-I991, J991-I991)*INDEX('Key Metrics'!$E$16:$N$19,MATCH($E991,'Key Metrics'!$E$16:$E$19,0),MATCH(W$1,'Key Metrics'!$E$16:$M$16,0)),0)</f>
        <v>21250</v>
      </c>
      <c r="X991" s="9">
        <f>IF($H991&gt;J991, MIN($H991-J991, K991-J991)*INDEX('Key Metrics'!$E$16:$N$19,MATCH($E991,'Key Metrics'!$E$16:$E$19,0),MATCH(X$1,'Key Metrics'!$E$16:$M$16,0)),0)</f>
        <v>25000</v>
      </c>
      <c r="Y991" s="9">
        <f>IF($H991&gt;K991, MIN($H991-K991, L991-K991)*INDEX('Key Metrics'!$E$16:$N$19,MATCH($E991,'Key Metrics'!$E$16:$E$19,0),MATCH(Y$1,'Key Metrics'!$E$16:$M$16,0)),0)</f>
        <v>25106.62</v>
      </c>
      <c r="Z991" s="9">
        <f>IF($H991&gt;L991,($H991-L991)*INDEX('Key Metrics'!$E$16:$N$19,MATCH($E991,'Key Metrics'!$E$16:$E$19,0),MATCH(Z$1,'Key Metrics'!$E$16:$M$16,0)),0)</f>
        <v>0</v>
      </c>
      <c r="AA991" s="9">
        <f t="shared" si="159"/>
        <v>131356.62</v>
      </c>
      <c r="AB991" s="9">
        <f t="shared" si="151"/>
        <v>131358.34824200001</v>
      </c>
    </row>
    <row r="992" spans="1:28" x14ac:dyDescent="0.55000000000000004">
      <c r="A992" t="str">
        <f t="shared" si="152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COUNTIF(deals_closed!$D$2:$D$20001,Calculations!B528)</f>
        <v>26</v>
      </c>
      <c r="H992" s="7">
        <f>SUMIF(deals_closed!$D:$D,Calculations!B528,deals_closed!$C:$C)</f>
        <v>788945</v>
      </c>
      <c r="I992" s="5">
        <f>VLOOKUP(E992,'2018_commission_structure'!$A$1:$I$4,9,FALSE)</f>
        <v>600000</v>
      </c>
      <c r="J992" s="9">
        <f t="shared" si="153"/>
        <v>750000</v>
      </c>
      <c r="K992" s="10">
        <f t="shared" si="154"/>
        <v>900000</v>
      </c>
      <c r="L992" s="9">
        <f t="shared" si="155"/>
        <v>1200000</v>
      </c>
      <c r="M992" s="8">
        <f t="shared" si="156"/>
        <v>1.3149083333333333</v>
      </c>
      <c r="N992" t="str">
        <f t="shared" si="157"/>
        <v>125-150%</v>
      </c>
      <c r="O992" s="9">
        <f>MIN($H992,$I992)*INDEX('2018_commission_structure'!$A$1:$I$4,MATCH($E992,'2018_commission_structure'!$A$1:$A$4,0),MATCH(O$1,'2018_commission_structure'!$A$1:$I$1,0))</f>
        <v>78000</v>
      </c>
      <c r="P992" s="9">
        <f>IF(H992&gt;I992, MIN(H992-I992, J992-I992)*INDEX('2018_commission_structure'!$A$1:$I$4,MATCH($E992,'2018_commission_structure'!$A$1:$A$4,0),MATCH(P$1,'2018_commission_structure'!$A$1:$I$1,0)),0)</f>
        <v>25500.000000000004</v>
      </c>
      <c r="Q992" s="9">
        <f>IF($H992&gt;J992, MIN($H992-J992, K992-J992)*INDEX('2018_commission_structure'!$A$1:$I$4,MATCH($E992,'2018_commission_structure'!$A$1:$A$4,0),MATCH(Q$1,'2018_commission_structure'!$A$1:$I$1,0)),0)</f>
        <v>8178.45</v>
      </c>
      <c r="R992" s="9">
        <f>IF($H992&gt;K992, MIN($H992-K992, L992-K992)*INDEX('2018_commission_structure'!$A$1:$I$4,MATCH($E992,'2018_commission_structure'!$A$1:$A$4,0),MATCH(R$1,'2018_commission_structure'!$A$1:$I$1,0)),0)</f>
        <v>0</v>
      </c>
      <c r="S992" s="9">
        <f>IF(H992&gt;L992,(H992-L992)*INDEX('2018_commission_structure'!$A$1:$I$4,MATCH($E992,'2018_commission_structure'!$A$1:$A$4,0),MATCH(S$1,'2018_commission_structure'!$A$1:$I$1,0)),0)</f>
        <v>0</v>
      </c>
      <c r="T992" s="9">
        <f t="shared" si="158"/>
        <v>111678.45</v>
      </c>
      <c r="U992" s="9">
        <f t="shared" si="150"/>
        <v>167033.45000000001</v>
      </c>
      <c r="V992" s="9">
        <f>MIN($I992,$H992)*INDEX('Key Metrics'!$E$16:$N$19,MATCH($E992,'Key Metrics'!$E$16:$E$19,0),MATCH(V$1,'Key Metrics'!$E$16:$M$16,0))</f>
        <v>90000</v>
      </c>
      <c r="W992" s="9">
        <f>IF($H992&gt;I992, MIN($H992-I992, J992-I992)*INDEX('Key Metrics'!$E$16:$N$19,MATCH($E992,'Key Metrics'!$E$16:$E$19,0),MATCH(W$1,'Key Metrics'!$E$16:$M$16,0)),0)</f>
        <v>27000</v>
      </c>
      <c r="X992" s="9">
        <f>IF($H992&gt;J992, MIN($H992-J992, K992-J992)*INDEX('Key Metrics'!$E$16:$N$19,MATCH($E992,'Key Metrics'!$E$16:$E$19,0),MATCH(X$1,'Key Metrics'!$E$16:$M$16,0)),0)</f>
        <v>9736.25</v>
      </c>
      <c r="Y992" s="9">
        <f>IF($H992&gt;K992, MIN($H992-K992, L992-K992)*INDEX('Key Metrics'!$E$16:$N$19,MATCH($E992,'Key Metrics'!$E$16:$E$19,0),MATCH(Y$1,'Key Metrics'!$E$16:$M$16,0)),0)</f>
        <v>0</v>
      </c>
      <c r="Z992" s="9">
        <f>IF($H992&gt;L992,($H992-L992)*INDEX('Key Metrics'!$E$16:$N$19,MATCH($E992,'Key Metrics'!$E$16:$E$19,0),MATCH(Z$1,'Key Metrics'!$E$16:$M$16,0)),0)</f>
        <v>0</v>
      </c>
      <c r="AA992" s="9">
        <f t="shared" si="159"/>
        <v>126736.25</v>
      </c>
      <c r="AB992" s="9">
        <f t="shared" si="151"/>
        <v>126737.56490833333</v>
      </c>
    </row>
    <row r="993" spans="1:28" x14ac:dyDescent="0.55000000000000004">
      <c r="A993" t="str">
        <f t="shared" si="152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COUNTIF(deals_closed!$D$2:$D$20001,Calculations!B287)</f>
        <v>16</v>
      </c>
      <c r="H993" s="7">
        <f>SUMIF(deals_closed!$D:$D,Calculations!B287,deals_closed!$C:$C)</f>
        <v>633853</v>
      </c>
      <c r="I993" s="5">
        <f>VLOOKUP(E993,'2018_commission_structure'!$A$1:$I$4,9,FALSE)</f>
        <v>600000</v>
      </c>
      <c r="J993" s="9">
        <f t="shared" si="153"/>
        <v>750000</v>
      </c>
      <c r="K993" s="10">
        <f t="shared" si="154"/>
        <v>900000</v>
      </c>
      <c r="L993" s="9">
        <f t="shared" si="155"/>
        <v>1200000</v>
      </c>
      <c r="M993" s="8">
        <f t="shared" si="156"/>
        <v>1.0564216666666666</v>
      </c>
      <c r="N993" t="str">
        <f t="shared" si="157"/>
        <v>100-125%</v>
      </c>
      <c r="O993" s="9">
        <f>MIN($H993,$I993)*INDEX('2018_commission_structure'!$A$1:$I$4,MATCH($E993,'2018_commission_structure'!$A$1:$A$4,0),MATCH(O$1,'2018_commission_structure'!$A$1:$I$1,0))</f>
        <v>78000</v>
      </c>
      <c r="P993" s="9">
        <f>IF(H993&gt;I993, MIN(H993-I993, J993-I993)*INDEX('2018_commission_structure'!$A$1:$I$4,MATCH($E993,'2018_commission_structure'!$A$1:$A$4,0),MATCH(P$1,'2018_commission_structure'!$A$1:$I$1,0)),0)</f>
        <v>5755.01</v>
      </c>
      <c r="Q993" s="9">
        <f>IF($H993&gt;J993, MIN($H993-J993, K993-J993)*INDEX('2018_commission_structure'!$A$1:$I$4,MATCH($E993,'2018_commission_structure'!$A$1:$A$4,0),MATCH(Q$1,'2018_commission_structure'!$A$1:$I$1,0)),0)</f>
        <v>0</v>
      </c>
      <c r="R993" s="9">
        <f>IF($H993&gt;K993, MIN($H993-K993, L993-K993)*INDEX('2018_commission_structure'!$A$1:$I$4,MATCH($E993,'2018_commission_structure'!$A$1:$A$4,0),MATCH(R$1,'2018_commission_structure'!$A$1:$I$1,0)),0)</f>
        <v>0</v>
      </c>
      <c r="S993" s="9">
        <f>IF(H993&gt;L993,(H993-L993)*INDEX('2018_commission_structure'!$A$1:$I$4,MATCH($E993,'2018_commission_structure'!$A$1:$A$4,0),MATCH(S$1,'2018_commission_structure'!$A$1:$I$1,0)),0)</f>
        <v>0</v>
      </c>
      <c r="T993" s="9">
        <f t="shared" si="158"/>
        <v>83755.009999999995</v>
      </c>
      <c r="U993" s="9">
        <f t="shared" si="150"/>
        <v>136879.01</v>
      </c>
      <c r="V993" s="9">
        <f>MIN($I993,$H993)*INDEX('Key Metrics'!$E$16:$N$19,MATCH($E993,'Key Metrics'!$E$16:$E$19,0),MATCH(V$1,'Key Metrics'!$E$16:$M$16,0))</f>
        <v>90000</v>
      </c>
      <c r="W993" s="9">
        <f>IF($H993&gt;I993, MIN($H993-I993, J993-I993)*INDEX('Key Metrics'!$E$16:$N$19,MATCH($E993,'Key Metrics'!$E$16:$E$19,0),MATCH(W$1,'Key Metrics'!$E$16:$M$16,0)),0)</f>
        <v>6093.54</v>
      </c>
      <c r="X993" s="9">
        <f>IF($H993&gt;J993, MIN($H993-J993, K993-J993)*INDEX('Key Metrics'!$E$16:$N$19,MATCH($E993,'Key Metrics'!$E$16:$E$19,0),MATCH(X$1,'Key Metrics'!$E$16:$M$16,0)),0)</f>
        <v>0</v>
      </c>
      <c r="Y993" s="9">
        <f>IF($H993&gt;K993, MIN($H993-K993, L993-K993)*INDEX('Key Metrics'!$E$16:$N$19,MATCH($E993,'Key Metrics'!$E$16:$E$19,0),MATCH(Y$1,'Key Metrics'!$E$16:$M$16,0)),0)</f>
        <v>0</v>
      </c>
      <c r="Z993" s="9">
        <f>IF($H993&gt;L993,($H993-L993)*INDEX('Key Metrics'!$E$16:$N$19,MATCH($E993,'Key Metrics'!$E$16:$E$19,0),MATCH(Z$1,'Key Metrics'!$E$16:$M$16,0)),0)</f>
        <v>0</v>
      </c>
      <c r="AA993" s="9">
        <f t="shared" si="159"/>
        <v>96093.54</v>
      </c>
      <c r="AB993" s="9">
        <f t="shared" si="151"/>
        <v>96094.596421666662</v>
      </c>
    </row>
    <row r="994" spans="1:28" x14ac:dyDescent="0.55000000000000004">
      <c r="A994" t="str">
        <f t="shared" si="152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COUNTIF(deals_closed!$D$2:$D$20001,Calculations!B480)</f>
        <v>23</v>
      </c>
      <c r="H994" s="7">
        <f>SUMIF(deals_closed!$D:$D,Calculations!B480,deals_closed!$C:$C)</f>
        <v>909806</v>
      </c>
      <c r="I994" s="5">
        <f>VLOOKUP(E994,'2018_commission_structure'!$A$1:$I$4,9,FALSE)</f>
        <v>750000</v>
      </c>
      <c r="J994" s="9">
        <f t="shared" si="153"/>
        <v>937500</v>
      </c>
      <c r="K994" s="10">
        <f t="shared" si="154"/>
        <v>1125000</v>
      </c>
      <c r="L994" s="9">
        <f t="shared" si="155"/>
        <v>1500000</v>
      </c>
      <c r="M994" s="8">
        <f t="shared" si="156"/>
        <v>1.2130746666666667</v>
      </c>
      <c r="N994" t="str">
        <f t="shared" si="157"/>
        <v>100-125%</v>
      </c>
      <c r="O994" s="9">
        <f>MIN($H994,$I994)*INDEX('2018_commission_structure'!$A$1:$I$4,MATCH($E994,'2018_commission_structure'!$A$1:$A$4,0),MATCH(O$1,'2018_commission_structure'!$A$1:$I$1,0))</f>
        <v>112500</v>
      </c>
      <c r="P994" s="9">
        <f>IF(H994&gt;I994, MIN(H994-I994, J994-I994)*INDEX('2018_commission_structure'!$A$1:$I$4,MATCH($E994,'2018_commission_structure'!$A$1:$A$4,0),MATCH(P$1,'2018_commission_structure'!$A$1:$I$1,0)),0)</f>
        <v>30363.14</v>
      </c>
      <c r="Q994" s="9">
        <f>IF($H994&gt;J994, MIN($H994-J994, K994-J994)*INDEX('2018_commission_structure'!$A$1:$I$4,MATCH($E994,'2018_commission_structure'!$A$1:$A$4,0),MATCH(Q$1,'2018_commission_structure'!$A$1:$I$1,0)),0)</f>
        <v>0</v>
      </c>
      <c r="R994" s="9">
        <f>IF($H994&gt;K994, MIN($H994-K994, L994-K994)*INDEX('2018_commission_structure'!$A$1:$I$4,MATCH($E994,'2018_commission_structure'!$A$1:$A$4,0),MATCH(R$1,'2018_commission_structure'!$A$1:$I$1,0)),0)</f>
        <v>0</v>
      </c>
      <c r="S994" s="9">
        <f>IF(H994&gt;L994,(H994-L994)*INDEX('2018_commission_structure'!$A$1:$I$4,MATCH($E994,'2018_commission_structure'!$A$1:$A$4,0),MATCH(S$1,'2018_commission_structure'!$A$1:$I$1,0)),0)</f>
        <v>0</v>
      </c>
      <c r="T994" s="9">
        <f t="shared" si="158"/>
        <v>142863.14000000001</v>
      </c>
      <c r="U994" s="9">
        <f t="shared" ref="U994:U1057" si="160">F994+T994</f>
        <v>253812.14</v>
      </c>
      <c r="V994" s="9">
        <f>MIN($I994,$H994)*INDEX('Key Metrics'!$E$16:$N$19,MATCH($E994,'Key Metrics'!$E$16:$E$19,0),MATCH(V$1,'Key Metrics'!$E$16:$M$16,0))</f>
        <v>112500</v>
      </c>
      <c r="W994" s="9">
        <f>IF($H994&gt;I994, MIN($H994-I994, J994-I994)*INDEX('Key Metrics'!$E$16:$N$19,MATCH($E994,'Key Metrics'!$E$16:$E$19,0),MATCH(W$1,'Key Metrics'!$E$16:$M$16,0)),0)</f>
        <v>35157.32</v>
      </c>
      <c r="X994" s="9">
        <f>IF($H994&gt;J994, MIN($H994-J994, K994-J994)*INDEX('Key Metrics'!$E$16:$N$19,MATCH($E994,'Key Metrics'!$E$16:$E$19,0),MATCH(X$1,'Key Metrics'!$E$16:$M$16,0)),0)</f>
        <v>0</v>
      </c>
      <c r="Y994" s="9">
        <f>IF($H994&gt;K994, MIN($H994-K994, L994-K994)*INDEX('Key Metrics'!$E$16:$N$19,MATCH($E994,'Key Metrics'!$E$16:$E$19,0),MATCH(Y$1,'Key Metrics'!$E$16:$M$16,0)),0)</f>
        <v>0</v>
      </c>
      <c r="Z994" s="9">
        <f>IF($H994&gt;L994,($H994-L994)*INDEX('Key Metrics'!$E$16:$N$19,MATCH($E994,'Key Metrics'!$E$16:$E$19,0),MATCH(Z$1,'Key Metrics'!$E$16:$M$16,0)),0)</f>
        <v>0</v>
      </c>
      <c r="AA994" s="9">
        <f t="shared" si="159"/>
        <v>147657.32</v>
      </c>
      <c r="AB994" s="9">
        <f t="shared" ref="AB994:AB1057" si="161">M994+AA994</f>
        <v>147658.53307466669</v>
      </c>
    </row>
    <row r="995" spans="1:28" x14ac:dyDescent="0.55000000000000004">
      <c r="A995" t="str">
        <f t="shared" si="152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COUNTIF(deals_closed!$D$2:$D$20001,Calculations!B109)</f>
        <v>14</v>
      </c>
      <c r="H995" s="7">
        <f>SUMIF(deals_closed!$D:$D,Calculations!B109,deals_closed!$C:$C)</f>
        <v>493164</v>
      </c>
      <c r="I995" s="5">
        <f>VLOOKUP(E995,'2018_commission_structure'!$A$1:$I$4,9,FALSE)</f>
        <v>500000</v>
      </c>
      <c r="J995" s="9">
        <f t="shared" si="153"/>
        <v>625000</v>
      </c>
      <c r="K995" s="10">
        <f t="shared" si="154"/>
        <v>750000</v>
      </c>
      <c r="L995" s="9">
        <f t="shared" si="155"/>
        <v>1000000</v>
      </c>
      <c r="M995" s="8">
        <f t="shared" si="156"/>
        <v>0.98632799999999998</v>
      </c>
      <c r="N995" t="str">
        <f t="shared" si="157"/>
        <v>0-100%</v>
      </c>
      <c r="O995" s="9">
        <f>MIN($H995,$I995)*INDEX('2018_commission_structure'!$A$1:$I$4,MATCH($E995,'2018_commission_structure'!$A$1:$A$4,0),MATCH(O$1,'2018_commission_structure'!$A$1:$I$1,0))</f>
        <v>49316.4</v>
      </c>
      <c r="P995" s="9">
        <f>IF(H995&gt;I995, MIN(H995-I995, J995-I995)*INDEX('2018_commission_structure'!$A$1:$I$4,MATCH($E995,'2018_commission_structure'!$A$1:$A$4,0),MATCH(P$1,'2018_commission_structure'!$A$1:$I$1,0)),0)</f>
        <v>0</v>
      </c>
      <c r="Q995" s="9">
        <f>IF($H995&gt;J995, MIN($H995-J995, K995-J995)*INDEX('2018_commission_structure'!$A$1:$I$4,MATCH($E995,'2018_commission_structure'!$A$1:$A$4,0),MATCH(Q$1,'2018_commission_structure'!$A$1:$I$1,0)),0)</f>
        <v>0</v>
      </c>
      <c r="R995" s="9">
        <f>IF($H995&gt;K995, MIN($H995-K995, L995-K995)*INDEX('2018_commission_structure'!$A$1:$I$4,MATCH($E995,'2018_commission_structure'!$A$1:$A$4,0),MATCH(R$1,'2018_commission_structure'!$A$1:$I$1,0)),0)</f>
        <v>0</v>
      </c>
      <c r="S995" s="9">
        <f>IF(H995&gt;L995,(H995-L995)*INDEX('2018_commission_structure'!$A$1:$I$4,MATCH($E995,'2018_commission_structure'!$A$1:$A$4,0),MATCH(S$1,'2018_commission_structure'!$A$1:$I$1,0)),0)</f>
        <v>0</v>
      </c>
      <c r="T995" s="9">
        <f t="shared" si="158"/>
        <v>49316.4</v>
      </c>
      <c r="U995" s="9">
        <f t="shared" si="160"/>
        <v>84177.4</v>
      </c>
      <c r="V995" s="9">
        <f>MIN($I995,$H995)*INDEX('Key Metrics'!$E$16:$N$19,MATCH($E995,'Key Metrics'!$E$16:$E$19,0),MATCH(V$1,'Key Metrics'!$E$16:$M$16,0))</f>
        <v>59179.68</v>
      </c>
      <c r="W995" s="9">
        <f>IF($H995&gt;I995, MIN($H995-I995, J995-I995)*INDEX('Key Metrics'!$E$16:$N$19,MATCH($E995,'Key Metrics'!$E$16:$E$19,0),MATCH(W$1,'Key Metrics'!$E$16:$M$16,0)),0)</f>
        <v>0</v>
      </c>
      <c r="X995" s="9">
        <f>IF($H995&gt;J995, MIN($H995-J995, K995-J995)*INDEX('Key Metrics'!$E$16:$N$19,MATCH($E995,'Key Metrics'!$E$16:$E$19,0),MATCH(X$1,'Key Metrics'!$E$16:$M$16,0)),0)</f>
        <v>0</v>
      </c>
      <c r="Y995" s="9">
        <f>IF($H995&gt;K995, MIN($H995-K995, L995-K995)*INDEX('Key Metrics'!$E$16:$N$19,MATCH($E995,'Key Metrics'!$E$16:$E$19,0),MATCH(Y$1,'Key Metrics'!$E$16:$M$16,0)),0)</f>
        <v>0</v>
      </c>
      <c r="Z995" s="9">
        <f>IF($H995&gt;L995,($H995-L995)*INDEX('Key Metrics'!$E$16:$N$19,MATCH($E995,'Key Metrics'!$E$16:$E$19,0),MATCH(Z$1,'Key Metrics'!$E$16:$M$16,0)),0)</f>
        <v>0</v>
      </c>
      <c r="AA995" s="9">
        <f t="shared" si="159"/>
        <v>59179.68</v>
      </c>
      <c r="AB995" s="9">
        <f t="shared" si="161"/>
        <v>59180.666327999999</v>
      </c>
    </row>
    <row r="996" spans="1:28" x14ac:dyDescent="0.55000000000000004">
      <c r="A996" t="str">
        <f t="shared" si="152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COUNTIF(deals_closed!$D$2:$D$20001,Calculations!B818)</f>
        <v>20</v>
      </c>
      <c r="H996" s="7">
        <f>SUMIF(deals_closed!$D:$D,Calculations!B818,deals_closed!$C:$C)</f>
        <v>684528</v>
      </c>
      <c r="I996" s="5">
        <f>VLOOKUP(E996,'2018_commission_structure'!$A$1:$I$4,9,FALSE)</f>
        <v>750000</v>
      </c>
      <c r="J996" s="9">
        <f t="shared" si="153"/>
        <v>937500</v>
      </c>
      <c r="K996" s="10">
        <f t="shared" si="154"/>
        <v>1125000</v>
      </c>
      <c r="L996" s="9">
        <f t="shared" si="155"/>
        <v>1500000</v>
      </c>
      <c r="M996" s="8">
        <f t="shared" si="156"/>
        <v>0.91270399999999996</v>
      </c>
      <c r="N996" t="str">
        <f t="shared" si="157"/>
        <v>0-100%</v>
      </c>
      <c r="O996" s="9">
        <f>MIN($H996,$I996)*INDEX('2018_commission_structure'!$A$1:$I$4,MATCH($E996,'2018_commission_structure'!$A$1:$A$4,0),MATCH(O$1,'2018_commission_structure'!$A$1:$I$1,0))</f>
        <v>102679.2</v>
      </c>
      <c r="P996" s="9">
        <f>IF(H996&gt;I996, MIN(H996-I996, J996-I996)*INDEX('2018_commission_structure'!$A$1:$I$4,MATCH($E996,'2018_commission_structure'!$A$1:$A$4,0),MATCH(P$1,'2018_commission_structure'!$A$1:$I$1,0)),0)</f>
        <v>0</v>
      </c>
      <c r="Q996" s="9">
        <f>IF($H996&gt;J996, MIN($H996-J996, K996-J996)*INDEX('2018_commission_structure'!$A$1:$I$4,MATCH($E996,'2018_commission_structure'!$A$1:$A$4,0),MATCH(Q$1,'2018_commission_structure'!$A$1:$I$1,0)),0)</f>
        <v>0</v>
      </c>
      <c r="R996" s="9">
        <f>IF($H996&gt;K996, MIN($H996-K996, L996-K996)*INDEX('2018_commission_structure'!$A$1:$I$4,MATCH($E996,'2018_commission_structure'!$A$1:$A$4,0),MATCH(R$1,'2018_commission_structure'!$A$1:$I$1,0)),0)</f>
        <v>0</v>
      </c>
      <c r="S996" s="9">
        <f>IF(H996&gt;L996,(H996-L996)*INDEX('2018_commission_structure'!$A$1:$I$4,MATCH($E996,'2018_commission_structure'!$A$1:$A$4,0),MATCH(S$1,'2018_commission_structure'!$A$1:$I$1,0)),0)</f>
        <v>0</v>
      </c>
      <c r="T996" s="9">
        <f t="shared" si="158"/>
        <v>102679.2</v>
      </c>
      <c r="U996" s="9">
        <f t="shared" si="160"/>
        <v>194636.2</v>
      </c>
      <c r="V996" s="9">
        <f>MIN($I996,$H996)*INDEX('Key Metrics'!$E$16:$N$19,MATCH($E996,'Key Metrics'!$E$16:$E$19,0),MATCH(V$1,'Key Metrics'!$E$16:$M$16,0))</f>
        <v>102679.2</v>
      </c>
      <c r="W996" s="9">
        <f>IF($H996&gt;I996, MIN($H996-I996, J996-I996)*INDEX('Key Metrics'!$E$16:$N$19,MATCH($E996,'Key Metrics'!$E$16:$E$19,0),MATCH(W$1,'Key Metrics'!$E$16:$M$16,0)),0)</f>
        <v>0</v>
      </c>
      <c r="X996" s="9">
        <f>IF($H996&gt;J996, MIN($H996-J996, K996-J996)*INDEX('Key Metrics'!$E$16:$N$19,MATCH($E996,'Key Metrics'!$E$16:$E$19,0),MATCH(X$1,'Key Metrics'!$E$16:$M$16,0)),0)</f>
        <v>0</v>
      </c>
      <c r="Y996" s="9">
        <f>IF($H996&gt;K996, MIN($H996-K996, L996-K996)*INDEX('Key Metrics'!$E$16:$N$19,MATCH($E996,'Key Metrics'!$E$16:$E$19,0),MATCH(Y$1,'Key Metrics'!$E$16:$M$16,0)),0)</f>
        <v>0</v>
      </c>
      <c r="Z996" s="9">
        <f>IF($H996&gt;L996,($H996-L996)*INDEX('Key Metrics'!$E$16:$N$19,MATCH($E996,'Key Metrics'!$E$16:$E$19,0),MATCH(Z$1,'Key Metrics'!$E$16:$M$16,0)),0)</f>
        <v>0</v>
      </c>
      <c r="AA996" s="9">
        <f t="shared" si="159"/>
        <v>102679.2</v>
      </c>
      <c r="AB996" s="9">
        <f t="shared" si="161"/>
        <v>102680.112704</v>
      </c>
    </row>
    <row r="997" spans="1:28" x14ac:dyDescent="0.55000000000000004">
      <c r="A997" t="str">
        <f t="shared" si="152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COUNTIF(deals_closed!$D$2:$D$20001,Calculations!B359)</f>
        <v>22</v>
      </c>
      <c r="H997" s="7">
        <f>SUMIF(deals_closed!$D:$D,Calculations!B359,deals_closed!$C:$C)</f>
        <v>582051</v>
      </c>
      <c r="I997" s="5">
        <f>VLOOKUP(E997,'2018_commission_structure'!$A$1:$I$4,9,FALSE)</f>
        <v>600000</v>
      </c>
      <c r="J997" s="9">
        <f t="shared" si="153"/>
        <v>750000</v>
      </c>
      <c r="K997" s="10">
        <f t="shared" si="154"/>
        <v>900000</v>
      </c>
      <c r="L997" s="9">
        <f t="shared" si="155"/>
        <v>1200000</v>
      </c>
      <c r="M997" s="8">
        <f t="shared" si="156"/>
        <v>0.97008499999999998</v>
      </c>
      <c r="N997" t="str">
        <f t="shared" si="157"/>
        <v>0-100%</v>
      </c>
      <c r="O997" s="9">
        <f>MIN($H997,$I997)*INDEX('2018_commission_structure'!$A$1:$I$4,MATCH($E997,'2018_commission_structure'!$A$1:$A$4,0),MATCH(O$1,'2018_commission_structure'!$A$1:$I$1,0))</f>
        <v>75666.63</v>
      </c>
      <c r="P997" s="9">
        <f>IF(H997&gt;I997, MIN(H997-I997, J997-I997)*INDEX('2018_commission_structure'!$A$1:$I$4,MATCH($E997,'2018_commission_structure'!$A$1:$A$4,0),MATCH(P$1,'2018_commission_structure'!$A$1:$I$1,0)),0)</f>
        <v>0</v>
      </c>
      <c r="Q997" s="9">
        <f>IF($H997&gt;J997, MIN($H997-J997, K997-J997)*INDEX('2018_commission_structure'!$A$1:$I$4,MATCH($E997,'2018_commission_structure'!$A$1:$A$4,0),MATCH(Q$1,'2018_commission_structure'!$A$1:$I$1,0)),0)</f>
        <v>0</v>
      </c>
      <c r="R997" s="9">
        <f>IF($H997&gt;K997, MIN($H997-K997, L997-K997)*INDEX('2018_commission_structure'!$A$1:$I$4,MATCH($E997,'2018_commission_structure'!$A$1:$A$4,0),MATCH(R$1,'2018_commission_structure'!$A$1:$I$1,0)),0)</f>
        <v>0</v>
      </c>
      <c r="S997" s="9">
        <f>IF(H997&gt;L997,(H997-L997)*INDEX('2018_commission_structure'!$A$1:$I$4,MATCH($E997,'2018_commission_structure'!$A$1:$A$4,0),MATCH(S$1,'2018_commission_structure'!$A$1:$I$1,0)),0)</f>
        <v>0</v>
      </c>
      <c r="T997" s="9">
        <f t="shared" si="158"/>
        <v>75666.63</v>
      </c>
      <c r="U997" s="9">
        <f t="shared" si="160"/>
        <v>141908.63</v>
      </c>
      <c r="V997" s="9">
        <f>MIN($I997,$H997)*INDEX('Key Metrics'!$E$16:$N$19,MATCH($E997,'Key Metrics'!$E$16:$E$19,0),MATCH(V$1,'Key Metrics'!$E$16:$M$16,0))</f>
        <v>87307.65</v>
      </c>
      <c r="W997" s="9">
        <f>IF($H997&gt;I997, MIN($H997-I997, J997-I997)*INDEX('Key Metrics'!$E$16:$N$19,MATCH($E997,'Key Metrics'!$E$16:$E$19,0),MATCH(W$1,'Key Metrics'!$E$16:$M$16,0)),0)</f>
        <v>0</v>
      </c>
      <c r="X997" s="9">
        <f>IF($H997&gt;J997, MIN($H997-J997, K997-J997)*INDEX('Key Metrics'!$E$16:$N$19,MATCH($E997,'Key Metrics'!$E$16:$E$19,0),MATCH(X$1,'Key Metrics'!$E$16:$M$16,0)),0)</f>
        <v>0</v>
      </c>
      <c r="Y997" s="9">
        <f>IF($H997&gt;K997, MIN($H997-K997, L997-K997)*INDEX('Key Metrics'!$E$16:$N$19,MATCH($E997,'Key Metrics'!$E$16:$E$19,0),MATCH(Y$1,'Key Metrics'!$E$16:$M$16,0)),0)</f>
        <v>0</v>
      </c>
      <c r="Z997" s="9">
        <f>IF($H997&gt;L997,($H997-L997)*INDEX('Key Metrics'!$E$16:$N$19,MATCH($E997,'Key Metrics'!$E$16:$E$19,0),MATCH(Z$1,'Key Metrics'!$E$16:$M$16,0)),0)</f>
        <v>0</v>
      </c>
      <c r="AA997" s="9">
        <f t="shared" si="159"/>
        <v>87307.65</v>
      </c>
      <c r="AB997" s="9">
        <f t="shared" si="161"/>
        <v>87308.620084999988</v>
      </c>
    </row>
    <row r="998" spans="1:28" x14ac:dyDescent="0.55000000000000004">
      <c r="A998" t="str">
        <f t="shared" si="152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COUNTIF(deals_closed!$D$2:$D$20001,Calculations!B37)</f>
        <v>17</v>
      </c>
      <c r="H998" s="7">
        <f>SUMIF(deals_closed!$D:$D,Calculations!B37,deals_closed!$C:$C)</f>
        <v>559337</v>
      </c>
      <c r="I998" s="5">
        <f>VLOOKUP(E998,'2018_commission_structure'!$A$1:$I$4,9,FALSE)</f>
        <v>600000</v>
      </c>
      <c r="J998" s="9">
        <f t="shared" si="153"/>
        <v>750000</v>
      </c>
      <c r="K998" s="10">
        <f t="shared" si="154"/>
        <v>900000</v>
      </c>
      <c r="L998" s="9">
        <f t="shared" si="155"/>
        <v>1200000</v>
      </c>
      <c r="M998" s="8">
        <f t="shared" si="156"/>
        <v>0.93222833333333333</v>
      </c>
      <c r="N998" t="str">
        <f t="shared" si="157"/>
        <v>0-100%</v>
      </c>
      <c r="O998" s="9">
        <f>MIN($H998,$I998)*INDEX('2018_commission_structure'!$A$1:$I$4,MATCH($E998,'2018_commission_structure'!$A$1:$A$4,0),MATCH(O$1,'2018_commission_structure'!$A$1:$I$1,0))</f>
        <v>72713.81</v>
      </c>
      <c r="P998" s="9">
        <f>IF(H998&gt;I998, MIN(H998-I998, J998-I998)*INDEX('2018_commission_structure'!$A$1:$I$4,MATCH($E998,'2018_commission_structure'!$A$1:$A$4,0),MATCH(P$1,'2018_commission_structure'!$A$1:$I$1,0)),0)</f>
        <v>0</v>
      </c>
      <c r="Q998" s="9">
        <f>IF($H998&gt;J998, MIN($H998-J998, K998-J998)*INDEX('2018_commission_structure'!$A$1:$I$4,MATCH($E998,'2018_commission_structure'!$A$1:$A$4,0),MATCH(Q$1,'2018_commission_structure'!$A$1:$I$1,0)),0)</f>
        <v>0</v>
      </c>
      <c r="R998" s="9">
        <f>IF($H998&gt;K998, MIN($H998-K998, L998-K998)*INDEX('2018_commission_structure'!$A$1:$I$4,MATCH($E998,'2018_commission_structure'!$A$1:$A$4,0),MATCH(R$1,'2018_commission_structure'!$A$1:$I$1,0)),0)</f>
        <v>0</v>
      </c>
      <c r="S998" s="9">
        <f>IF(H998&gt;L998,(H998-L998)*INDEX('2018_commission_structure'!$A$1:$I$4,MATCH($E998,'2018_commission_structure'!$A$1:$A$4,0),MATCH(S$1,'2018_commission_structure'!$A$1:$I$1,0)),0)</f>
        <v>0</v>
      </c>
      <c r="T998" s="9">
        <f t="shared" si="158"/>
        <v>72713.81</v>
      </c>
      <c r="U998" s="9">
        <f t="shared" si="160"/>
        <v>147389.81</v>
      </c>
      <c r="V998" s="9">
        <f>MIN($I998,$H998)*INDEX('Key Metrics'!$E$16:$N$19,MATCH($E998,'Key Metrics'!$E$16:$E$19,0),MATCH(V$1,'Key Metrics'!$E$16:$M$16,0))</f>
        <v>83900.55</v>
      </c>
      <c r="W998" s="9">
        <f>IF($H998&gt;I998, MIN($H998-I998, J998-I998)*INDEX('Key Metrics'!$E$16:$N$19,MATCH($E998,'Key Metrics'!$E$16:$E$19,0),MATCH(W$1,'Key Metrics'!$E$16:$M$16,0)),0)</f>
        <v>0</v>
      </c>
      <c r="X998" s="9">
        <f>IF($H998&gt;J998, MIN($H998-J998, K998-J998)*INDEX('Key Metrics'!$E$16:$N$19,MATCH($E998,'Key Metrics'!$E$16:$E$19,0),MATCH(X$1,'Key Metrics'!$E$16:$M$16,0)),0)</f>
        <v>0</v>
      </c>
      <c r="Y998" s="9">
        <f>IF($H998&gt;K998, MIN($H998-K998, L998-K998)*INDEX('Key Metrics'!$E$16:$N$19,MATCH($E998,'Key Metrics'!$E$16:$E$19,0),MATCH(Y$1,'Key Metrics'!$E$16:$M$16,0)),0)</f>
        <v>0</v>
      </c>
      <c r="Z998" s="9">
        <f>IF($H998&gt;L998,($H998-L998)*INDEX('Key Metrics'!$E$16:$N$19,MATCH($E998,'Key Metrics'!$E$16:$E$19,0),MATCH(Z$1,'Key Metrics'!$E$16:$M$16,0)),0)</f>
        <v>0</v>
      </c>
      <c r="AA998" s="9">
        <f t="shared" si="159"/>
        <v>83900.55</v>
      </c>
      <c r="AB998" s="9">
        <f t="shared" si="161"/>
        <v>83901.482228333334</v>
      </c>
    </row>
    <row r="999" spans="1:28" x14ac:dyDescent="0.55000000000000004">
      <c r="A999" t="str">
        <f t="shared" si="152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COUNTIF(deals_closed!$D$2:$D$20001,Calculations!B838)</f>
        <v>22</v>
      </c>
      <c r="H999" s="7">
        <f>SUMIF(deals_closed!$D:$D,Calculations!B838,deals_closed!$C:$C)</f>
        <v>774576</v>
      </c>
      <c r="I999" s="5">
        <f>VLOOKUP(E999,'2018_commission_structure'!$A$1:$I$4,9,FALSE)</f>
        <v>750000</v>
      </c>
      <c r="J999" s="9">
        <f t="shared" si="153"/>
        <v>937500</v>
      </c>
      <c r="K999" s="10">
        <f t="shared" si="154"/>
        <v>1125000</v>
      </c>
      <c r="L999" s="9">
        <f t="shared" si="155"/>
        <v>1500000</v>
      </c>
      <c r="M999" s="8">
        <f t="shared" si="156"/>
        <v>1.0327679999999999</v>
      </c>
      <c r="N999" t="str">
        <f t="shared" si="157"/>
        <v>100-125%</v>
      </c>
      <c r="O999" s="9">
        <f>MIN($H999,$I999)*INDEX('2018_commission_structure'!$A$1:$I$4,MATCH($E999,'2018_commission_structure'!$A$1:$A$4,0),MATCH(O$1,'2018_commission_structure'!$A$1:$I$1,0))</f>
        <v>112500</v>
      </c>
      <c r="P999" s="9">
        <f>IF(H999&gt;I999, MIN(H999-I999, J999-I999)*INDEX('2018_commission_structure'!$A$1:$I$4,MATCH($E999,'2018_commission_structure'!$A$1:$A$4,0),MATCH(P$1,'2018_commission_structure'!$A$1:$I$1,0)),0)</f>
        <v>4669.4400000000005</v>
      </c>
      <c r="Q999" s="9">
        <f>IF($H999&gt;J999, MIN($H999-J999, K999-J999)*INDEX('2018_commission_structure'!$A$1:$I$4,MATCH($E999,'2018_commission_structure'!$A$1:$A$4,0),MATCH(Q$1,'2018_commission_structure'!$A$1:$I$1,0)),0)</f>
        <v>0</v>
      </c>
      <c r="R999" s="9">
        <f>IF($H999&gt;K999, MIN($H999-K999, L999-K999)*INDEX('2018_commission_structure'!$A$1:$I$4,MATCH($E999,'2018_commission_structure'!$A$1:$A$4,0),MATCH(R$1,'2018_commission_structure'!$A$1:$I$1,0)),0)</f>
        <v>0</v>
      </c>
      <c r="S999" s="9">
        <f>IF(H999&gt;L999,(H999-L999)*INDEX('2018_commission_structure'!$A$1:$I$4,MATCH($E999,'2018_commission_structure'!$A$1:$A$4,0),MATCH(S$1,'2018_commission_structure'!$A$1:$I$1,0)),0)</f>
        <v>0</v>
      </c>
      <c r="T999" s="9">
        <f t="shared" si="158"/>
        <v>117169.44</v>
      </c>
      <c r="U999" s="9">
        <f t="shared" si="160"/>
        <v>238257.44</v>
      </c>
      <c r="V999" s="9">
        <f>MIN($I999,$H999)*INDEX('Key Metrics'!$E$16:$N$19,MATCH($E999,'Key Metrics'!$E$16:$E$19,0),MATCH(V$1,'Key Metrics'!$E$16:$M$16,0))</f>
        <v>112500</v>
      </c>
      <c r="W999" s="9">
        <f>IF($H999&gt;I999, MIN($H999-I999, J999-I999)*INDEX('Key Metrics'!$E$16:$N$19,MATCH($E999,'Key Metrics'!$E$16:$E$19,0),MATCH(W$1,'Key Metrics'!$E$16:$M$16,0)),0)</f>
        <v>5406.72</v>
      </c>
      <c r="X999" s="9">
        <f>IF($H999&gt;J999, MIN($H999-J999, K999-J999)*INDEX('Key Metrics'!$E$16:$N$19,MATCH($E999,'Key Metrics'!$E$16:$E$19,0),MATCH(X$1,'Key Metrics'!$E$16:$M$16,0)),0)</f>
        <v>0</v>
      </c>
      <c r="Y999" s="9">
        <f>IF($H999&gt;K999, MIN($H999-K999, L999-K999)*INDEX('Key Metrics'!$E$16:$N$19,MATCH($E999,'Key Metrics'!$E$16:$E$19,0),MATCH(Y$1,'Key Metrics'!$E$16:$M$16,0)),0)</f>
        <v>0</v>
      </c>
      <c r="Z999" s="9">
        <f>IF($H999&gt;L999,($H999-L999)*INDEX('Key Metrics'!$E$16:$N$19,MATCH($E999,'Key Metrics'!$E$16:$E$19,0),MATCH(Z$1,'Key Metrics'!$E$16:$M$16,0)),0)</f>
        <v>0</v>
      </c>
      <c r="AA999" s="9">
        <f t="shared" si="159"/>
        <v>117906.72</v>
      </c>
      <c r="AB999" s="9">
        <f t="shared" si="161"/>
        <v>117907.75276800001</v>
      </c>
    </row>
    <row r="1000" spans="1:28" x14ac:dyDescent="0.55000000000000004">
      <c r="A1000" t="str">
        <f t="shared" si="152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COUNTIF(deals_closed!$D$2:$D$20001,Calculations!B531)</f>
        <v>22</v>
      </c>
      <c r="H1000" s="7">
        <f>SUMIF(deals_closed!$D:$D,Calculations!B531,deals_closed!$C:$C)</f>
        <v>735952</v>
      </c>
      <c r="I1000" s="5">
        <f>VLOOKUP(E1000,'2018_commission_structure'!$A$1:$I$4,9,FALSE)</f>
        <v>500000</v>
      </c>
      <c r="J1000" s="9">
        <f t="shared" si="153"/>
        <v>625000</v>
      </c>
      <c r="K1000" s="10">
        <f t="shared" si="154"/>
        <v>750000</v>
      </c>
      <c r="L1000" s="9">
        <f t="shared" si="155"/>
        <v>1000000</v>
      </c>
      <c r="M1000" s="8">
        <f t="shared" si="156"/>
        <v>1.4719040000000001</v>
      </c>
      <c r="N1000" t="str">
        <f t="shared" si="157"/>
        <v>125-150%</v>
      </c>
      <c r="O1000" s="9">
        <f>MIN($H1000,$I1000)*INDEX('2018_commission_structure'!$A$1:$I$4,MATCH($E1000,'2018_commission_structure'!$A$1:$A$4,0),MATCH(O$1,'2018_commission_structure'!$A$1:$I$1,0))</f>
        <v>50000</v>
      </c>
      <c r="P1000" s="9">
        <f>IF(H1000&gt;I1000, MIN(H1000-I1000, J1000-I1000)*INDEX('2018_commission_structure'!$A$1:$I$4,MATCH($E1000,'2018_commission_structure'!$A$1:$A$4,0),MATCH(P$1,'2018_commission_structure'!$A$1:$I$1,0)),0)</f>
        <v>18750</v>
      </c>
      <c r="Q1000" s="9">
        <f>IF($H1000&gt;J1000, MIN($H1000-J1000, K1000-J1000)*INDEX('2018_commission_structure'!$A$1:$I$4,MATCH($E1000,'2018_commission_structure'!$A$1:$A$4,0),MATCH(Q$1,'2018_commission_structure'!$A$1:$I$1,0)),0)</f>
        <v>19971.36</v>
      </c>
      <c r="R1000" s="9">
        <f>IF($H1000&gt;K1000, MIN($H1000-K1000, L1000-K1000)*INDEX('2018_commission_structure'!$A$1:$I$4,MATCH($E1000,'2018_commission_structure'!$A$1:$A$4,0),MATCH(R$1,'2018_commission_structure'!$A$1:$I$1,0)),0)</f>
        <v>0</v>
      </c>
      <c r="S1000" s="9">
        <f>IF(H1000&gt;L1000,(H1000-L1000)*INDEX('2018_commission_structure'!$A$1:$I$4,MATCH($E1000,'2018_commission_structure'!$A$1:$A$4,0),MATCH(S$1,'2018_commission_structure'!$A$1:$I$1,0)),0)</f>
        <v>0</v>
      </c>
      <c r="T1000" s="9">
        <f t="shared" si="158"/>
        <v>88721.36</v>
      </c>
      <c r="U1000" s="9">
        <f t="shared" si="160"/>
        <v>125644.36</v>
      </c>
      <c r="V1000" s="9">
        <f>MIN($I1000,$H1000)*INDEX('Key Metrics'!$E$16:$N$19,MATCH($E1000,'Key Metrics'!$E$16:$E$19,0),MATCH(V$1,'Key Metrics'!$E$16:$M$16,0))</f>
        <v>60000</v>
      </c>
      <c r="W1000" s="9">
        <f>IF($H1000&gt;I1000, MIN($H1000-I1000, J1000-I1000)*INDEX('Key Metrics'!$E$16:$N$19,MATCH($E1000,'Key Metrics'!$E$16:$E$19,0),MATCH(W$1,'Key Metrics'!$E$16:$M$16,0)),0)</f>
        <v>21250</v>
      </c>
      <c r="X1000" s="9">
        <f>IF($H1000&gt;J1000, MIN($H1000-J1000, K1000-J1000)*INDEX('Key Metrics'!$E$16:$N$19,MATCH($E1000,'Key Metrics'!$E$16:$E$19,0),MATCH(X$1,'Key Metrics'!$E$16:$M$16,0)),0)</f>
        <v>22190.400000000001</v>
      </c>
      <c r="Y1000" s="9">
        <f>IF($H1000&gt;K1000, MIN($H1000-K1000, L1000-K1000)*INDEX('Key Metrics'!$E$16:$N$19,MATCH($E1000,'Key Metrics'!$E$16:$E$19,0),MATCH(Y$1,'Key Metrics'!$E$16:$M$16,0)),0)</f>
        <v>0</v>
      </c>
      <c r="Z1000" s="9">
        <f>IF($H1000&gt;L1000,($H1000-L1000)*INDEX('Key Metrics'!$E$16:$N$19,MATCH($E1000,'Key Metrics'!$E$16:$E$19,0),MATCH(Z$1,'Key Metrics'!$E$16:$M$16,0)),0)</f>
        <v>0</v>
      </c>
      <c r="AA1000" s="9">
        <f t="shared" si="159"/>
        <v>103440.4</v>
      </c>
      <c r="AB1000" s="9">
        <f t="shared" si="161"/>
        <v>103441.871904</v>
      </c>
    </row>
    <row r="1001" spans="1:28" x14ac:dyDescent="0.55000000000000004">
      <c r="A1001" t="str">
        <f t="shared" si="152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COUNTIF(deals_closed!$D$2:$D$20001,Calculations!B10)</f>
        <v>12</v>
      </c>
      <c r="H1001" s="7">
        <f>SUMIF(deals_closed!$D:$D,Calculations!B10,deals_closed!$C:$C)</f>
        <v>471986</v>
      </c>
      <c r="I1001" s="5">
        <f>VLOOKUP(E1001,'2018_commission_structure'!$A$1:$I$4,9,FALSE)</f>
        <v>750000</v>
      </c>
      <c r="J1001" s="9">
        <f t="shared" si="153"/>
        <v>937500</v>
      </c>
      <c r="K1001" s="10">
        <f t="shared" si="154"/>
        <v>1125000</v>
      </c>
      <c r="L1001" s="9">
        <f t="shared" si="155"/>
        <v>1500000</v>
      </c>
      <c r="M1001" s="8">
        <f t="shared" si="156"/>
        <v>0.62931466666666669</v>
      </c>
      <c r="N1001" t="str">
        <f t="shared" si="157"/>
        <v>0-100%</v>
      </c>
      <c r="O1001" s="9">
        <f>MIN($H1001,$I1001)*INDEX('2018_commission_structure'!$A$1:$I$4,MATCH($E1001,'2018_commission_structure'!$A$1:$A$4,0),MATCH(O$1,'2018_commission_structure'!$A$1:$I$1,0))</f>
        <v>70797.899999999994</v>
      </c>
      <c r="P1001" s="9">
        <f>IF(H1001&gt;I1001, MIN(H1001-I1001, J1001-I1001)*INDEX('2018_commission_structure'!$A$1:$I$4,MATCH($E1001,'2018_commission_structure'!$A$1:$A$4,0),MATCH(P$1,'2018_commission_structure'!$A$1:$I$1,0)),0)</f>
        <v>0</v>
      </c>
      <c r="Q1001" s="9">
        <f>IF($H1001&gt;J1001, MIN($H1001-J1001, K1001-J1001)*INDEX('2018_commission_structure'!$A$1:$I$4,MATCH($E1001,'2018_commission_structure'!$A$1:$A$4,0),MATCH(Q$1,'2018_commission_structure'!$A$1:$I$1,0)),0)</f>
        <v>0</v>
      </c>
      <c r="R1001" s="9">
        <f>IF($H1001&gt;K1001, MIN($H1001-K1001, L1001-K1001)*INDEX('2018_commission_structure'!$A$1:$I$4,MATCH($E1001,'2018_commission_structure'!$A$1:$A$4,0),MATCH(R$1,'2018_commission_structure'!$A$1:$I$1,0)),0)</f>
        <v>0</v>
      </c>
      <c r="S1001" s="9">
        <f>IF(H1001&gt;L1001,(H1001-L1001)*INDEX('2018_commission_structure'!$A$1:$I$4,MATCH($E1001,'2018_commission_structure'!$A$1:$A$4,0),MATCH(S$1,'2018_commission_structure'!$A$1:$I$1,0)),0)</f>
        <v>0</v>
      </c>
      <c r="T1001" s="9">
        <f t="shared" si="158"/>
        <v>70797.899999999994</v>
      </c>
      <c r="U1001" s="9">
        <f t="shared" si="160"/>
        <v>181614.9</v>
      </c>
      <c r="V1001" s="9">
        <f>MIN($I1001,$H1001)*INDEX('Key Metrics'!$E$16:$N$19,MATCH($E1001,'Key Metrics'!$E$16:$E$19,0),MATCH(V$1,'Key Metrics'!$E$16:$M$16,0))</f>
        <v>70797.899999999994</v>
      </c>
      <c r="W1001" s="9">
        <f>IF($H1001&gt;I1001, MIN($H1001-I1001, J1001-I1001)*INDEX('Key Metrics'!$E$16:$N$19,MATCH($E1001,'Key Metrics'!$E$16:$E$19,0),MATCH(W$1,'Key Metrics'!$E$16:$M$16,0)),0)</f>
        <v>0</v>
      </c>
      <c r="X1001" s="9">
        <f>IF($H1001&gt;J1001, MIN($H1001-J1001, K1001-J1001)*INDEX('Key Metrics'!$E$16:$N$19,MATCH($E1001,'Key Metrics'!$E$16:$E$19,0),MATCH(X$1,'Key Metrics'!$E$16:$M$16,0)),0)</f>
        <v>0</v>
      </c>
      <c r="Y1001" s="9">
        <f>IF($H1001&gt;K1001, MIN($H1001-K1001, L1001-K1001)*INDEX('Key Metrics'!$E$16:$N$19,MATCH($E1001,'Key Metrics'!$E$16:$E$19,0),MATCH(Y$1,'Key Metrics'!$E$16:$M$16,0)),0)</f>
        <v>0</v>
      </c>
      <c r="Z1001" s="9">
        <f>IF($H1001&gt;L1001,($H1001-L1001)*INDEX('Key Metrics'!$E$16:$N$19,MATCH($E1001,'Key Metrics'!$E$16:$E$19,0),MATCH(Z$1,'Key Metrics'!$E$16:$M$16,0)),0)</f>
        <v>0</v>
      </c>
      <c r="AA1001" s="9">
        <f t="shared" si="159"/>
        <v>70797.899999999994</v>
      </c>
      <c r="AB1001" s="9">
        <f t="shared" si="161"/>
        <v>70798.529314666666</v>
      </c>
    </row>
  </sheetData>
  <sortState xmlns:xlrd2="http://schemas.microsoft.com/office/spreadsheetml/2017/richdata2" ref="A2:AC1001">
    <sortCondition ref="D2:D100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E0D5-EC5B-45E9-B2C8-E9DC16D3D4E9}">
  <dimension ref="A1:N36"/>
  <sheetViews>
    <sheetView zoomScale="80" zoomScaleNormal="80" workbookViewId="0">
      <selection activeCell="G10" sqref="G10"/>
    </sheetView>
  </sheetViews>
  <sheetFormatPr defaultRowHeight="14.4" x14ac:dyDescent="0.55000000000000004"/>
  <cols>
    <col min="1" max="1" width="27.1015625" style="17" bestFit="1" customWidth="1"/>
    <col min="2" max="2" width="15.62890625" style="17" bestFit="1" customWidth="1"/>
    <col min="3" max="3" width="15.3125" style="17" bestFit="1" customWidth="1"/>
    <col min="4" max="4" width="26.41796875" style="17" bestFit="1" customWidth="1"/>
    <col min="5" max="5" width="17" style="17" bestFit="1" customWidth="1"/>
    <col min="6" max="6" width="16.83984375" style="17" bestFit="1" customWidth="1"/>
    <col min="7" max="7" width="12.89453125" style="17" bestFit="1" customWidth="1"/>
    <col min="8" max="8" width="6.62890625" style="17" bestFit="1" customWidth="1"/>
    <col min="9" max="11" width="8.62890625" style="17" bestFit="1" customWidth="1"/>
    <col min="12" max="12" width="6" style="17" bestFit="1" customWidth="1"/>
    <col min="13" max="14" width="9.3125" style="17" bestFit="1" customWidth="1"/>
    <col min="15" max="16384" width="8.83984375" style="17"/>
  </cols>
  <sheetData>
    <row r="1" spans="1:14" x14ac:dyDescent="0.55000000000000004">
      <c r="A1" s="17" t="s">
        <v>22346</v>
      </c>
    </row>
    <row r="2" spans="1:14" x14ac:dyDescent="0.55000000000000004">
      <c r="A2" s="17" t="s">
        <v>22347</v>
      </c>
    </row>
    <row r="3" spans="1:14" x14ac:dyDescent="0.55000000000000004">
      <c r="A3" s="17" t="s">
        <v>22348</v>
      </c>
    </row>
    <row r="4" spans="1:14" ht="14.7" thickBot="1" x14ac:dyDescent="0.6"/>
    <row r="5" spans="1:14" ht="15" thickTop="1" thickBot="1" x14ac:dyDescent="0.6">
      <c r="E5" s="56" t="s">
        <v>22342</v>
      </c>
      <c r="F5" s="57"/>
      <c r="G5" s="57"/>
      <c r="H5" s="57"/>
      <c r="I5" s="57"/>
      <c r="J5" s="57"/>
      <c r="K5" s="57"/>
      <c r="L5" s="57"/>
      <c r="M5" s="57"/>
      <c r="N5" s="58"/>
    </row>
    <row r="6" spans="1:14" ht="15" thickTop="1" thickBot="1" x14ac:dyDescent="0.6">
      <c r="E6" s="50" t="s">
        <v>22310</v>
      </c>
      <c r="F6" s="50" t="s">
        <v>22311</v>
      </c>
      <c r="G6" s="50" t="s">
        <v>22312</v>
      </c>
      <c r="H6" s="50" t="s">
        <v>22313</v>
      </c>
      <c r="I6" s="50" t="s">
        <v>22314</v>
      </c>
      <c r="J6" s="50" t="s">
        <v>22315</v>
      </c>
      <c r="K6" s="50" t="s">
        <v>22316</v>
      </c>
      <c r="L6" s="50" t="s">
        <v>22317</v>
      </c>
      <c r="M6" s="50" t="s">
        <v>22318</v>
      </c>
      <c r="N6" s="50" t="s">
        <v>22345</v>
      </c>
    </row>
    <row r="7" spans="1:14" ht="15" thickTop="1" thickBot="1" x14ac:dyDescent="0.6">
      <c r="E7" s="50" t="s">
        <v>7</v>
      </c>
      <c r="F7" s="35">
        <v>30000</v>
      </c>
      <c r="G7" s="35">
        <v>65000</v>
      </c>
      <c r="H7" s="51">
        <v>0.1</v>
      </c>
      <c r="I7" s="51">
        <v>0.15</v>
      </c>
      <c r="J7" s="51">
        <v>0.18</v>
      </c>
      <c r="K7" s="51">
        <v>0.22</v>
      </c>
      <c r="L7" s="51">
        <v>0.1</v>
      </c>
      <c r="M7" s="35">
        <v>500000</v>
      </c>
      <c r="N7" s="32">
        <f>COUNTIF(Calculations!$E:$E,E7)</f>
        <v>310</v>
      </c>
    </row>
    <row r="8" spans="1:14" ht="15" thickTop="1" thickBot="1" x14ac:dyDescent="0.6">
      <c r="E8" s="50" t="s">
        <v>29</v>
      </c>
      <c r="F8" s="35">
        <v>50000</v>
      </c>
      <c r="G8" s="35">
        <v>80000</v>
      </c>
      <c r="H8" s="51">
        <v>0.13</v>
      </c>
      <c r="I8" s="51">
        <v>0.17</v>
      </c>
      <c r="J8" s="51">
        <v>0.21</v>
      </c>
      <c r="K8" s="51">
        <v>0.26</v>
      </c>
      <c r="L8" s="51">
        <v>0.13</v>
      </c>
      <c r="M8" s="35">
        <v>600000</v>
      </c>
      <c r="N8" s="32">
        <f>COUNTIF(Calculations!$E:$E,E8)</f>
        <v>343</v>
      </c>
    </row>
    <row r="9" spans="1:14" ht="15" thickTop="1" thickBot="1" x14ac:dyDescent="0.6">
      <c r="E9" s="50" t="s">
        <v>10</v>
      </c>
      <c r="F9" s="35">
        <v>75000</v>
      </c>
      <c r="G9" s="35">
        <v>125000</v>
      </c>
      <c r="H9" s="51">
        <v>0.15</v>
      </c>
      <c r="I9" s="51">
        <v>0.19</v>
      </c>
      <c r="J9" s="51">
        <v>0.23</v>
      </c>
      <c r="K9" s="51">
        <v>0.3</v>
      </c>
      <c r="L9" s="51">
        <v>0.15</v>
      </c>
      <c r="M9" s="35">
        <v>750000</v>
      </c>
      <c r="N9" s="32">
        <f>COUNTIF(Calculations!$E:$E,E9)</f>
        <v>347</v>
      </c>
    </row>
    <row r="10" spans="1:14" ht="14.7" thickTop="1" x14ac:dyDescent="0.55000000000000004"/>
    <row r="11" spans="1:14" ht="14.7" thickBot="1" x14ac:dyDescent="0.6"/>
    <row r="12" spans="1:14" ht="15" thickTop="1" thickBot="1" x14ac:dyDescent="0.6">
      <c r="E12" s="19" t="s">
        <v>22344</v>
      </c>
      <c r="F12" s="20">
        <v>0.3</v>
      </c>
    </row>
    <row r="13" spans="1:14" ht="15" thickTop="1" thickBot="1" x14ac:dyDescent="0.6">
      <c r="E13" s="19" t="s">
        <v>22353</v>
      </c>
      <c r="F13" s="20">
        <v>0.05</v>
      </c>
    </row>
    <row r="14" spans="1:14" ht="15" thickTop="1" thickBot="1" x14ac:dyDescent="0.6"/>
    <row r="15" spans="1:14" ht="15" thickTop="1" thickBot="1" x14ac:dyDescent="0.6">
      <c r="E15" s="21" t="s">
        <v>22343</v>
      </c>
      <c r="F15" s="22"/>
      <c r="G15" s="22"/>
      <c r="H15" s="22"/>
      <c r="I15" s="22"/>
      <c r="J15" s="22"/>
      <c r="K15" s="22"/>
      <c r="L15" s="22"/>
      <c r="M15" s="22"/>
      <c r="N15" s="23"/>
    </row>
    <row r="16" spans="1:14" ht="15" thickTop="1" thickBot="1" x14ac:dyDescent="0.6">
      <c r="E16" s="24" t="s">
        <v>22310</v>
      </c>
      <c r="F16" s="24" t="s">
        <v>22311</v>
      </c>
      <c r="G16" s="24" t="s">
        <v>22312</v>
      </c>
      <c r="H16" s="24" t="s">
        <v>22313</v>
      </c>
      <c r="I16" s="24" t="s">
        <v>22314</v>
      </c>
      <c r="J16" s="24" t="s">
        <v>22315</v>
      </c>
      <c r="K16" s="24" t="s">
        <v>22316</v>
      </c>
      <c r="L16" s="24" t="s">
        <v>22317</v>
      </c>
      <c r="M16" s="24" t="s">
        <v>22318</v>
      </c>
      <c r="N16" s="24" t="s">
        <v>22345</v>
      </c>
    </row>
    <row r="17" spans="1:14" ht="15" thickTop="1" thickBot="1" x14ac:dyDescent="0.6">
      <c r="E17" s="18" t="s">
        <v>7</v>
      </c>
      <c r="F17" s="25">
        <v>30000</v>
      </c>
      <c r="G17" s="25">
        <v>65000</v>
      </c>
      <c r="H17" s="26">
        <v>0.12</v>
      </c>
      <c r="I17" s="26">
        <v>0.17</v>
      </c>
      <c r="J17" s="26">
        <v>0.2</v>
      </c>
      <c r="K17" s="26">
        <v>0.22</v>
      </c>
      <c r="L17" s="26">
        <v>0.1</v>
      </c>
      <c r="M17" s="25">
        <v>600000</v>
      </c>
      <c r="N17" s="27">
        <v>400</v>
      </c>
    </row>
    <row r="18" spans="1:14" ht="15" thickTop="1" thickBot="1" x14ac:dyDescent="0.6">
      <c r="E18" s="18" t="s">
        <v>29</v>
      </c>
      <c r="F18" s="25">
        <v>50000</v>
      </c>
      <c r="G18" s="25">
        <v>80000</v>
      </c>
      <c r="H18" s="26">
        <v>0.15</v>
      </c>
      <c r="I18" s="26">
        <v>0.18</v>
      </c>
      <c r="J18" s="26">
        <v>0.25</v>
      </c>
      <c r="K18" s="26">
        <v>0.3</v>
      </c>
      <c r="L18" s="26">
        <v>0.13</v>
      </c>
      <c r="M18" s="25">
        <v>700000</v>
      </c>
      <c r="N18" s="27">
        <v>400</v>
      </c>
    </row>
    <row r="19" spans="1:14" ht="15" thickTop="1" thickBot="1" x14ac:dyDescent="0.6">
      <c r="E19" s="18" t="s">
        <v>10</v>
      </c>
      <c r="F19" s="25">
        <v>75000</v>
      </c>
      <c r="G19" s="25">
        <v>125000</v>
      </c>
      <c r="H19" s="26">
        <v>0.15</v>
      </c>
      <c r="I19" s="26">
        <v>0.22</v>
      </c>
      <c r="J19" s="26">
        <v>0.25</v>
      </c>
      <c r="K19" s="26">
        <v>0.33</v>
      </c>
      <c r="L19" s="26">
        <v>0.15</v>
      </c>
      <c r="M19" s="25">
        <v>800000</v>
      </c>
      <c r="N19" s="27">
        <v>400</v>
      </c>
    </row>
    <row r="20" spans="1:14" ht="14.7" thickTop="1" x14ac:dyDescent="0.55000000000000004"/>
    <row r="21" spans="1:14" ht="14.7" thickBot="1" x14ac:dyDescent="0.6"/>
    <row r="22" spans="1:14" ht="15" thickTop="1" thickBot="1" x14ac:dyDescent="0.6">
      <c r="A22" s="28"/>
      <c r="B22" s="29" t="s">
        <v>22352</v>
      </c>
      <c r="C22" s="29" t="s">
        <v>22349</v>
      </c>
      <c r="D22" s="29" t="s">
        <v>22350</v>
      </c>
      <c r="E22" s="29" t="s">
        <v>22351</v>
      </c>
      <c r="F22" s="30" t="s">
        <v>22354</v>
      </c>
    </row>
    <row r="23" spans="1:14" ht="15" thickTop="1" thickBot="1" x14ac:dyDescent="0.6">
      <c r="A23" s="31" t="s">
        <v>22330</v>
      </c>
      <c r="B23" s="32">
        <f>COUNT(Calculations!$B:$B)</f>
        <v>1000</v>
      </c>
      <c r="C23" s="33">
        <f>COUNT(Calculations!$B:$B)</f>
        <v>1000</v>
      </c>
      <c r="D23" s="33">
        <f>COUNT(Calculations!$B:$B)</f>
        <v>1000</v>
      </c>
      <c r="E23" s="34">
        <f>SUM(N17:N19)</f>
        <v>1200</v>
      </c>
      <c r="F23" s="34">
        <f>E23</f>
        <v>1200</v>
      </c>
    </row>
    <row r="24" spans="1:14" ht="15" thickTop="1" thickBot="1" x14ac:dyDescent="0.6">
      <c r="A24" s="31" t="s">
        <v>22331</v>
      </c>
      <c r="B24" s="35">
        <f>SUM(Calculations!$H:$H)</f>
        <v>699144198</v>
      </c>
      <c r="C24" s="36">
        <f>SUM(Calculations!$H:$H)*(1+$F$12)</f>
        <v>908887457.39999998</v>
      </c>
      <c r="D24" s="36">
        <f>B24*(D31/B31)</f>
        <v>766547908.11233938</v>
      </c>
      <c r="E24" s="36">
        <f>B29*E23</f>
        <v>838973037.60000002</v>
      </c>
      <c r="F24" s="37">
        <f>B24*(1+F12)+(B29*(F23-B23))+(B24*(D31/B31)-B24)</f>
        <v>1116120007.1123395</v>
      </c>
    </row>
    <row r="25" spans="1:14" ht="15" thickTop="1" thickBot="1" x14ac:dyDescent="0.6">
      <c r="A25" s="31" t="s">
        <v>22332</v>
      </c>
      <c r="B25" s="38">
        <f>SUM(Calculations!$I:$I)</f>
        <v>621050000</v>
      </c>
      <c r="C25" s="39">
        <f>(M17*N7)+(M18*N8)+(M19*N9)</f>
        <v>703700000</v>
      </c>
      <c r="D25" s="39">
        <f>B25</f>
        <v>621050000</v>
      </c>
      <c r="E25" s="39">
        <f>SUMPRODUCT($M$7:$M$9,$N$17:$N$19)</f>
        <v>740000000</v>
      </c>
      <c r="F25" s="40">
        <f>SUMPRODUCT(M17:M19,N17:N19)</f>
        <v>840000000</v>
      </c>
    </row>
    <row r="26" spans="1:14" ht="15" thickTop="1" thickBot="1" x14ac:dyDescent="0.6">
      <c r="A26" s="31" t="s">
        <v>22333</v>
      </c>
      <c r="B26" s="41">
        <f>B24/B25</f>
        <v>1.1257454279043555</v>
      </c>
      <c r="C26" s="42">
        <f>C24/C25</f>
        <v>1.2915837109563735</v>
      </c>
      <c r="D26" s="42">
        <f>D24/D25</f>
        <v>1.2342772854236204</v>
      </c>
      <c r="E26" s="42">
        <f>E24/E25</f>
        <v>1.1337473481081082</v>
      </c>
      <c r="F26" s="42">
        <f>F24/F25</f>
        <v>1.3287142941813566</v>
      </c>
    </row>
    <row r="27" spans="1:14" ht="15" thickTop="1" thickBot="1" x14ac:dyDescent="0.6">
      <c r="A27" s="31" t="s">
        <v>22334</v>
      </c>
      <c r="B27" s="43">
        <f>SUM(Calculations!$G:$G)</f>
        <v>20000</v>
      </c>
      <c r="C27" s="44">
        <f>C24/B28</f>
        <v>25999.999999999996</v>
      </c>
      <c r="D27" s="44">
        <f>B27</f>
        <v>20000</v>
      </c>
      <c r="E27" s="44">
        <f>E24/E28</f>
        <v>24000</v>
      </c>
      <c r="F27" s="45">
        <f>(C27-B27)+D27+(E27-B27)</f>
        <v>29999.999999999996</v>
      </c>
    </row>
    <row r="28" spans="1:14" ht="15" thickTop="1" thickBot="1" x14ac:dyDescent="0.6">
      <c r="A28" s="31" t="s">
        <v>22335</v>
      </c>
      <c r="B28" s="46">
        <f>B24/B27</f>
        <v>34957.209900000002</v>
      </c>
      <c r="C28" s="47">
        <f>C24/C27</f>
        <v>34957.209900000002</v>
      </c>
      <c r="D28" s="47">
        <f>D24/D27</f>
        <v>38327.395405616968</v>
      </c>
      <c r="E28" s="47">
        <f>B28</f>
        <v>34957.209900000002</v>
      </c>
      <c r="F28" s="47">
        <f>B28</f>
        <v>34957.209900000002</v>
      </c>
    </row>
    <row r="29" spans="1:14" ht="15" thickTop="1" thickBot="1" x14ac:dyDescent="0.6">
      <c r="A29" s="31" t="s">
        <v>22336</v>
      </c>
      <c r="B29" s="46">
        <f>B24/B23</f>
        <v>699144.19799999997</v>
      </c>
      <c r="C29" s="47">
        <f>C24/B23</f>
        <v>908887.45739999996</v>
      </c>
      <c r="D29" s="47">
        <f>D24/D23</f>
        <v>766547.90811233933</v>
      </c>
      <c r="E29" s="47">
        <f>B29</f>
        <v>699144.19799999997</v>
      </c>
      <c r="F29" s="47">
        <f>B29</f>
        <v>699144.19799999997</v>
      </c>
    </row>
    <row r="30" spans="1:14" ht="15" thickTop="1" thickBot="1" x14ac:dyDescent="0.6">
      <c r="A30" s="31" t="s">
        <v>22337</v>
      </c>
      <c r="B30" s="38">
        <f>SUM(Calculations!$F:$F)</f>
        <v>72011493</v>
      </c>
      <c r="C30" s="39">
        <f>SUM(Calculations!$F:$F)</f>
        <v>72011493</v>
      </c>
      <c r="D30" s="39">
        <f>B30*(1+F13)</f>
        <v>75612067.650000006</v>
      </c>
      <c r="E30" s="39">
        <f>(B30/B23)*E23</f>
        <v>86413791.600000009</v>
      </c>
      <c r="F30" s="48">
        <f>(B30/B23)*E23*(1+F13)</f>
        <v>90734481.180000007</v>
      </c>
    </row>
    <row r="31" spans="1:14" ht="15" thickTop="1" thickBot="1" x14ac:dyDescent="0.6">
      <c r="A31" s="31" t="s">
        <v>22329</v>
      </c>
      <c r="B31" s="49">
        <f>SUM(Calculations!$T:$T)</f>
        <v>97337772.800000057</v>
      </c>
      <c r="C31" s="48">
        <f>B32*C27</f>
        <v>126539104.64000006</v>
      </c>
      <c r="D31" s="48">
        <f>SUM(Calculations!$AA:$AA)</f>
        <v>106721998.60000013</v>
      </c>
      <c r="E31" s="48">
        <f>E32*E27</f>
        <v>116805327.36000007</v>
      </c>
      <c r="F31" s="40">
        <f>F32*F27</f>
        <v>146006659.20000008</v>
      </c>
    </row>
    <row r="32" spans="1:14" ht="15" thickTop="1" thickBot="1" x14ac:dyDescent="0.6">
      <c r="A32" s="31" t="s">
        <v>22338</v>
      </c>
      <c r="B32" s="49">
        <f>B31/B27</f>
        <v>4866.8886400000029</v>
      </c>
      <c r="C32" s="48">
        <f>C31/C27</f>
        <v>4866.8886400000029</v>
      </c>
      <c r="D32" s="48">
        <f>D31/D27</f>
        <v>5336.0999300000067</v>
      </c>
      <c r="E32" s="48">
        <f>B32</f>
        <v>4866.8886400000029</v>
      </c>
      <c r="F32" s="48">
        <f>B32</f>
        <v>4866.8886400000029</v>
      </c>
    </row>
    <row r="33" spans="1:6" ht="15" thickTop="1" thickBot="1" x14ac:dyDescent="0.6">
      <c r="A33" s="31" t="s">
        <v>22339</v>
      </c>
      <c r="B33" s="49">
        <f>B30+B31</f>
        <v>169349265.80000007</v>
      </c>
      <c r="C33" s="48">
        <f>C30+C31</f>
        <v>198550597.64000005</v>
      </c>
      <c r="D33" s="48">
        <f>D30+D31</f>
        <v>182334066.25000012</v>
      </c>
      <c r="E33" s="48">
        <f>E30+E31</f>
        <v>203219118.9600001</v>
      </c>
      <c r="F33" s="48">
        <f>F30+F31</f>
        <v>236741140.38000008</v>
      </c>
    </row>
    <row r="34" spans="1:6" ht="15" thickTop="1" thickBot="1" x14ac:dyDescent="0.6">
      <c r="A34" s="31" t="s">
        <v>22340</v>
      </c>
      <c r="B34" s="46">
        <f>B24-B33</f>
        <v>529794932.19999993</v>
      </c>
      <c r="C34" s="47">
        <f>C24-C33</f>
        <v>710336859.75999999</v>
      </c>
      <c r="D34" s="47">
        <f>D24-D33</f>
        <v>584213841.86233926</v>
      </c>
      <c r="E34" s="47">
        <f>E24-E33</f>
        <v>635753918.63999987</v>
      </c>
      <c r="F34" s="47">
        <f>F24-F33</f>
        <v>879378866.73233938</v>
      </c>
    </row>
    <row r="35" spans="1:6" ht="15" thickTop="1" thickBot="1" x14ac:dyDescent="0.6">
      <c r="A35" s="31" t="s">
        <v>22341</v>
      </c>
      <c r="B35" s="46">
        <f>B34/B23</f>
        <v>529794.93219999992</v>
      </c>
      <c r="C35" s="47">
        <f>C34/B23</f>
        <v>710336.85976000002</v>
      </c>
      <c r="D35" s="47">
        <f>D34/D23</f>
        <v>584213.84186233929</v>
      </c>
      <c r="E35" s="47">
        <f>E34/E23</f>
        <v>529794.93219999992</v>
      </c>
      <c r="F35" s="47">
        <f>F34/F23</f>
        <v>732815.72227694944</v>
      </c>
    </row>
    <row r="36" spans="1:6" ht="14.7" thickTop="1" x14ac:dyDescent="0.55000000000000004"/>
  </sheetData>
  <sheetProtection sheet="1" selectLockedCells="1"/>
  <mergeCells count="1">
    <mergeCell ref="E5:N5"/>
  </mergeCells>
  <dataValidations count="3">
    <dataValidation type="decimal" allowBlank="1" showInputMessage="1" showErrorMessage="1" errorTitle="Growth Rate Assumption" error="Growth rate must be between 0 and 100 percent." promptTitle="Growth Rate Assumption" prompt="Growth rate must be between 0 and 100 percent." sqref="F12" xr:uid="{F83A46E9-B616-4C11-850C-5A6FE9EF22C2}">
      <formula1>0</formula1>
      <formula2>1</formula2>
    </dataValidation>
    <dataValidation type="decimal" allowBlank="1" showInputMessage="1" showErrorMessage="1" sqref="F13" xr:uid="{EBD6DA03-9469-4ACF-995B-19A4F4C67C44}">
      <formula1>0</formula1>
      <formula2>0.2</formula2>
    </dataValidation>
    <dataValidation type="decimal" allowBlank="1" showInputMessage="1" showErrorMessage="1" sqref="H17:L19" xr:uid="{82A2A956-0D65-4C4A-A8B9-75E65DE7DE4C}">
      <formula1>0</formula1>
      <formula2>0.5</formula2>
    </dataValidation>
  </dataValidations>
  <pageMargins left="0.7" right="0.7" top="0.75" bottom="0.75" header="0.3" footer="0.3"/>
  <pageSetup orientation="portrait" r:id="rId1"/>
  <ignoredErrors>
    <ignoredError sqref="C24:C25 C27 C29 C31 C35 D30 D26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A8555-91CA-4083-B803-4B17FAF623D4}">
  <dimension ref="B1:T15"/>
  <sheetViews>
    <sheetView showGridLines="0" workbookViewId="0">
      <selection activeCell="F10" sqref="F10"/>
    </sheetView>
  </sheetViews>
  <sheetFormatPr defaultRowHeight="14.4" x14ac:dyDescent="0.55000000000000004"/>
  <cols>
    <col min="2" max="2" width="22.1015625" bestFit="1" customWidth="1"/>
    <col min="3" max="3" width="19.7890625" bestFit="1" customWidth="1"/>
    <col min="4" max="4" width="17" bestFit="1" customWidth="1"/>
  </cols>
  <sheetData>
    <row r="1" spans="2:20" ht="14.7" thickBot="1" x14ac:dyDescent="0.6"/>
    <row r="2" spans="2:20" ht="15" thickTop="1" thickBot="1" x14ac:dyDescent="0.6">
      <c r="B2" s="62" t="s">
        <v>22355</v>
      </c>
      <c r="C2" s="14" t="s">
        <v>22356</v>
      </c>
      <c r="D2" s="14" t="s">
        <v>22358</v>
      </c>
    </row>
    <row r="3" spans="2:20" ht="15" thickTop="1" thickBot="1" x14ac:dyDescent="0.6">
      <c r="B3" s="62"/>
      <c r="C3" s="14" t="s">
        <v>22357</v>
      </c>
      <c r="D3" s="14" t="str">
        <f>VLOOKUP(D2,Calculations!A:F,5,FALSE)</f>
        <v>Account Executive III</v>
      </c>
    </row>
    <row r="4" spans="2:20" ht="15" thickTop="1" thickBot="1" x14ac:dyDescent="0.6"/>
    <row r="5" spans="2:20" ht="15" thickTop="1" thickBot="1" x14ac:dyDescent="0.6">
      <c r="B5" s="61" t="s">
        <v>22359</v>
      </c>
      <c r="C5" s="14" t="s">
        <v>22360</v>
      </c>
      <c r="D5" s="16">
        <f>VLOOKUP(D2,Calculations!A:F,6,FALSE)</f>
        <v>80760</v>
      </c>
    </row>
    <row r="6" spans="2:20" ht="15" thickTop="1" thickBot="1" x14ac:dyDescent="0.6">
      <c r="B6" s="61"/>
      <c r="C6" s="14" t="s">
        <v>22361</v>
      </c>
      <c r="D6" s="16">
        <f>VLOOKUP(D2,Calculations!A:U,20,FALSE)</f>
        <v>139368.28</v>
      </c>
    </row>
    <row r="7" spans="2:20" ht="15" thickTop="1" thickBot="1" x14ac:dyDescent="0.6">
      <c r="B7" s="61"/>
      <c r="C7" s="14" t="s">
        <v>22362</v>
      </c>
      <c r="D7" s="16">
        <f>D5+D6</f>
        <v>220128.28</v>
      </c>
    </row>
    <row r="8" spans="2:20" ht="15" thickTop="1" thickBot="1" x14ac:dyDescent="0.6"/>
    <row r="9" spans="2:20" ht="15" thickTop="1" thickBot="1" x14ac:dyDescent="0.6">
      <c r="B9" s="61" t="s">
        <v>22363</v>
      </c>
      <c r="C9" s="14" t="s">
        <v>22364</v>
      </c>
      <c r="D9" s="16">
        <f>VLOOKUP(D3,benchmark_data!A1:D4,2,FALSE)</f>
        <v>85000</v>
      </c>
    </row>
    <row r="10" spans="2:20" ht="15" thickTop="1" thickBot="1" x14ac:dyDescent="0.6">
      <c r="B10" s="61"/>
      <c r="C10" s="14" t="s">
        <v>22321</v>
      </c>
      <c r="D10" s="16">
        <f>VLOOKUP(D3,benchmark_data!A1:D4,3,FALSE)</f>
        <v>125000</v>
      </c>
    </row>
    <row r="11" spans="2:20" ht="15" thickTop="1" thickBot="1" x14ac:dyDescent="0.6">
      <c r="B11" s="61"/>
      <c r="C11" s="14" t="s">
        <v>22322</v>
      </c>
      <c r="D11" s="16">
        <f>D9+D10</f>
        <v>210000</v>
      </c>
    </row>
    <row r="12" spans="2:20" ht="14.7" thickTop="1" x14ac:dyDescent="0.55000000000000004"/>
    <row r="14" spans="2:20" ht="18.3" x14ac:dyDescent="0.7">
      <c r="B14" s="59" t="str">
        <f>D2</f>
        <v>Bertie Turpey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</row>
    <row r="15" spans="2:20" x14ac:dyDescent="0.55000000000000004">
      <c r="B15" s="60" t="str">
        <f>D3</f>
        <v>Account Executive III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</row>
  </sheetData>
  <mergeCells count="5">
    <mergeCell ref="B14:T14"/>
    <mergeCell ref="B15:T15"/>
    <mergeCell ref="B9:B11"/>
    <mergeCell ref="B5:B7"/>
    <mergeCell ref="B2:B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BEB75A-5D84-4ED1-B4CC-D9AA5E05CD4A}">
          <x14:formula1>
            <xm:f>Calculations!$A:$A</xm:f>
          </x14:formula1>
          <xm:sqref>D2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5CE6-E3FF-49E8-ACC8-E00F041C2F32}">
  <dimension ref="B1:T15"/>
  <sheetViews>
    <sheetView showGridLines="0" topLeftCell="B1" workbookViewId="0">
      <selection activeCell="D2" sqref="D2"/>
    </sheetView>
  </sheetViews>
  <sheetFormatPr defaultRowHeight="14.4" x14ac:dyDescent="0.55000000000000004"/>
  <cols>
    <col min="1" max="1" width="8.83984375" style="28"/>
    <col min="2" max="2" width="22.1015625" style="28" bestFit="1" customWidth="1"/>
    <col min="3" max="3" width="19.7890625" style="28" bestFit="1" customWidth="1"/>
    <col min="4" max="4" width="17" style="28" bestFit="1" customWidth="1"/>
    <col min="5" max="5" width="8.83984375" style="28"/>
    <col min="6" max="6" width="22.7890625" style="28" bestFit="1" customWidth="1"/>
    <col min="7" max="7" width="19.7890625" style="28" bestFit="1" customWidth="1"/>
    <col min="8" max="8" width="17" style="28" bestFit="1" customWidth="1"/>
    <col min="9" max="9" width="8.83984375" style="28"/>
    <col min="10" max="10" width="17.578125" style="28" bestFit="1" customWidth="1"/>
    <col min="11" max="11" width="16.47265625" style="28" bestFit="1" customWidth="1"/>
    <col min="12" max="13" width="17.26171875" style="28" bestFit="1" customWidth="1"/>
    <col min="14" max="16384" width="8.83984375" style="28"/>
  </cols>
  <sheetData>
    <row r="1" spans="2:20" ht="14.7" thickBot="1" x14ac:dyDescent="0.6"/>
    <row r="2" spans="2:20" ht="15" thickTop="1" thickBot="1" x14ac:dyDescent="0.6">
      <c r="B2" s="65" t="s">
        <v>22355</v>
      </c>
      <c r="C2" s="31" t="s">
        <v>22356</v>
      </c>
      <c r="D2" s="31" t="s">
        <v>22358</v>
      </c>
      <c r="F2" s="65" t="s">
        <v>22355</v>
      </c>
      <c r="G2" s="31" t="s">
        <v>22356</v>
      </c>
      <c r="H2" s="31" t="str">
        <f>$D$2</f>
        <v>Bertie Turpey</v>
      </c>
      <c r="J2" s="31"/>
      <c r="K2" s="31" t="s">
        <v>22369</v>
      </c>
      <c r="L2" s="31" t="s">
        <v>22368</v>
      </c>
    </row>
    <row r="3" spans="2:20" ht="15" thickTop="1" thickBot="1" x14ac:dyDescent="0.6">
      <c r="B3" s="65"/>
      <c r="C3" s="31" t="s">
        <v>22357</v>
      </c>
      <c r="D3" s="31" t="str">
        <f>VLOOKUP(D2,Calculations!$A:$F,5,FALSE)</f>
        <v>Account Executive III</v>
      </c>
      <c r="F3" s="65"/>
      <c r="G3" s="31" t="s">
        <v>22357</v>
      </c>
      <c r="H3" s="31" t="str">
        <f>VLOOKUP(H2,Calculations!$A:$F,5,FALSE)</f>
        <v>Account Executive III</v>
      </c>
      <c r="J3" s="52" t="s">
        <v>7</v>
      </c>
      <c r="K3" s="53">
        <f>AVERAGEIF(Calculations!$E:$E,$J3,Calculations!$F:$F)</f>
        <v>47025.909677419353</v>
      </c>
      <c r="L3" s="53">
        <f>AVERAGEIF(Calculations!$E:$E,$J3,Calculations!$T:$T)</f>
        <v>84322.002258064458</v>
      </c>
    </row>
    <row r="4" spans="2:20" ht="15" thickTop="1" thickBot="1" x14ac:dyDescent="0.6">
      <c r="J4" s="52" t="s">
        <v>29</v>
      </c>
      <c r="K4" s="53">
        <f>AVERAGEIF(Calculations!$E:$E,$J4,Calculations!$F:$F)</f>
        <v>65493.15160349854</v>
      </c>
      <c r="L4" s="53">
        <f>AVERAGEIF(Calculations!$E:$E,$J4,Calculations!$T:$T)</f>
        <v>100431.13081632661</v>
      </c>
    </row>
    <row r="5" spans="2:20" ht="15" thickTop="1" thickBot="1" x14ac:dyDescent="0.6">
      <c r="B5" s="66" t="s">
        <v>22367</v>
      </c>
      <c r="C5" s="31" t="s">
        <v>22360</v>
      </c>
      <c r="D5" s="53">
        <f>VLOOKUP(D2,Calculations!$A:$F,6,FALSE)</f>
        <v>80760</v>
      </c>
      <c r="F5" s="66" t="s">
        <v>22366</v>
      </c>
      <c r="G5" s="31" t="s">
        <v>22360</v>
      </c>
      <c r="H5" s="53">
        <f>VLOOKUP($H$3,$J$2:$L$5,2,FALSE)</f>
        <v>100776.10951008646</v>
      </c>
      <c r="J5" s="52" t="s">
        <v>10</v>
      </c>
      <c r="K5" s="53">
        <f>AVERAGEIF(Calculations!$E:$E,$J5,Calculations!$F:$F)</f>
        <v>100776.10951008646</v>
      </c>
      <c r="L5" s="53">
        <f>AVERAGEIF(Calculations!$E:$E,$J5,Calculations!$T:$T)</f>
        <v>105907.99489913539</v>
      </c>
    </row>
    <row r="6" spans="2:20" ht="15" thickTop="1" thickBot="1" x14ac:dyDescent="0.6">
      <c r="B6" s="66"/>
      <c r="C6" s="31" t="s">
        <v>22361</v>
      </c>
      <c r="D6" s="53">
        <f>VLOOKUP(D2,Calculations!$A:$U,20,FALSE)</f>
        <v>139368.28</v>
      </c>
      <c r="F6" s="66"/>
      <c r="G6" s="31" t="s">
        <v>22361</v>
      </c>
      <c r="H6" s="53">
        <f>VLOOKUP($H$3,$J$2:$L$5,3,FALSE)</f>
        <v>105907.99489913539</v>
      </c>
    </row>
    <row r="7" spans="2:20" ht="15" thickTop="1" thickBot="1" x14ac:dyDescent="0.6">
      <c r="B7" s="66"/>
      <c r="C7" s="31" t="s">
        <v>22362</v>
      </c>
      <c r="D7" s="53">
        <f>D5+D6</f>
        <v>220128.28</v>
      </c>
      <c r="F7" s="66"/>
      <c r="G7" s="31" t="s">
        <v>22362</v>
      </c>
      <c r="H7" s="53">
        <f>H5+H6</f>
        <v>206684.10440922185</v>
      </c>
    </row>
    <row r="8" spans="2:20" ht="15" thickTop="1" thickBot="1" x14ac:dyDescent="0.6"/>
    <row r="9" spans="2:20" ht="15" thickTop="1" thickBot="1" x14ac:dyDescent="0.6">
      <c r="B9" s="66" t="s">
        <v>22363</v>
      </c>
      <c r="C9" s="31" t="s">
        <v>22364</v>
      </c>
      <c r="D9" s="53">
        <f>VLOOKUP(D3,benchmark_data!$A$1:$D$10,2,FALSE)</f>
        <v>85000</v>
      </c>
      <c r="F9" s="66" t="s">
        <v>22363</v>
      </c>
      <c r="G9" s="31" t="s">
        <v>22364</v>
      </c>
      <c r="H9" s="53">
        <f>VLOOKUP(H3,benchmark_data!$A$1:$D$10,2,FALSE)</f>
        <v>85000</v>
      </c>
    </row>
    <row r="10" spans="2:20" ht="15" thickTop="1" thickBot="1" x14ac:dyDescent="0.6">
      <c r="B10" s="66"/>
      <c r="C10" s="31" t="s">
        <v>22321</v>
      </c>
      <c r="D10" s="53">
        <f>VLOOKUP(D3,benchmark_data!$A$1:$D$4,3,FALSE)</f>
        <v>125000</v>
      </c>
      <c r="F10" s="66"/>
      <c r="G10" s="31" t="s">
        <v>22321</v>
      </c>
      <c r="H10" s="53">
        <f>VLOOKUP(H3,benchmark_data!$A$1:$D$4,3,FALSE)</f>
        <v>125000</v>
      </c>
    </row>
    <row r="11" spans="2:20" ht="15" thickTop="1" thickBot="1" x14ac:dyDescent="0.6">
      <c r="B11" s="66"/>
      <c r="C11" s="31" t="s">
        <v>22322</v>
      </c>
      <c r="D11" s="53">
        <f>D9+D10</f>
        <v>210000</v>
      </c>
      <c r="F11" s="66"/>
      <c r="G11" s="31" t="s">
        <v>22322</v>
      </c>
      <c r="H11" s="53">
        <f>H9+H10</f>
        <v>210000</v>
      </c>
    </row>
    <row r="12" spans="2:20" ht="14.7" thickTop="1" x14ac:dyDescent="0.55000000000000004"/>
    <row r="14" spans="2:20" ht="18.3" x14ac:dyDescent="0.7">
      <c r="B14" s="63" t="str">
        <f>D2</f>
        <v>Bertie Turpey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54"/>
      <c r="P14" s="54"/>
      <c r="Q14" s="54"/>
      <c r="R14" s="54"/>
      <c r="S14" s="54"/>
      <c r="T14" s="54"/>
    </row>
    <row r="15" spans="2:20" x14ac:dyDescent="0.55000000000000004">
      <c r="B15" s="64" t="str">
        <f>D3</f>
        <v>Account Executive III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55"/>
      <c r="P15" s="55"/>
      <c r="Q15" s="55"/>
      <c r="R15" s="55"/>
      <c r="S15" s="55"/>
      <c r="T15" s="55"/>
    </row>
  </sheetData>
  <sheetProtection sheet="1"/>
  <mergeCells count="8">
    <mergeCell ref="B14:N14"/>
    <mergeCell ref="B15:N15"/>
    <mergeCell ref="B2:B3"/>
    <mergeCell ref="B5:B7"/>
    <mergeCell ref="B9:B11"/>
    <mergeCell ref="F2:F3"/>
    <mergeCell ref="F5:F7"/>
    <mergeCell ref="F9:F1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409431-ADD2-4876-A0D5-C8D4AA65B006}">
          <x14:formula1>
            <xm:f>Calculations!$A:$A</xm:f>
          </x14:formula1>
          <xm:sqref>D2 H2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POWER POINT (1)</vt:lpstr>
      <vt:lpstr>POWER POINT (2)</vt:lpstr>
      <vt:lpstr>POWER POINT (3)</vt:lpstr>
      <vt:lpstr>base_salary</vt:lpstr>
      <vt:lpstr>deals_closed</vt:lpstr>
      <vt:lpstr>2018_commission_structure</vt:lpstr>
      <vt:lpstr>benchmark_data</vt:lpstr>
      <vt:lpstr>Calculations</vt:lpstr>
      <vt:lpstr>Key Metrics</vt:lpstr>
      <vt:lpstr>Employee Database</vt:lpstr>
      <vt:lpstr>Job Title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Brent Bogan</cp:lastModifiedBy>
  <dcterms:created xsi:type="dcterms:W3CDTF">2019-01-22T23:52:44Z</dcterms:created>
  <dcterms:modified xsi:type="dcterms:W3CDTF">2020-09-29T15:33:20Z</dcterms:modified>
</cp:coreProperties>
</file>