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\Documents\Uni\Renewables\"/>
    </mc:Choice>
  </mc:AlternateContent>
  <xr:revisionPtr revIDLastSave="0" documentId="13_ncr:1_{A5286A4F-8385-4B95-BB20-AE0E0D2DBCD6}" xr6:coauthVersionLast="47" xr6:coauthVersionMax="47" xr10:uidLastSave="{00000000-0000-0000-0000-000000000000}"/>
  <bookViews>
    <workbookView xWindow="0" yWindow="0" windowWidth="23895" windowHeight="21600" activeTab="2" xr2:uid="{A033D376-184D-4DE7-A73B-FFC1184C6F62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4" i="4"/>
  <c r="O185" i="2"/>
  <c r="O169" i="2"/>
  <c r="O153" i="2"/>
  <c r="O137" i="2"/>
  <c r="O121" i="2"/>
  <c r="O107" i="2"/>
  <c r="O93" i="2"/>
  <c r="O79" i="2"/>
  <c r="O65" i="2"/>
  <c r="O51" i="2"/>
  <c r="O35" i="2"/>
  <c r="O19" i="2"/>
  <c r="O111" i="2"/>
  <c r="P111" i="2"/>
  <c r="O110" i="2"/>
  <c r="P110" i="2"/>
  <c r="O82" i="2"/>
  <c r="O81" i="2"/>
  <c r="P82" i="2"/>
  <c r="P81" i="2"/>
  <c r="P69" i="2"/>
  <c r="O69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70" i="2"/>
  <c r="O71" i="2"/>
  <c r="O72" i="2"/>
  <c r="O73" i="2"/>
  <c r="O74" i="2"/>
  <c r="O75" i="2"/>
  <c r="O76" i="2"/>
  <c r="O77" i="2"/>
  <c r="O78" i="2"/>
  <c r="O80" i="2"/>
  <c r="O83" i="2"/>
  <c r="O84" i="2"/>
  <c r="O85" i="2"/>
  <c r="O86" i="2"/>
  <c r="O87" i="2"/>
  <c r="O88" i="2"/>
  <c r="O89" i="2"/>
  <c r="O90" i="2"/>
  <c r="O91" i="2"/>
  <c r="O92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8" i="2"/>
  <c r="O109" i="2"/>
  <c r="O112" i="2"/>
  <c r="O113" i="2"/>
  <c r="O114" i="2"/>
  <c r="O115" i="2"/>
  <c r="O116" i="2"/>
  <c r="O117" i="2"/>
  <c r="O118" i="2"/>
  <c r="O119" i="2"/>
  <c r="O120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4" i="2"/>
  <c r="N111" i="2"/>
  <c r="N110" i="2"/>
  <c r="N82" i="2"/>
  <c r="N81" i="2"/>
  <c r="M68" i="2"/>
  <c r="L170" i="2"/>
  <c r="L184" i="2"/>
  <c r="L154" i="2"/>
  <c r="L168" i="2"/>
  <c r="L138" i="2"/>
  <c r="L152" i="2"/>
  <c r="L122" i="2"/>
  <c r="L136" i="2"/>
  <c r="L108" i="2"/>
  <c r="L120" i="2"/>
  <c r="L94" i="2"/>
  <c r="L106" i="2"/>
  <c r="L80" i="2"/>
  <c r="L92" i="2"/>
  <c r="L66" i="2"/>
  <c r="L78" i="2"/>
  <c r="L64" i="2"/>
  <c r="L52" i="2"/>
  <c r="L36" i="2"/>
  <c r="L50" i="2"/>
  <c r="L20" i="2"/>
  <c r="L34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70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55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39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23" i="2"/>
  <c r="K110" i="2"/>
  <c r="K111" i="2"/>
  <c r="K112" i="2"/>
  <c r="K113" i="2"/>
  <c r="K114" i="2"/>
  <c r="K115" i="2"/>
  <c r="K116" i="2"/>
  <c r="K117" i="2"/>
  <c r="K118" i="2"/>
  <c r="K119" i="2"/>
  <c r="K109" i="2"/>
  <c r="J110" i="2"/>
  <c r="J111" i="2"/>
  <c r="J112" i="2"/>
  <c r="J113" i="2"/>
  <c r="J114" i="2"/>
  <c r="J115" i="2"/>
  <c r="J116" i="2"/>
  <c r="J117" i="2"/>
  <c r="J118" i="2"/>
  <c r="J119" i="2"/>
  <c r="J109" i="2"/>
  <c r="K96" i="2"/>
  <c r="K97" i="2"/>
  <c r="K98" i="2"/>
  <c r="K99" i="2"/>
  <c r="K100" i="2"/>
  <c r="K101" i="2"/>
  <c r="K102" i="2"/>
  <c r="K103" i="2"/>
  <c r="K104" i="2"/>
  <c r="K105" i="2"/>
  <c r="K95" i="2"/>
  <c r="J96" i="2"/>
  <c r="J97" i="2"/>
  <c r="J98" i="2"/>
  <c r="J99" i="2"/>
  <c r="J100" i="2"/>
  <c r="J101" i="2"/>
  <c r="J102" i="2"/>
  <c r="J103" i="2"/>
  <c r="J104" i="2"/>
  <c r="J105" i="2"/>
  <c r="J95" i="2"/>
  <c r="K82" i="2"/>
  <c r="K83" i="2"/>
  <c r="K84" i="2"/>
  <c r="K85" i="2"/>
  <c r="K86" i="2"/>
  <c r="K87" i="2"/>
  <c r="K88" i="2"/>
  <c r="K89" i="2"/>
  <c r="K90" i="2"/>
  <c r="K91" i="2"/>
  <c r="K81" i="2"/>
  <c r="J82" i="2"/>
  <c r="J83" i="2"/>
  <c r="J84" i="2"/>
  <c r="J85" i="2"/>
  <c r="J86" i="2"/>
  <c r="J87" i="2"/>
  <c r="J88" i="2"/>
  <c r="J89" i="2"/>
  <c r="J90" i="2"/>
  <c r="J91" i="2"/>
  <c r="J81" i="2"/>
  <c r="K68" i="2"/>
  <c r="K69" i="2"/>
  <c r="K70" i="2"/>
  <c r="K71" i="2"/>
  <c r="K72" i="2"/>
  <c r="K73" i="2"/>
  <c r="K74" i="2"/>
  <c r="K75" i="2"/>
  <c r="K76" i="2"/>
  <c r="K77" i="2"/>
  <c r="K67" i="2"/>
  <c r="J68" i="2"/>
  <c r="J69" i="2"/>
  <c r="J70" i="2"/>
  <c r="J71" i="2"/>
  <c r="J72" i="2"/>
  <c r="J73" i="2"/>
  <c r="J74" i="2"/>
  <c r="J75" i="2"/>
  <c r="J76" i="2"/>
  <c r="J77" i="2"/>
  <c r="J67" i="2"/>
  <c r="K54" i="2"/>
  <c r="K55" i="2"/>
  <c r="K56" i="2"/>
  <c r="K57" i="2"/>
  <c r="K58" i="2"/>
  <c r="K59" i="2"/>
  <c r="K60" i="2"/>
  <c r="K61" i="2"/>
  <c r="K62" i="2"/>
  <c r="K63" i="2"/>
  <c r="K53" i="2"/>
  <c r="J54" i="2"/>
  <c r="J55" i="2"/>
  <c r="J56" i="2"/>
  <c r="J57" i="2"/>
  <c r="J58" i="2"/>
  <c r="J59" i="2"/>
  <c r="J60" i="2"/>
  <c r="J61" i="2"/>
  <c r="J62" i="2"/>
  <c r="J63" i="2"/>
  <c r="J53" i="2"/>
  <c r="K38" i="2"/>
  <c r="K39" i="2"/>
  <c r="K40" i="2"/>
  <c r="K41" i="2"/>
  <c r="K42" i="2"/>
  <c r="K43" i="2"/>
  <c r="K44" i="2"/>
  <c r="K45" i="2"/>
  <c r="K46" i="2"/>
  <c r="K47" i="2"/>
  <c r="K48" i="2"/>
  <c r="K49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37" i="2"/>
  <c r="K22" i="2"/>
  <c r="K23" i="2"/>
  <c r="K24" i="2"/>
  <c r="K25" i="2"/>
  <c r="K26" i="2"/>
  <c r="K27" i="2"/>
  <c r="K28" i="2"/>
  <c r="K29" i="2"/>
  <c r="K30" i="2"/>
  <c r="K31" i="2"/>
  <c r="K32" i="2"/>
  <c r="K33" i="2"/>
  <c r="J22" i="2"/>
  <c r="J23" i="2"/>
  <c r="J24" i="2"/>
  <c r="J25" i="2"/>
  <c r="J26" i="2"/>
  <c r="J27" i="2"/>
  <c r="J28" i="2"/>
  <c r="J29" i="2"/>
  <c r="J30" i="2"/>
  <c r="J31" i="2"/>
  <c r="J32" i="2"/>
  <c r="J33" i="2"/>
  <c r="K21" i="2"/>
  <c r="J21" i="2"/>
  <c r="K6" i="2"/>
  <c r="K7" i="2"/>
  <c r="K8" i="2"/>
  <c r="K9" i="2"/>
  <c r="K10" i="2"/>
  <c r="K11" i="2"/>
  <c r="K12" i="2"/>
  <c r="K13" i="2"/>
  <c r="K14" i="2"/>
  <c r="K15" i="2"/>
  <c r="K16" i="2"/>
  <c r="K17" i="2"/>
  <c r="J6" i="2"/>
  <c r="J7" i="2"/>
  <c r="J8" i="2"/>
  <c r="J9" i="2"/>
  <c r="J10" i="2"/>
  <c r="J11" i="2"/>
  <c r="J12" i="2"/>
  <c r="J13" i="2"/>
  <c r="J14" i="2"/>
  <c r="J15" i="2"/>
  <c r="J16" i="2"/>
  <c r="J17" i="2"/>
  <c r="J5" i="2"/>
  <c r="K5" i="2"/>
  <c r="G177" i="2"/>
  <c r="G182" i="2"/>
  <c r="I182" i="2" s="1"/>
  <c r="G170" i="2"/>
  <c r="F170" i="2" s="1"/>
  <c r="C184" i="2"/>
  <c r="D184" i="2" s="1"/>
  <c r="D183" i="2"/>
  <c r="D182" i="2"/>
  <c r="D181" i="2"/>
  <c r="D180" i="2"/>
  <c r="D179" i="2"/>
  <c r="G179" i="2" s="1"/>
  <c r="D178" i="2"/>
  <c r="G178" i="2" s="1"/>
  <c r="D177" i="2"/>
  <c r="D176" i="2"/>
  <c r="D175" i="2"/>
  <c r="D174" i="2"/>
  <c r="G174" i="2" s="1"/>
  <c r="D173" i="2"/>
  <c r="G173" i="2" s="1"/>
  <c r="D172" i="2"/>
  <c r="G172" i="2" s="1"/>
  <c r="D171" i="2"/>
  <c r="G171" i="2" s="1"/>
  <c r="G154" i="2"/>
  <c r="F154" i="2" s="1"/>
  <c r="C168" i="2"/>
  <c r="D168" i="2" s="1"/>
  <c r="D167" i="2"/>
  <c r="D166" i="2"/>
  <c r="G166" i="2" s="1"/>
  <c r="D165" i="2"/>
  <c r="D164" i="2"/>
  <c r="D163" i="2"/>
  <c r="D162" i="2"/>
  <c r="G162" i="2" s="1"/>
  <c r="D161" i="2"/>
  <c r="G161" i="2" s="1"/>
  <c r="D160" i="2"/>
  <c r="G160" i="2" s="1"/>
  <c r="D159" i="2"/>
  <c r="G159" i="2" s="1"/>
  <c r="D158" i="2"/>
  <c r="D157" i="2"/>
  <c r="G157" i="2" s="1"/>
  <c r="D156" i="2"/>
  <c r="G156" i="2" s="1"/>
  <c r="D155" i="2"/>
  <c r="G155" i="2" s="1"/>
  <c r="G146" i="2"/>
  <c r="I146" i="2" s="1"/>
  <c r="G149" i="2"/>
  <c r="I149" i="2" s="1"/>
  <c r="G151" i="2"/>
  <c r="I151" i="2" s="1"/>
  <c r="G138" i="2"/>
  <c r="F138" i="2" s="1"/>
  <c r="C152" i="2"/>
  <c r="D152" i="2" s="1"/>
  <c r="G152" i="2" s="1"/>
  <c r="F152" i="2" s="1"/>
  <c r="D151" i="2"/>
  <c r="D150" i="2"/>
  <c r="D149" i="2"/>
  <c r="D148" i="2"/>
  <c r="G148" i="2" s="1"/>
  <c r="D147" i="2"/>
  <c r="G147" i="2" s="1"/>
  <c r="D146" i="2"/>
  <c r="D145" i="2"/>
  <c r="G145" i="2" s="1"/>
  <c r="D144" i="2"/>
  <c r="G144" i="2" s="1"/>
  <c r="D143" i="2"/>
  <c r="G143" i="2" s="1"/>
  <c r="D142" i="2"/>
  <c r="G142" i="2" s="1"/>
  <c r="D141" i="2"/>
  <c r="D140" i="2"/>
  <c r="D139" i="2"/>
  <c r="G139" i="2" s="1"/>
  <c r="I139" i="2" s="1"/>
  <c r="G134" i="2"/>
  <c r="F134" i="2" s="1"/>
  <c r="G122" i="2"/>
  <c r="F122" i="2" s="1"/>
  <c r="C136" i="2"/>
  <c r="D136" i="2" s="1"/>
  <c r="D135" i="2"/>
  <c r="D134" i="2"/>
  <c r="D133" i="2"/>
  <c r="G133" i="2" s="1"/>
  <c r="F133" i="2" s="1"/>
  <c r="H133" i="2" s="1"/>
  <c r="D132" i="2"/>
  <c r="D131" i="2"/>
  <c r="D130" i="2"/>
  <c r="D129" i="2"/>
  <c r="G129" i="2" s="1"/>
  <c r="D128" i="2"/>
  <c r="G128" i="2" s="1"/>
  <c r="I128" i="2" s="1"/>
  <c r="D127" i="2"/>
  <c r="G127" i="2" s="1"/>
  <c r="I127" i="2" s="1"/>
  <c r="D126" i="2"/>
  <c r="D125" i="2"/>
  <c r="G125" i="2" s="1"/>
  <c r="F125" i="2" s="1"/>
  <c r="D124" i="2"/>
  <c r="D123" i="2"/>
  <c r="G123" i="2" s="1"/>
  <c r="F108" i="2"/>
  <c r="G113" i="2"/>
  <c r="G108" i="2"/>
  <c r="G94" i="2"/>
  <c r="F94" i="2" s="1"/>
  <c r="C120" i="2"/>
  <c r="D120" i="2" s="1"/>
  <c r="G120" i="2" s="1"/>
  <c r="F120" i="2" s="1"/>
  <c r="D119" i="2"/>
  <c r="G119" i="2" s="1"/>
  <c r="D118" i="2"/>
  <c r="D117" i="2"/>
  <c r="G117" i="2" s="1"/>
  <c r="D116" i="2"/>
  <c r="G116" i="2" s="1"/>
  <c r="D115" i="2"/>
  <c r="D114" i="2"/>
  <c r="G114" i="2" s="1"/>
  <c r="D113" i="2"/>
  <c r="D112" i="2"/>
  <c r="D111" i="2"/>
  <c r="D110" i="2"/>
  <c r="D109" i="2"/>
  <c r="G109" i="2" s="1"/>
  <c r="G95" i="2"/>
  <c r="G96" i="2"/>
  <c r="G102" i="2"/>
  <c r="I102" i="2" s="1"/>
  <c r="G103" i="2"/>
  <c r="D106" i="2"/>
  <c r="G106" i="2" s="1"/>
  <c r="F106" i="2" s="1"/>
  <c r="D105" i="2"/>
  <c r="D104" i="2"/>
  <c r="G104" i="2" s="1"/>
  <c r="D103" i="2"/>
  <c r="D102" i="2"/>
  <c r="D101" i="2"/>
  <c r="G101" i="2" s="1"/>
  <c r="D100" i="2"/>
  <c r="D99" i="2"/>
  <c r="D98" i="2"/>
  <c r="D97" i="2"/>
  <c r="G97" i="2" s="1"/>
  <c r="D96" i="2"/>
  <c r="D95" i="2"/>
  <c r="G80" i="2"/>
  <c r="F80" i="2" s="1"/>
  <c r="D82" i="2"/>
  <c r="G82" i="2" s="1"/>
  <c r="D83" i="2"/>
  <c r="D84" i="2"/>
  <c r="D85" i="2"/>
  <c r="G85" i="2" s="1"/>
  <c r="D86" i="2"/>
  <c r="D87" i="2"/>
  <c r="D88" i="2"/>
  <c r="G88" i="2" s="1"/>
  <c r="D89" i="2"/>
  <c r="G89" i="2" s="1"/>
  <c r="D90" i="2"/>
  <c r="D91" i="2"/>
  <c r="G91" i="2" s="1"/>
  <c r="D92" i="2"/>
  <c r="D81" i="2"/>
  <c r="G81" i="2" s="1"/>
  <c r="G66" i="2"/>
  <c r="F66" i="2" s="1"/>
  <c r="D68" i="2"/>
  <c r="D69" i="2"/>
  <c r="G69" i="2" s="1"/>
  <c r="D70" i="2"/>
  <c r="D71" i="2"/>
  <c r="D72" i="2"/>
  <c r="G72" i="2" s="1"/>
  <c r="D73" i="2"/>
  <c r="G73" i="2" s="1"/>
  <c r="D74" i="2"/>
  <c r="D75" i="2"/>
  <c r="G75" i="2" s="1"/>
  <c r="D76" i="2"/>
  <c r="D77" i="2"/>
  <c r="D78" i="2"/>
  <c r="G78" i="2" s="1"/>
  <c r="F78" i="2" s="1"/>
  <c r="D67" i="2"/>
  <c r="G56" i="2"/>
  <c r="G58" i="2"/>
  <c r="F58" i="2" s="1"/>
  <c r="G52" i="2"/>
  <c r="F52" i="2" s="1"/>
  <c r="D53" i="2"/>
  <c r="D54" i="2"/>
  <c r="D55" i="2"/>
  <c r="D56" i="2"/>
  <c r="D57" i="2"/>
  <c r="G57" i="2" s="1"/>
  <c r="D58" i="2"/>
  <c r="D59" i="2"/>
  <c r="G59" i="2" s="1"/>
  <c r="D60" i="2"/>
  <c r="D61" i="2"/>
  <c r="G61" i="2" s="1"/>
  <c r="I61" i="2" s="1"/>
  <c r="D62" i="2"/>
  <c r="G62" i="2" s="1"/>
  <c r="D63" i="2"/>
  <c r="D64" i="2"/>
  <c r="G64" i="2" s="1"/>
  <c r="G41" i="2"/>
  <c r="F41" i="2" s="1"/>
  <c r="G47" i="2"/>
  <c r="I47" i="2" s="1"/>
  <c r="D37" i="2"/>
  <c r="G37" i="2" s="1"/>
  <c r="D38" i="2"/>
  <c r="D39" i="2"/>
  <c r="D40" i="2"/>
  <c r="G40" i="2" s="1"/>
  <c r="F40" i="2" s="1"/>
  <c r="D41" i="2"/>
  <c r="D42" i="2"/>
  <c r="D43" i="2"/>
  <c r="D44" i="2"/>
  <c r="D45" i="2"/>
  <c r="D46" i="2"/>
  <c r="G46" i="2" s="1"/>
  <c r="D47" i="2"/>
  <c r="D48" i="2"/>
  <c r="G48" i="2" s="1"/>
  <c r="I48" i="2" s="1"/>
  <c r="D49" i="2"/>
  <c r="G49" i="2" s="1"/>
  <c r="D50" i="2"/>
  <c r="G50" i="2" s="1"/>
  <c r="D36" i="2"/>
  <c r="G36" i="2" s="1"/>
  <c r="F36" i="2" s="1"/>
  <c r="G32" i="2"/>
  <c r="I32" i="2" s="1"/>
  <c r="D21" i="2"/>
  <c r="G21" i="2" s="1"/>
  <c r="F21" i="2" s="1"/>
  <c r="D22" i="2"/>
  <c r="D23" i="2"/>
  <c r="G23" i="2" s="1"/>
  <c r="F23" i="2" s="1"/>
  <c r="D24" i="2"/>
  <c r="G24" i="2" s="1"/>
  <c r="F24" i="2" s="1"/>
  <c r="D25" i="2"/>
  <c r="D26" i="2"/>
  <c r="G26" i="2" s="1"/>
  <c r="D27" i="2"/>
  <c r="G27" i="2" s="1"/>
  <c r="F27" i="2" s="1"/>
  <c r="D28" i="2"/>
  <c r="D29" i="2"/>
  <c r="D30" i="2"/>
  <c r="D31" i="2"/>
  <c r="D32" i="2"/>
  <c r="D33" i="2"/>
  <c r="G33" i="2" s="1"/>
  <c r="I33" i="2" s="1"/>
  <c r="D34" i="2"/>
  <c r="D20" i="2"/>
  <c r="G20" i="2" s="1"/>
  <c r="F20" i="2" s="1"/>
  <c r="D5" i="2"/>
  <c r="G5" i="2" s="1"/>
  <c r="F5" i="2" s="1"/>
  <c r="D6" i="2"/>
  <c r="D7" i="2"/>
  <c r="D8" i="2"/>
  <c r="D9" i="2"/>
  <c r="D10" i="2"/>
  <c r="D11" i="2"/>
  <c r="G11" i="2" s="1"/>
  <c r="I11" i="2" s="1"/>
  <c r="D12" i="2"/>
  <c r="G12" i="2" s="1"/>
  <c r="D13" i="2"/>
  <c r="G13" i="2" s="1"/>
  <c r="D14" i="2"/>
  <c r="G14" i="2" s="1"/>
  <c r="D15" i="2"/>
  <c r="G15" i="2" s="1"/>
  <c r="D16" i="2"/>
  <c r="G16" i="2" s="1"/>
  <c r="I16" i="2" s="1"/>
  <c r="D17" i="2"/>
  <c r="G17" i="2" s="1"/>
  <c r="D18" i="2"/>
  <c r="D4" i="2"/>
  <c r="G4" i="2" s="1"/>
  <c r="F4" i="2" s="1"/>
  <c r="F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I49" i="2" l="1"/>
  <c r="F37" i="2"/>
  <c r="H37" i="2" s="1"/>
  <c r="M37" i="2" s="1"/>
  <c r="I37" i="2"/>
  <c r="H101" i="2"/>
  <c r="H104" i="2"/>
  <c r="F104" i="2"/>
  <c r="F49" i="2"/>
  <c r="H49" i="2" s="1"/>
  <c r="F117" i="2"/>
  <c r="H117" i="2" s="1"/>
  <c r="F101" i="2"/>
  <c r="F64" i="2"/>
  <c r="F177" i="2"/>
  <c r="H177" i="2" s="1"/>
  <c r="F16" i="2"/>
  <c r="F146" i="2"/>
  <c r="F149" i="2"/>
  <c r="H149" i="2" s="1"/>
  <c r="M149" i="2" s="1"/>
  <c r="G165" i="2"/>
  <c r="I165" i="2" s="1"/>
  <c r="F113" i="2"/>
  <c r="H113" i="2" s="1"/>
  <c r="G158" i="2"/>
  <c r="I158" i="2" s="1"/>
  <c r="F102" i="2"/>
  <c r="F95" i="2"/>
  <c r="H95" i="2" s="1"/>
  <c r="F151" i="2"/>
  <c r="F96" i="2"/>
  <c r="H96" i="2" s="1"/>
  <c r="F116" i="2"/>
  <c r="I17" i="2"/>
  <c r="F89" i="2"/>
  <c r="H89" i="2" s="1"/>
  <c r="M89" i="2" s="1"/>
  <c r="I89" i="2"/>
  <c r="I142" i="2"/>
  <c r="I173" i="2"/>
  <c r="I73" i="2"/>
  <c r="F73" i="2"/>
  <c r="H73" i="2" s="1"/>
  <c r="M73" i="2" s="1"/>
  <c r="I88" i="2"/>
  <c r="F123" i="2"/>
  <c r="I123" i="2"/>
  <c r="M123" i="2" s="1"/>
  <c r="H123" i="2"/>
  <c r="I143" i="2"/>
  <c r="I174" i="2"/>
  <c r="F174" i="2"/>
  <c r="H174" i="2" s="1"/>
  <c r="I72" i="2"/>
  <c r="F87" i="2"/>
  <c r="G136" i="2"/>
  <c r="F136" i="2" s="1"/>
  <c r="F144" i="2"/>
  <c r="I144" i="2"/>
  <c r="M144" i="2" s="1"/>
  <c r="H144" i="2"/>
  <c r="I14" i="2"/>
  <c r="H62" i="2"/>
  <c r="M62" i="2" s="1"/>
  <c r="I62" i="2"/>
  <c r="F62" i="2"/>
  <c r="F145" i="2"/>
  <c r="H145" i="2" s="1"/>
  <c r="M145" i="2" s="1"/>
  <c r="I145" i="2"/>
  <c r="I166" i="2"/>
  <c r="F166" i="2"/>
  <c r="H166" i="2" s="1"/>
  <c r="M166" i="2" s="1"/>
  <c r="F13" i="2"/>
  <c r="I13" i="2"/>
  <c r="H13" i="2"/>
  <c r="M13" i="2" s="1"/>
  <c r="F85" i="2"/>
  <c r="H85" i="2" s="1"/>
  <c r="M85" i="2" s="1"/>
  <c r="I85" i="2"/>
  <c r="I109" i="2"/>
  <c r="M109" i="2" s="1"/>
  <c r="F109" i="2"/>
  <c r="H109" i="2" s="1"/>
  <c r="I155" i="2"/>
  <c r="F12" i="2"/>
  <c r="H12" i="2" s="1"/>
  <c r="I12" i="2"/>
  <c r="F69" i="2"/>
  <c r="H69" i="2" s="1"/>
  <c r="I69" i="2"/>
  <c r="M69" i="2" s="1"/>
  <c r="I147" i="2"/>
  <c r="I156" i="2"/>
  <c r="H178" i="2"/>
  <c r="F178" i="2"/>
  <c r="I178" i="2"/>
  <c r="M178" i="2" s="1"/>
  <c r="F59" i="2"/>
  <c r="H59" i="2" s="1"/>
  <c r="I59" i="2"/>
  <c r="I148" i="2"/>
  <c r="I157" i="2"/>
  <c r="I179" i="2"/>
  <c r="F15" i="2"/>
  <c r="H15" i="2" s="1"/>
  <c r="M15" i="2" s="1"/>
  <c r="I15" i="2"/>
  <c r="I46" i="2"/>
  <c r="F82" i="2"/>
  <c r="H82" i="2" s="1"/>
  <c r="I82" i="2"/>
  <c r="I129" i="2"/>
  <c r="I81" i="2"/>
  <c r="I159" i="2"/>
  <c r="F57" i="2"/>
  <c r="H57" i="2" s="1"/>
  <c r="M57" i="2" s="1"/>
  <c r="I57" i="2"/>
  <c r="F114" i="2"/>
  <c r="H114" i="2" s="1"/>
  <c r="I114" i="2"/>
  <c r="H116" i="2"/>
  <c r="I160" i="2"/>
  <c r="F160" i="2"/>
  <c r="H160" i="2" s="1"/>
  <c r="I91" i="2"/>
  <c r="F91" i="2"/>
  <c r="H91" i="2" s="1"/>
  <c r="I161" i="2"/>
  <c r="I171" i="2"/>
  <c r="I26" i="2"/>
  <c r="F75" i="2"/>
  <c r="H75" i="2" s="1"/>
  <c r="I75" i="2"/>
  <c r="F97" i="2"/>
  <c r="H97" i="2" s="1"/>
  <c r="I97" i="2"/>
  <c r="H102" i="2"/>
  <c r="M102" i="2" s="1"/>
  <c r="I162" i="2"/>
  <c r="M162" i="2" s="1"/>
  <c r="F162" i="2"/>
  <c r="H162" i="2" s="1"/>
  <c r="I172" i="2"/>
  <c r="I117" i="2"/>
  <c r="G55" i="2"/>
  <c r="F55" i="2" s="1"/>
  <c r="F56" i="2"/>
  <c r="H56" i="2" s="1"/>
  <c r="G71" i="2"/>
  <c r="F72" i="2"/>
  <c r="H72" i="2" s="1"/>
  <c r="G87" i="2"/>
  <c r="F88" i="2"/>
  <c r="H88" i="2" s="1"/>
  <c r="M88" i="2" s="1"/>
  <c r="F103" i="2"/>
  <c r="H103" i="2" s="1"/>
  <c r="F128" i="2"/>
  <c r="H128" i="2" s="1"/>
  <c r="M128" i="2" s="1"/>
  <c r="G140" i="2"/>
  <c r="G164" i="2"/>
  <c r="F164" i="2" s="1"/>
  <c r="F161" i="2"/>
  <c r="H161" i="2" s="1"/>
  <c r="G176" i="2"/>
  <c r="F176" i="2" s="1"/>
  <c r="F173" i="2"/>
  <c r="H173" i="2" s="1"/>
  <c r="M173" i="2" s="1"/>
  <c r="I5" i="2"/>
  <c r="H27" i="2"/>
  <c r="I27" i="2"/>
  <c r="M27" i="2" s="1"/>
  <c r="I96" i="2"/>
  <c r="I116" i="2"/>
  <c r="H127" i="2"/>
  <c r="M127" i="2" s="1"/>
  <c r="H146" i="2"/>
  <c r="M146" i="2" s="1"/>
  <c r="I177" i="2"/>
  <c r="F47" i="2"/>
  <c r="H47" i="2" s="1"/>
  <c r="M47" i="2" s="1"/>
  <c r="F46" i="2"/>
  <c r="H46" i="2" s="1"/>
  <c r="G54" i="2"/>
  <c r="F54" i="2" s="1"/>
  <c r="G70" i="2"/>
  <c r="G86" i="2"/>
  <c r="G118" i="2"/>
  <c r="F118" i="2" s="1"/>
  <c r="F119" i="2"/>
  <c r="H119" i="2" s="1"/>
  <c r="F127" i="2"/>
  <c r="F139" i="2"/>
  <c r="G163" i="2"/>
  <c r="F163" i="2" s="1"/>
  <c r="G175" i="2"/>
  <c r="F175" i="2" s="1"/>
  <c r="F172" i="2"/>
  <c r="H172" i="2" s="1"/>
  <c r="H21" i="2"/>
  <c r="I58" i="2"/>
  <c r="G34" i="2"/>
  <c r="F34" i="2" s="1"/>
  <c r="F129" i="2"/>
  <c r="H129" i="2" s="1"/>
  <c r="F33" i="2"/>
  <c r="F50" i="2"/>
  <c r="F17" i="2"/>
  <c r="H17" i="2" s="1"/>
  <c r="G31" i="2"/>
  <c r="G45" i="2"/>
  <c r="G53" i="2"/>
  <c r="G100" i="2"/>
  <c r="F100" i="2" s="1"/>
  <c r="G126" i="2"/>
  <c r="F126" i="2" s="1"/>
  <c r="G150" i="2"/>
  <c r="F150" i="2" s="1"/>
  <c r="F159" i="2"/>
  <c r="H159" i="2" s="1"/>
  <c r="F171" i="2"/>
  <c r="H171" i="2" s="1"/>
  <c r="H16" i="2"/>
  <c r="M16" i="2" s="1"/>
  <c r="I21" i="2"/>
  <c r="H41" i="2"/>
  <c r="H58" i="2"/>
  <c r="I95" i="2"/>
  <c r="M95" i="2" s="1"/>
  <c r="H125" i="2"/>
  <c r="G22" i="2"/>
  <c r="F22" i="2" s="1"/>
  <c r="F48" i="2"/>
  <c r="G30" i="2"/>
  <c r="F30" i="2" s="1"/>
  <c r="F32" i="2"/>
  <c r="G44" i="2"/>
  <c r="F44" i="2" s="1"/>
  <c r="G68" i="2"/>
  <c r="F68" i="2" s="1"/>
  <c r="G84" i="2"/>
  <c r="F84" i="2" s="1"/>
  <c r="G99" i="2"/>
  <c r="F99" i="2" s="1"/>
  <c r="F148" i="2"/>
  <c r="H148" i="2" s="1"/>
  <c r="M148" i="2" s="1"/>
  <c r="F179" i="2"/>
  <c r="H179" i="2" s="1"/>
  <c r="H24" i="2"/>
  <c r="I24" i="2"/>
  <c r="M24" i="2" s="1"/>
  <c r="H40" i="2"/>
  <c r="I41" i="2"/>
  <c r="M41" i="2" s="1"/>
  <c r="I56" i="2"/>
  <c r="I113" i="2"/>
  <c r="I125" i="2"/>
  <c r="M125" i="2" s="1"/>
  <c r="H170" i="2"/>
  <c r="G67" i="2"/>
  <c r="G83" i="2"/>
  <c r="F83" i="2" s="1"/>
  <c r="G98" i="2"/>
  <c r="F98" i="2" s="1"/>
  <c r="G115" i="2"/>
  <c r="F115" i="2" s="1"/>
  <c r="G124" i="2"/>
  <c r="F147" i="2"/>
  <c r="H147" i="2" s="1"/>
  <c r="M147" i="2" s="1"/>
  <c r="G184" i="2"/>
  <c r="F184" i="2" s="1"/>
  <c r="H23" i="2"/>
  <c r="I23" i="2"/>
  <c r="M23" i="2" s="1"/>
  <c r="I40" i="2"/>
  <c r="I104" i="2"/>
  <c r="G141" i="2"/>
  <c r="F141" i="2" s="1"/>
  <c r="F14" i="2"/>
  <c r="H14" i="2" s="1"/>
  <c r="M14" i="2" s="1"/>
  <c r="G29" i="2"/>
  <c r="G43" i="2"/>
  <c r="F43" i="2" s="1"/>
  <c r="G63" i="2"/>
  <c r="G28" i="2"/>
  <c r="G42" i="2"/>
  <c r="G135" i="2"/>
  <c r="F135" i="2" s="1"/>
  <c r="F157" i="2"/>
  <c r="H157" i="2" s="1"/>
  <c r="G183" i="2"/>
  <c r="F183" i="2" s="1"/>
  <c r="I103" i="2"/>
  <c r="H134" i="2"/>
  <c r="I170" i="2"/>
  <c r="I134" i="2"/>
  <c r="F182" i="2"/>
  <c r="H182" i="2" s="1"/>
  <c r="M182" i="2" s="1"/>
  <c r="H33" i="2"/>
  <c r="F26" i="2"/>
  <c r="H26" i="2" s="1"/>
  <c r="G60" i="2"/>
  <c r="G76" i="2"/>
  <c r="F76" i="2" s="1"/>
  <c r="G92" i="2"/>
  <c r="F92" i="2" s="1"/>
  <c r="F81" i="2"/>
  <c r="H81" i="2" s="1"/>
  <c r="F155" i="2"/>
  <c r="H155" i="2" s="1"/>
  <c r="G181" i="2"/>
  <c r="H32" i="2"/>
  <c r="M32" i="2" s="1"/>
  <c r="H48" i="2"/>
  <c r="M48" i="2" s="1"/>
  <c r="I101" i="2"/>
  <c r="M101" i="2" s="1"/>
  <c r="I133" i="2"/>
  <c r="M133" i="2" s="1"/>
  <c r="H151" i="2"/>
  <c r="H139" i="2"/>
  <c r="M139" i="2" s="1"/>
  <c r="G77" i="2"/>
  <c r="F156" i="2"/>
  <c r="H156" i="2" s="1"/>
  <c r="M156" i="2" s="1"/>
  <c r="F61" i="2"/>
  <c r="H61" i="2" s="1"/>
  <c r="M61" i="2" s="1"/>
  <c r="G112" i="2"/>
  <c r="F112" i="2" s="1"/>
  <c r="G25" i="2"/>
  <c r="G39" i="2"/>
  <c r="F39" i="2" s="1"/>
  <c r="G111" i="2"/>
  <c r="F111" i="2" s="1"/>
  <c r="G132" i="2"/>
  <c r="F143" i="2"/>
  <c r="H143" i="2" s="1"/>
  <c r="M143" i="2" s="1"/>
  <c r="G168" i="2"/>
  <c r="F168" i="2" s="1"/>
  <c r="G180" i="2"/>
  <c r="F180" i="2" s="1"/>
  <c r="G38" i="2"/>
  <c r="G74" i="2"/>
  <c r="G90" i="2"/>
  <c r="G105" i="2"/>
  <c r="F105" i="2" s="1"/>
  <c r="G110" i="2"/>
  <c r="F110" i="2" s="1"/>
  <c r="G131" i="2"/>
  <c r="F142" i="2"/>
  <c r="H142" i="2" s="1"/>
  <c r="M142" i="2" s="1"/>
  <c r="G167" i="2"/>
  <c r="H5" i="2"/>
  <c r="I119" i="2"/>
  <c r="G130" i="2"/>
  <c r="F130" i="2" s="1"/>
  <c r="G10" i="2"/>
  <c r="G9" i="2"/>
  <c r="F11" i="2"/>
  <c r="H11" i="2" s="1"/>
  <c r="M11" i="2" s="1"/>
  <c r="G8" i="2"/>
  <c r="G7" i="2"/>
  <c r="G18" i="2"/>
  <c r="F18" i="2" s="1"/>
  <c r="G6" i="2"/>
  <c r="M134" i="2" l="1"/>
  <c r="M21" i="2"/>
  <c r="M5" i="2"/>
  <c r="M81" i="2"/>
  <c r="F165" i="2"/>
  <c r="H165" i="2" s="1"/>
  <c r="M165" i="2" s="1"/>
  <c r="M104" i="2"/>
  <c r="M117" i="2"/>
  <c r="M82" i="2"/>
  <c r="M12" i="2"/>
  <c r="M103" i="2"/>
  <c r="M40" i="2"/>
  <c r="M113" i="2"/>
  <c r="M159" i="2"/>
  <c r="M58" i="2"/>
  <c r="M160" i="2"/>
  <c r="M59" i="2"/>
  <c r="M174" i="2"/>
  <c r="F158" i="2"/>
  <c r="H158" i="2" s="1"/>
  <c r="M158" i="2" s="1"/>
  <c r="M177" i="2"/>
  <c r="M114" i="2"/>
  <c r="M172" i="2"/>
  <c r="M116" i="2"/>
  <c r="M97" i="2"/>
  <c r="M96" i="2"/>
  <c r="M75" i="2"/>
  <c r="M179" i="2"/>
  <c r="M157" i="2"/>
  <c r="M129" i="2"/>
  <c r="M26" i="2"/>
  <c r="M72" i="2"/>
  <c r="M56" i="2"/>
  <c r="M171" i="2"/>
  <c r="M155" i="2"/>
  <c r="M161" i="2"/>
  <c r="M46" i="2"/>
  <c r="I38" i="2"/>
  <c r="I10" i="2"/>
  <c r="I74" i="2"/>
  <c r="I126" i="2"/>
  <c r="H126" i="2"/>
  <c r="I140" i="2"/>
  <c r="I77" i="2"/>
  <c r="I135" i="2"/>
  <c r="H135" i="2"/>
  <c r="I60" i="2"/>
  <c r="I42" i="2"/>
  <c r="I53" i="2"/>
  <c r="I163" i="2"/>
  <c r="H163" i="2"/>
  <c r="I22" i="2"/>
  <c r="H22" i="2"/>
  <c r="I28" i="2"/>
  <c r="I124" i="2"/>
  <c r="I45" i="2"/>
  <c r="F10" i="2"/>
  <c r="H10" i="2" s="1"/>
  <c r="H100" i="2"/>
  <c r="I100" i="2"/>
  <c r="I180" i="2"/>
  <c r="H180" i="2"/>
  <c r="I63" i="2"/>
  <c r="H115" i="2"/>
  <c r="I115" i="2"/>
  <c r="I31" i="2"/>
  <c r="H87" i="2"/>
  <c r="I87" i="2"/>
  <c r="F42" i="2"/>
  <c r="H42" i="2" s="1"/>
  <c r="F77" i="2"/>
  <c r="H77" i="2" s="1"/>
  <c r="F63" i="2"/>
  <c r="H63" i="2" s="1"/>
  <c r="H99" i="2"/>
  <c r="I99" i="2"/>
  <c r="M99" i="2" s="1"/>
  <c r="I118" i="2"/>
  <c r="H118" i="2"/>
  <c r="I71" i="2"/>
  <c r="F28" i="2"/>
  <c r="H28" i="2" s="1"/>
  <c r="F60" i="2"/>
  <c r="H60" i="2" s="1"/>
  <c r="I130" i="2"/>
  <c r="H130" i="2"/>
  <c r="H111" i="2"/>
  <c r="I111" i="2"/>
  <c r="M111" i="2" s="1"/>
  <c r="I67" i="2"/>
  <c r="H84" i="2"/>
  <c r="I84" i="2"/>
  <c r="I86" i="2"/>
  <c r="F31" i="2"/>
  <c r="H31" i="2" s="1"/>
  <c r="F86" i="2"/>
  <c r="H86" i="2" s="1"/>
  <c r="F74" i="2"/>
  <c r="H74" i="2" s="1"/>
  <c r="I43" i="2"/>
  <c r="H43" i="2"/>
  <c r="I167" i="2"/>
  <c r="H167" i="2"/>
  <c r="I39" i="2"/>
  <c r="M39" i="2" s="1"/>
  <c r="H39" i="2"/>
  <c r="I141" i="2"/>
  <c r="H141" i="2"/>
  <c r="H68" i="2"/>
  <c r="I68" i="2"/>
  <c r="I70" i="2"/>
  <c r="H55" i="2"/>
  <c r="I55" i="2"/>
  <c r="F70" i="2"/>
  <c r="H70" i="2" s="1"/>
  <c r="F71" i="2"/>
  <c r="H71" i="2" s="1"/>
  <c r="F53" i="2"/>
  <c r="H53" i="2" s="1"/>
  <c r="H76" i="2"/>
  <c r="I76" i="2"/>
  <c r="F38" i="2"/>
  <c r="H38" i="2" s="1"/>
  <c r="I98" i="2"/>
  <c r="H98" i="2"/>
  <c r="I132" i="2"/>
  <c r="F7" i="2"/>
  <c r="H7" i="2" s="1"/>
  <c r="I7" i="2"/>
  <c r="I25" i="2"/>
  <c r="H25" i="2"/>
  <c r="I44" i="2"/>
  <c r="H44" i="2"/>
  <c r="H54" i="2"/>
  <c r="I54" i="2"/>
  <c r="M54" i="2" s="1"/>
  <c r="I176" i="2"/>
  <c r="H176" i="2"/>
  <c r="F140" i="2"/>
  <c r="H140" i="2" s="1"/>
  <c r="F25" i="2"/>
  <c r="F6" i="2"/>
  <c r="I6" i="2"/>
  <c r="H6" i="2"/>
  <c r="I29" i="2"/>
  <c r="I131" i="2"/>
  <c r="H110" i="2"/>
  <c r="I110" i="2"/>
  <c r="M110" i="2" s="1"/>
  <c r="I181" i="2"/>
  <c r="H105" i="2"/>
  <c r="I105" i="2"/>
  <c r="H112" i="2"/>
  <c r="I112" i="2"/>
  <c r="F132" i="2"/>
  <c r="H132" i="2" s="1"/>
  <c r="F131" i="2"/>
  <c r="H131" i="2" s="1"/>
  <c r="F45" i="2"/>
  <c r="H45" i="2" s="1"/>
  <c r="F181" i="2"/>
  <c r="H181" i="2" s="1"/>
  <c r="F29" i="2"/>
  <c r="H29" i="2" s="1"/>
  <c r="F167" i="2"/>
  <c r="I175" i="2"/>
  <c r="H175" i="2"/>
  <c r="H83" i="2"/>
  <c r="I83" i="2"/>
  <c r="I8" i="2"/>
  <c r="F8" i="2"/>
  <c r="H8" i="2" s="1"/>
  <c r="F9" i="2"/>
  <c r="I9" i="2"/>
  <c r="H9" i="2"/>
  <c r="I90" i="2"/>
  <c r="I183" i="2"/>
  <c r="H183" i="2"/>
  <c r="I30" i="2"/>
  <c r="H30" i="2"/>
  <c r="I150" i="2"/>
  <c r="H150" i="2"/>
  <c r="I164" i="2"/>
  <c r="H164" i="2"/>
  <c r="F90" i="2"/>
  <c r="H90" i="2" s="1"/>
  <c r="F67" i="2"/>
  <c r="H67" i="2" s="1"/>
  <c r="F124" i="2"/>
  <c r="H124" i="2" s="1"/>
  <c r="M100" i="2" l="1"/>
  <c r="M87" i="2"/>
  <c r="M45" i="2"/>
  <c r="M164" i="2"/>
  <c r="M112" i="2"/>
  <c r="M55" i="2"/>
  <c r="M83" i="2"/>
  <c r="M115" i="2"/>
  <c r="M84" i="2"/>
  <c r="M76" i="2"/>
  <c r="M67" i="2"/>
  <c r="M6" i="2"/>
  <c r="M140" i="2"/>
  <c r="M53" i="2"/>
  <c r="M132" i="2"/>
  <c r="M86" i="2"/>
  <c r="M60" i="2"/>
  <c r="M9" i="2"/>
  <c r="M141" i="2"/>
  <c r="M29" i="2"/>
  <c r="M25" i="2"/>
  <c r="M8" i="2"/>
  <c r="M130" i="2"/>
  <c r="M126" i="2"/>
  <c r="M181" i="2"/>
  <c r="M70" i="2"/>
  <c r="M98" i="2"/>
  <c r="M31" i="2"/>
  <c r="M131" i="2"/>
  <c r="M44" i="2"/>
  <c r="M118" i="2"/>
  <c r="M28" i="2"/>
  <c r="M38" i="2"/>
  <c r="M150" i="2"/>
  <c r="M180" i="2"/>
  <c r="M163" i="2"/>
  <c r="M175" i="2"/>
  <c r="M74" i="2"/>
  <c r="M176" i="2"/>
  <c r="M22" i="2"/>
  <c r="M7" i="2"/>
  <c r="M30" i="2"/>
  <c r="M43" i="2"/>
  <c r="M42" i="2"/>
  <c r="M90" i="2"/>
  <c r="M71" i="2"/>
  <c r="M124" i="2"/>
  <c r="M10" i="2"/>
</calcChain>
</file>

<file path=xl/sharedStrings.xml><?xml version="1.0" encoding="utf-8"?>
<sst xmlns="http://schemas.openxmlformats.org/spreadsheetml/2006/main" count="225" uniqueCount="52">
  <si>
    <t>Month</t>
  </si>
  <si>
    <t>Sunrise</t>
  </si>
  <si>
    <t>Sunset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</si>
  <si>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</si>
  <si>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</si>
  <si>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</si>
  <si>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</si>
  <si>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</si>
  <si>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</si>
  <si>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</si>
  <si>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</si>
  <si>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</si>
  <si>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</si>
  <si>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</si>
  <si>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</si>
  <si>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δ</t>
  </si>
  <si>
    <t>n value of the 21st day of that month</t>
  </si>
  <si>
    <t>H</t>
  </si>
  <si>
    <t>21st Jan</t>
  </si>
  <si>
    <t>β</t>
  </si>
  <si>
    <t>Φ</t>
  </si>
  <si>
    <r>
      <t>cosH &gt;= tan</t>
    </r>
    <r>
      <rPr>
        <sz val="11"/>
        <color theme="1"/>
        <rFont val="Calibri"/>
        <family val="2"/>
      </rPr>
      <t>δ/tanL</t>
    </r>
  </si>
  <si>
    <t>F</t>
  </si>
  <si>
    <t>T</t>
  </si>
  <si>
    <t>21st Feb</t>
  </si>
  <si>
    <t>21st Mar</t>
  </si>
  <si>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"/>
        <family val="2"/>
        <scheme val="minor"/>
      </rPr>
      <t>solar time (ie. 0 = noon)</t>
    </r>
  </si>
  <si>
    <t>21st Apr</t>
  </si>
  <si>
    <t>21st May</t>
  </si>
  <si>
    <t>21st Jun</t>
  </si>
  <si>
    <t>21st Jul</t>
  </si>
  <si>
    <t>21st Aug</t>
  </si>
  <si>
    <t>21st Sep</t>
  </si>
  <si>
    <t>21st Oct</t>
  </si>
  <si>
    <t>21st Nov</t>
  </si>
  <si>
    <t>21st Dec</t>
  </si>
  <si>
    <t>Shadow time</t>
  </si>
  <si>
    <t>7:30 - 9</t>
  </si>
  <si>
    <t xml:space="preserve">Aug </t>
  </si>
  <si>
    <t>9 - 10:00</t>
  </si>
  <si>
    <t>8:30 - 9:30</t>
  </si>
  <si>
    <t>Ic</t>
  </si>
  <si>
    <r>
      <t>cos</t>
    </r>
    <r>
      <rPr>
        <b/>
        <sz val="11"/>
        <color theme="1"/>
        <rFont val="Calibri"/>
        <family val="2"/>
      </rPr>
      <t>θ</t>
    </r>
  </si>
  <si>
    <t>Idc</t>
  </si>
  <si>
    <t>m</t>
  </si>
  <si>
    <t>A</t>
  </si>
  <si>
    <t>k</t>
  </si>
  <si>
    <t>Solar time</t>
  </si>
  <si>
    <t>I(lost)</t>
  </si>
  <si>
    <t>I(net)</t>
  </si>
  <si>
    <t>Year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</si>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</sst>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NumberFormat="1"/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Sun-path Diagram for the 21st day of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Sheet2!$F$4:$F$18</c:f>
              <c:numCache>
                <c:formatCode>General</c:formatCode>
                <c:ptCount val="15"/>
                <c:pt idx="0">
                  <c:v>112.62513657992631</c:v>
                </c:pt>
                <c:pt idx="1">
                  <c:v>108.16842188717766</c:v>
                </c:pt>
                <c:pt idx="2">
                  <c:v>102.41785619050918</c:v>
                </c:pt>
                <c:pt idx="3">
                  <c:v>96.91781102509043</c:v>
                </c:pt>
                <c:pt idx="4">
                  <c:v>91.025967001307194</c:v>
                </c:pt>
                <c:pt idx="5">
                  <c:v>83.35545077372403</c:v>
                </c:pt>
                <c:pt idx="6">
                  <c:v>68.3335050510629</c:v>
                </c:pt>
                <c:pt idx="7">
                  <c:v>0</c:v>
                </c:pt>
                <c:pt idx="8">
                  <c:v>-68.333505051062929</c:v>
                </c:pt>
                <c:pt idx="9">
                  <c:v>-83.355450773724073</c:v>
                </c:pt>
                <c:pt idx="10">
                  <c:v>-91.025967001307549</c:v>
                </c:pt>
                <c:pt idx="11">
                  <c:v>-96.91781102509043</c:v>
                </c:pt>
                <c:pt idx="12">
                  <c:v>-102.41785619050914</c:v>
                </c:pt>
                <c:pt idx="13">
                  <c:v>-108.16842188717766</c:v>
                </c:pt>
                <c:pt idx="14">
                  <c:v>-112.62513657992629</c:v>
                </c:pt>
              </c:numCache>
            </c:numRef>
          </c:xVal>
          <c:yVal>
            <c:numRef>
              <c:f>Sheet2!$G$4:$G$18</c:f>
              <c:numCache>
                <c:formatCode>General</c:formatCode>
                <c:ptCount val="15"/>
                <c:pt idx="0">
                  <c:v>1.1826187149519494E-4</c:v>
                </c:pt>
                <c:pt idx="1">
                  <c:v>8.8366580002586641</c:v>
                </c:pt>
                <c:pt idx="2">
                  <c:v>21.782481834997387</c:v>
                </c:pt>
                <c:pt idx="3">
                  <c:v>35.010731459947749</c:v>
                </c:pt>
                <c:pt idx="4">
                  <c:v>48.395491799635984</c:v>
                </c:pt>
                <c:pt idx="5">
                  <c:v>61.796310191265164</c:v>
                </c:pt>
                <c:pt idx="6">
                  <c:v>74.842717937170633</c:v>
                </c:pt>
                <c:pt idx="7">
                  <c:v>83.638000000000076</c:v>
                </c:pt>
                <c:pt idx="8">
                  <c:v>74.842717937170633</c:v>
                </c:pt>
                <c:pt idx="9">
                  <c:v>61.796310191265164</c:v>
                </c:pt>
                <c:pt idx="10">
                  <c:v>48.395491799635984</c:v>
                </c:pt>
                <c:pt idx="11">
                  <c:v>35.010731459947749</c:v>
                </c:pt>
                <c:pt idx="12">
                  <c:v>21.782481834997387</c:v>
                </c:pt>
                <c:pt idx="13">
                  <c:v>8.8366580002586641</c:v>
                </c:pt>
                <c:pt idx="14">
                  <c:v>1.1826187149519494E-4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9-4275-88EE-A403BE1CFB43}"/>
            </c:ext>
          </c:extLst>
        </c:ser>
        <c:ser>
          <c:idx val="1"/>
          <c:order val="1"/>
          <c:tx>
            <c:v>Feb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Sheet2!$F$20:$F$34</c:f>
              <c:numCache>
                <c:formatCode>General</c:formatCode>
                <c:ptCount val="15"/>
                <c:pt idx="0">
                  <c:v>102.56462637931314</c:v>
                </c:pt>
                <c:pt idx="1">
                  <c:v>100.07231871271858</c:v>
                </c:pt>
                <c:pt idx="2">
                  <c:v>93.681132717745058</c:v>
                </c:pt>
                <c:pt idx="3">
                  <c:v>86.994476046717836</c:v>
                </c:pt>
                <c:pt idx="4">
                  <c:v>78.966184186551828</c:v>
                </c:pt>
                <c:pt idx="5">
                  <c:v>67.33556761894306</c:v>
                </c:pt>
                <c:pt idx="6">
                  <c:v>45.610065669624298</c:v>
                </c:pt>
                <c:pt idx="7">
                  <c:v>0</c:v>
                </c:pt>
                <c:pt idx="8">
                  <c:v>-45.610065669624291</c:v>
                </c:pt>
                <c:pt idx="9">
                  <c:v>-67.33556761894306</c:v>
                </c:pt>
                <c:pt idx="10">
                  <c:v>-78.966184186551828</c:v>
                </c:pt>
                <c:pt idx="11">
                  <c:v>-86.994476046717963</c:v>
                </c:pt>
                <c:pt idx="12">
                  <c:v>-93.681132717745058</c:v>
                </c:pt>
                <c:pt idx="13">
                  <c:v>-100.07231871271858</c:v>
                </c:pt>
                <c:pt idx="14">
                  <c:v>-102.56462637931314</c:v>
                </c:pt>
              </c:numCache>
            </c:numRef>
          </c:xVal>
          <c:yVal>
            <c:numRef>
              <c:f>Sheet2!$G$20:$G$34</c:f>
              <c:numCache>
                <c:formatCode>General</c:formatCode>
                <c:ptCount val="15"/>
                <c:pt idx="0">
                  <c:v>-2.7425968078768364E-6</c:v>
                </c:pt>
                <c:pt idx="1">
                  <c:v>4.9834420106255566</c:v>
                </c:pt>
                <c:pt idx="2">
                  <c:v>18.304193673278395</c:v>
                </c:pt>
                <c:pt idx="3">
                  <c:v>31.720305509659152</c:v>
                </c:pt>
                <c:pt idx="4">
                  <c:v>45.037843802846922</c:v>
                </c:pt>
                <c:pt idx="5">
                  <c:v>57.894846446916581</c:v>
                </c:pt>
                <c:pt idx="6">
                  <c:v>69.190658867895735</c:v>
                </c:pt>
                <c:pt idx="7">
                  <c:v>74.726300000000023</c:v>
                </c:pt>
                <c:pt idx="8">
                  <c:v>69.190658867895735</c:v>
                </c:pt>
                <c:pt idx="9">
                  <c:v>57.894846446916581</c:v>
                </c:pt>
                <c:pt idx="10">
                  <c:v>45.037843802846922</c:v>
                </c:pt>
                <c:pt idx="11">
                  <c:v>31.720305509659152</c:v>
                </c:pt>
                <c:pt idx="12">
                  <c:v>18.304193673278395</c:v>
                </c:pt>
                <c:pt idx="13">
                  <c:v>4.9834420106255566</c:v>
                </c:pt>
                <c:pt idx="14">
                  <c:v>-2.7425968078768364E-6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9-4275-88EE-A403BE1CFB43}"/>
            </c:ext>
          </c:extLst>
        </c:ser>
        <c:ser>
          <c:idx val="2"/>
          <c:order val="2"/>
          <c:tx>
            <c:v>Mar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Sheet2!$F$36:$F$50</c:f>
              <c:numCache>
                <c:formatCode>General</c:formatCode>
                <c:ptCount val="15"/>
                <c:pt idx="0">
                  <c:v>90.451041281863141</c:v>
                </c:pt>
                <c:pt idx="1">
                  <c:v>90.361241444911727</c:v>
                </c:pt>
                <c:pt idx="2">
                  <c:v>83.551171597239204</c:v>
                </c:pt>
                <c:pt idx="3">
                  <c:v>75.945848520186686</c:v>
                </c:pt>
                <c:pt idx="4">
                  <c:v>66.381141220585519</c:v>
                </c:pt>
                <c:pt idx="5">
                  <c:v>52.756907766026416</c:v>
                </c:pt>
                <c:pt idx="6">
                  <c:v>31.35946125015192</c:v>
                </c:pt>
                <c:pt idx="7">
                  <c:v>0</c:v>
                </c:pt>
                <c:pt idx="8">
                  <c:v>-31.359461250151913</c:v>
                </c:pt>
                <c:pt idx="9">
                  <c:v>-52.756907766026409</c:v>
                </c:pt>
                <c:pt idx="10">
                  <c:v>-66.381141220585519</c:v>
                </c:pt>
                <c:pt idx="11">
                  <c:v>-75.945848520186686</c:v>
                </c:pt>
                <c:pt idx="12">
                  <c:v>-83.551171597239204</c:v>
                </c:pt>
                <c:pt idx="13">
                  <c:v>-90.361241444912736</c:v>
                </c:pt>
                <c:pt idx="14">
                  <c:v>-90.451041281863141</c:v>
                </c:pt>
              </c:numCache>
            </c:numRef>
          </c:xVal>
          <c:yVal>
            <c:numRef>
              <c:f>Sheet2!$G$36:$G$50</c:f>
              <c:numCache>
                <c:formatCode>General</c:formatCode>
                <c:ptCount val="15"/>
                <c:pt idx="0">
                  <c:v>-3.3876176402008163E-6</c:v>
                </c:pt>
                <c:pt idx="1">
                  <c:v>0.18010655401845438</c:v>
                </c:pt>
                <c:pt idx="2">
                  <c:v>13.577697415597905</c:v>
                </c:pt>
                <c:pt idx="3">
                  <c:v>26.782155271195915</c:v>
                </c:pt>
                <c:pt idx="4">
                  <c:v>39.489878416529798</c:v>
                </c:pt>
                <c:pt idx="5">
                  <c:v>51.092423738598242</c:v>
                </c:pt>
                <c:pt idx="6">
                  <c:v>60.176576331954159</c:v>
                </c:pt>
                <c:pt idx="7">
                  <c:v>63.903650000000013</c:v>
                </c:pt>
                <c:pt idx="8">
                  <c:v>60.176576331954159</c:v>
                </c:pt>
                <c:pt idx="9">
                  <c:v>51.092423738598242</c:v>
                </c:pt>
                <c:pt idx="10">
                  <c:v>39.489878416529798</c:v>
                </c:pt>
                <c:pt idx="11">
                  <c:v>26.782155271195915</c:v>
                </c:pt>
                <c:pt idx="12">
                  <c:v>13.577697415597905</c:v>
                </c:pt>
                <c:pt idx="13">
                  <c:v>0.18010655401845438</c:v>
                </c:pt>
                <c:pt idx="14">
                  <c:v>-3.3876176402008163E-6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9-4275-88EE-A403BE1CFB43}"/>
            </c:ext>
          </c:extLst>
        </c:ser>
        <c:ser>
          <c:idx val="3"/>
          <c:order val="3"/>
          <c:tx>
            <c:v>Apr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Sheet2!$F$52:$F$64</c:f>
              <c:numCache>
                <c:formatCode>General</c:formatCode>
                <c:ptCount val="13"/>
                <c:pt idx="0">
                  <c:v>77.039215831533483</c:v>
                </c:pt>
                <c:pt idx="1">
                  <c:v>72.808499449960294</c:v>
                </c:pt>
                <c:pt idx="2">
                  <c:v>64.85740069351877</c:v>
                </c:pt>
                <c:pt idx="3">
                  <c:v>54.796590288388344</c:v>
                </c:pt>
                <c:pt idx="4">
                  <c:v>41.267920681326885</c:v>
                </c:pt>
                <c:pt idx="5">
                  <c:v>22.844952262269523</c:v>
                </c:pt>
                <c:pt idx="6">
                  <c:v>0</c:v>
                </c:pt>
                <c:pt idx="7">
                  <c:v>-22.844952262269523</c:v>
                </c:pt>
                <c:pt idx="8">
                  <c:v>-41.267920681326885</c:v>
                </c:pt>
                <c:pt idx="9">
                  <c:v>-54.796590288388344</c:v>
                </c:pt>
                <c:pt idx="10">
                  <c:v>-64.857400693518741</c:v>
                </c:pt>
                <c:pt idx="11">
                  <c:v>-72.808499449960266</c:v>
                </c:pt>
                <c:pt idx="12">
                  <c:v>-77.03921658231809</c:v>
                </c:pt>
              </c:numCache>
            </c:numRef>
          </c:xVal>
          <c:yVal>
            <c:numRef>
              <c:f>Sheet2!$G$52:$G$64</c:f>
              <c:numCache>
                <c:formatCode>General</c:formatCode>
                <c:ptCount val="13"/>
                <c:pt idx="0">
                  <c:v>-1.5252449001528304E-6</c:v>
                </c:pt>
                <c:pt idx="1">
                  <c:v>7.8946205481515666</c:v>
                </c:pt>
                <c:pt idx="2">
                  <c:v>20.41393732795683</c:v>
                </c:pt>
                <c:pt idx="3">
                  <c:v>32.030793133381387</c:v>
                </c:pt>
                <c:pt idx="4">
                  <c:v>42.044093016720574</c:v>
                </c:pt>
                <c:pt idx="5">
                  <c:v>49.225618261814461</c:v>
                </c:pt>
                <c:pt idx="6">
                  <c:v>51.920960000000008</c:v>
                </c:pt>
                <c:pt idx="7">
                  <c:v>49.225618261814461</c:v>
                </c:pt>
                <c:pt idx="8">
                  <c:v>42.044093016720574</c:v>
                </c:pt>
                <c:pt idx="9">
                  <c:v>32.030793133381387</c:v>
                </c:pt>
                <c:pt idx="10">
                  <c:v>20.41393732795683</c:v>
                </c:pt>
                <c:pt idx="11">
                  <c:v>7.8946205481515666</c:v>
                </c:pt>
                <c:pt idx="12">
                  <c:v>-2.9927228256223721E-6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9-4275-88EE-A403BE1CFB43}"/>
            </c:ext>
          </c:extLst>
        </c:ser>
        <c:ser>
          <c:idx val="4"/>
          <c:order val="4"/>
          <c:tx>
            <c:v>May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Sheet2!$F$66:$F$78</c:f>
              <c:numCache>
                <c:formatCode>General</c:formatCode>
                <c:ptCount val="13"/>
                <c:pt idx="0">
                  <c:v>67.374940157217864</c:v>
                </c:pt>
                <c:pt idx="1">
                  <c:v>65.317936471125165</c:v>
                </c:pt>
                <c:pt idx="2">
                  <c:v>57.474763908730402</c:v>
                </c:pt>
                <c:pt idx="3">
                  <c:v>47.61968754303642</c:v>
                </c:pt>
                <c:pt idx="4">
                  <c:v>34.906835532053279</c:v>
                </c:pt>
                <c:pt idx="5">
                  <c:v>18.774733461653259</c:v>
                </c:pt>
                <c:pt idx="6">
                  <c:v>0</c:v>
                </c:pt>
                <c:pt idx="7">
                  <c:v>-18.774733461653259</c:v>
                </c:pt>
                <c:pt idx="8">
                  <c:v>-34.906835532053279</c:v>
                </c:pt>
                <c:pt idx="9">
                  <c:v>-47.61968754303642</c:v>
                </c:pt>
                <c:pt idx="10">
                  <c:v>-57.474763908730402</c:v>
                </c:pt>
                <c:pt idx="11">
                  <c:v>-65.317936471125179</c:v>
                </c:pt>
                <c:pt idx="12">
                  <c:v>-67.374940916618399</c:v>
                </c:pt>
              </c:numCache>
            </c:numRef>
          </c:xVal>
          <c:yVal>
            <c:numRef>
              <c:f>Sheet2!$G$66:$G$78</c:f>
              <c:numCache>
                <c:formatCode>General</c:formatCode>
                <c:ptCount val="13"/>
                <c:pt idx="0">
                  <c:v>-8.554293149138846E-2</c:v>
                </c:pt>
                <c:pt idx="1">
                  <c:v>3.5707368179250563</c:v>
                </c:pt>
                <c:pt idx="2">
                  <c:v>15.348666087593744</c:v>
                </c:pt>
                <c:pt idx="3">
                  <c:v>26.008653555311326</c:v>
                </c:pt>
                <c:pt idx="4">
                  <c:v>34.881397843839174</c:v>
                </c:pt>
                <c:pt idx="5">
                  <c:v>40.974352849637704</c:v>
                </c:pt>
                <c:pt idx="6">
                  <c:v>43.181990000000006</c:v>
                </c:pt>
                <c:pt idx="7">
                  <c:v>40.974352849637704</c:v>
                </c:pt>
                <c:pt idx="8">
                  <c:v>34.881397843839174</c:v>
                </c:pt>
                <c:pt idx="9">
                  <c:v>26.008653555311326</c:v>
                </c:pt>
                <c:pt idx="10">
                  <c:v>15.348666087593744</c:v>
                </c:pt>
                <c:pt idx="11">
                  <c:v>3.5707368179250563</c:v>
                </c:pt>
                <c:pt idx="12">
                  <c:v>-8.5544326518401631E-2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9-4275-88EE-A403BE1CFB43}"/>
            </c:ext>
          </c:extLst>
        </c:ser>
        <c:ser>
          <c:idx val="5"/>
          <c:order val="5"/>
          <c:tx>
            <c:v>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Sheet2!$F$80:$F$92</c:f>
              <c:numCache>
                <c:formatCode>General</c:formatCode>
                <c:ptCount val="13"/>
                <c:pt idx="0">
                  <c:v>63.598154514996537</c:v>
                </c:pt>
                <c:pt idx="1">
                  <c:v>62.460274608443505</c:v>
                </c:pt>
                <c:pt idx="2">
                  <c:v>54.7831563621288</c:v>
                </c:pt>
                <c:pt idx="3">
                  <c:v>45.138125204743972</c:v>
                </c:pt>
                <c:pt idx="4">
                  <c:v>32.841518850512401</c:v>
                </c:pt>
                <c:pt idx="5">
                  <c:v>17.533671497188674</c:v>
                </c:pt>
                <c:pt idx="6">
                  <c:v>0</c:v>
                </c:pt>
                <c:pt idx="7">
                  <c:v>-17.533671497188674</c:v>
                </c:pt>
                <c:pt idx="8">
                  <c:v>-32.841518850512401</c:v>
                </c:pt>
                <c:pt idx="9">
                  <c:v>-45.138125204743979</c:v>
                </c:pt>
                <c:pt idx="10">
                  <c:v>-54.7831563621288</c:v>
                </c:pt>
                <c:pt idx="11">
                  <c:v>-62.460274608443505</c:v>
                </c:pt>
                <c:pt idx="12">
                  <c:v>-63.598154066452679</c:v>
                </c:pt>
              </c:numCache>
            </c:numRef>
          </c:xVal>
          <c:yVal>
            <c:numRef>
              <c:f>Sheet2!$G$80:$G$92</c:f>
              <c:numCache>
                <c:formatCode>General</c:formatCode>
                <c:ptCount val="13"/>
                <c:pt idx="0">
                  <c:v>1.3845969936395521E-6</c:v>
                </c:pt>
                <c:pt idx="1">
                  <c:v>2.0019577271613418</c:v>
                </c:pt>
                <c:pt idx="2">
                  <c:v>13.470711899452507</c:v>
                </c:pt>
                <c:pt idx="3">
                  <c:v>23.76506288338032</c:v>
                </c:pt>
                <c:pt idx="4">
                  <c:v>32.239725048011238</c:v>
                </c:pt>
                <c:pt idx="5">
                  <c:v>37.987038157189602</c:v>
                </c:pt>
                <c:pt idx="6">
                  <c:v>40.05022000000001</c:v>
                </c:pt>
                <c:pt idx="7">
                  <c:v>37.987038157189602</c:v>
                </c:pt>
                <c:pt idx="8">
                  <c:v>32.239725048011238</c:v>
                </c:pt>
                <c:pt idx="9">
                  <c:v>23.76506288338032</c:v>
                </c:pt>
                <c:pt idx="10">
                  <c:v>13.470711899452507</c:v>
                </c:pt>
                <c:pt idx="11">
                  <c:v>2.0019577271613418</c:v>
                </c:pt>
                <c:pt idx="12">
                  <c:v>2.1904019912685157E-6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9-4275-88EE-A403BE1CFB43}"/>
            </c:ext>
          </c:extLst>
        </c:ser>
        <c:ser>
          <c:idx val="6"/>
          <c:order val="6"/>
          <c:tx>
            <c:v>Aug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Sheet2!$F$108:$F$120</c:f>
              <c:numCache>
                <c:formatCode>General</c:formatCode>
                <c:ptCount val="13"/>
                <c:pt idx="0">
                  <c:v>76.842534968383418</c:v>
                </c:pt>
                <c:pt idx="1">
                  <c:v>72.654274591418471</c:v>
                </c:pt>
                <c:pt idx="2">
                  <c:v>64.70301048297803</c:v>
                </c:pt>
                <c:pt idx="3">
                  <c:v>54.642628750083787</c:v>
                </c:pt>
                <c:pt idx="4">
                  <c:v>41.126178267034064</c:v>
                </c:pt>
                <c:pt idx="5">
                  <c:v>22.750186125822193</c:v>
                </c:pt>
                <c:pt idx="6">
                  <c:v>0</c:v>
                </c:pt>
                <c:pt idx="7">
                  <c:v>-22.750186125822193</c:v>
                </c:pt>
                <c:pt idx="8">
                  <c:v>-41.126178267034071</c:v>
                </c:pt>
                <c:pt idx="9">
                  <c:v>-54.642628750083787</c:v>
                </c:pt>
                <c:pt idx="10">
                  <c:v>-64.70301048297803</c:v>
                </c:pt>
                <c:pt idx="11">
                  <c:v>-72.654274591418471</c:v>
                </c:pt>
                <c:pt idx="12">
                  <c:v>-76.842536434299916</c:v>
                </c:pt>
              </c:numCache>
            </c:numRef>
          </c:xVal>
          <c:yVal>
            <c:numRef>
              <c:f>Sheet2!$G$108:$G$120</c:f>
              <c:numCache>
                <c:formatCode>General</c:formatCode>
                <c:ptCount val="13"/>
                <c:pt idx="0">
                  <c:v>2.3940946554833733E-7</c:v>
                </c:pt>
                <c:pt idx="1">
                  <c:v>7.8091119872929902</c:v>
                </c:pt>
                <c:pt idx="2">
                  <c:v>20.315431888675317</c:v>
                </c:pt>
                <c:pt idx="3">
                  <c:v>31.91419491679731</c:v>
                </c:pt>
                <c:pt idx="4">
                  <c:v>41.904276892486322</c:v>
                </c:pt>
                <c:pt idx="5">
                  <c:v>49.061880825370388</c:v>
                </c:pt>
                <c:pt idx="6">
                  <c:v>51.745880000000007</c:v>
                </c:pt>
                <c:pt idx="7">
                  <c:v>49.061880825370388</c:v>
                </c:pt>
                <c:pt idx="8">
                  <c:v>41.904276892486322</c:v>
                </c:pt>
                <c:pt idx="9">
                  <c:v>31.91419491679731</c:v>
                </c:pt>
                <c:pt idx="10">
                  <c:v>20.315431888675317</c:v>
                </c:pt>
                <c:pt idx="11">
                  <c:v>7.8091119872929902</c:v>
                </c:pt>
                <c:pt idx="12">
                  <c:v>-2.6235794013182882E-6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9-4275-88EE-A403BE1CFB43}"/>
            </c:ext>
          </c:extLst>
        </c:ser>
        <c:ser>
          <c:idx val="7"/>
          <c:order val="7"/>
          <c:tx>
            <c:v>Sep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Sheet2!$F$122:$F$136</c:f>
              <c:numCache>
                <c:formatCode>General</c:formatCode>
                <c:ptCount val="15"/>
                <c:pt idx="0">
                  <c:v>90.225529522340707</c:v>
                </c:pt>
                <c:pt idx="1">
                  <c:v>90.180629220535266</c:v>
                </c:pt>
                <c:pt idx="2">
                  <c:v>83.366605723639196</c:v>
                </c:pt>
                <c:pt idx="3">
                  <c:v>75.749753460415747</c:v>
                </c:pt>
                <c:pt idx="4">
                  <c:v>66.167058946989243</c:v>
                </c:pt>
                <c:pt idx="5">
                  <c:v>52.528670565135748</c:v>
                </c:pt>
                <c:pt idx="6">
                  <c:v>31.171482069008491</c:v>
                </c:pt>
                <c:pt idx="7">
                  <c:v>0</c:v>
                </c:pt>
                <c:pt idx="8">
                  <c:v>-31.171482069008491</c:v>
                </c:pt>
                <c:pt idx="9">
                  <c:v>-52.528670565135741</c:v>
                </c:pt>
                <c:pt idx="10">
                  <c:v>-66.167058946989258</c:v>
                </c:pt>
                <c:pt idx="11">
                  <c:v>-75.749753460415747</c:v>
                </c:pt>
                <c:pt idx="12">
                  <c:v>-83.366605723639125</c:v>
                </c:pt>
                <c:pt idx="13">
                  <c:v>-90.180629220537284</c:v>
                </c:pt>
                <c:pt idx="14">
                  <c:v>-90.225528977240288</c:v>
                </c:pt>
              </c:numCache>
            </c:numRef>
          </c:xVal>
          <c:yVal>
            <c:numRef>
              <c:f>Sheet2!$G$122:$G$136</c:f>
              <c:numCache>
                <c:formatCode>General</c:formatCode>
                <c:ptCount val="15"/>
                <c:pt idx="0">
                  <c:v>-1.8191774990632142E-6</c:v>
                </c:pt>
                <c:pt idx="1">
                  <c:v>9.0055955453674522E-2</c:v>
                </c:pt>
                <c:pt idx="2">
                  <c:v>13.485330076183043</c:v>
                </c:pt>
                <c:pt idx="3">
                  <c:v>26.681862857620938</c:v>
                </c:pt>
                <c:pt idx="4">
                  <c:v>39.374163759811545</c:v>
                </c:pt>
                <c:pt idx="5">
                  <c:v>50.950579838250036</c:v>
                </c:pt>
                <c:pt idx="6">
                  <c:v>59.997847802671366</c:v>
                </c:pt>
                <c:pt idx="7">
                  <c:v>63.701830000000015</c:v>
                </c:pt>
                <c:pt idx="8">
                  <c:v>59.997847802671366</c:v>
                </c:pt>
                <c:pt idx="9">
                  <c:v>50.950579838250036</c:v>
                </c:pt>
                <c:pt idx="10">
                  <c:v>39.374163759811545</c:v>
                </c:pt>
                <c:pt idx="11">
                  <c:v>26.681862857620938</c:v>
                </c:pt>
                <c:pt idx="12">
                  <c:v>13.485330076183043</c:v>
                </c:pt>
                <c:pt idx="13">
                  <c:v>9.0055955453674522E-2</c:v>
                </c:pt>
                <c:pt idx="14">
                  <c:v>-7.2586382500907127E-7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89-4275-88EE-A403BE1CFB43}"/>
            </c:ext>
          </c:extLst>
        </c:ser>
        <c:ser>
          <c:idx val="8"/>
          <c:order val="8"/>
          <c:tx>
            <c:v>Oct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Sheet2!$F$138:$F$152</c:f>
              <c:numCache>
                <c:formatCode>General</c:formatCode>
                <c:ptCount val="15"/>
                <c:pt idx="0">
                  <c:v>103.15746503161658</c:v>
                </c:pt>
                <c:pt idx="1">
                  <c:v>100.54844555199035</c:v>
                </c:pt>
                <c:pt idx="2">
                  <c:v>94.187970585917512</c:v>
                </c:pt>
                <c:pt idx="3">
                  <c:v>87.561172405906547</c:v>
                </c:pt>
                <c:pt idx="4">
                  <c:v>79.637837866878087</c:v>
                </c:pt>
                <c:pt idx="5">
                  <c:v>68.178354125972859</c:v>
                </c:pt>
                <c:pt idx="6">
                  <c:v>46.596818383456231</c:v>
                </c:pt>
                <c:pt idx="7">
                  <c:v>0</c:v>
                </c:pt>
                <c:pt idx="8">
                  <c:v>-46.596818383456245</c:v>
                </c:pt>
                <c:pt idx="9">
                  <c:v>-68.178354125972874</c:v>
                </c:pt>
                <c:pt idx="10">
                  <c:v>-79.637837866878044</c:v>
                </c:pt>
                <c:pt idx="11">
                  <c:v>-87.561172405906547</c:v>
                </c:pt>
                <c:pt idx="12">
                  <c:v>-94.187970585917512</c:v>
                </c:pt>
                <c:pt idx="13">
                  <c:v>-100.54844555199035</c:v>
                </c:pt>
                <c:pt idx="14">
                  <c:v>-103.15746356569997</c:v>
                </c:pt>
              </c:numCache>
            </c:numRef>
          </c:xVal>
          <c:yVal>
            <c:numRef>
              <c:f>Sheet2!$G$138:$G$152</c:f>
              <c:numCache>
                <c:formatCode>General</c:formatCode>
                <c:ptCount val="15"/>
                <c:pt idx="0">
                  <c:v>-1.2722218725854067E-14</c:v>
                </c:pt>
                <c:pt idx="1">
                  <c:v>5.2151508220219815</c:v>
                </c:pt>
                <c:pt idx="2">
                  <c:v>18.521770794448173</c:v>
                </c:pt>
                <c:pt idx="3">
                  <c:v>31.936569049791913</c:v>
                </c:pt>
                <c:pt idx="4">
                  <c:v>45.270765731388835</c:v>
                </c:pt>
                <c:pt idx="5">
                  <c:v>58.176875905335095</c:v>
                </c:pt>
                <c:pt idx="6">
                  <c:v>69.58809374407852</c:v>
                </c:pt>
                <c:pt idx="7">
                  <c:v>75.254120525303392</c:v>
                </c:pt>
                <c:pt idx="8">
                  <c:v>69.58809374407852</c:v>
                </c:pt>
                <c:pt idx="9">
                  <c:v>58.176875905335095</c:v>
                </c:pt>
                <c:pt idx="10">
                  <c:v>45.270765731388835</c:v>
                </c:pt>
                <c:pt idx="11">
                  <c:v>31.936569049791913</c:v>
                </c:pt>
                <c:pt idx="12">
                  <c:v>18.521770794448173</c:v>
                </c:pt>
                <c:pt idx="13">
                  <c:v>5.2151508220219815</c:v>
                </c:pt>
                <c:pt idx="14">
                  <c:v>2.8629888485784364E-6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89-4275-88EE-A403BE1CFB43}"/>
            </c:ext>
          </c:extLst>
        </c:ser>
        <c:ser>
          <c:idx val="9"/>
          <c:order val="9"/>
          <c:tx>
            <c:v>Nov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Sheet2!$F$154:$F$168</c:f>
              <c:numCache>
                <c:formatCode>General</c:formatCode>
                <c:ptCount val="15"/>
                <c:pt idx="0">
                  <c:v>112.97025913192432</c:v>
                </c:pt>
                <c:pt idx="1">
                  <c:v>108.44670868418775</c:v>
                </c:pt>
                <c:pt idx="2">
                  <c:v>102.72235926464697</c:v>
                </c:pt>
                <c:pt idx="3">
                  <c:v>97.268889615272556</c:v>
                </c:pt>
                <c:pt idx="4">
                  <c:v>91.462400421766418</c:v>
                </c:pt>
                <c:pt idx="5">
                  <c:v>83.965419930467888</c:v>
                </c:pt>
                <c:pt idx="6">
                  <c:v>69.371122381585764</c:v>
                </c:pt>
                <c:pt idx="7">
                  <c:v>0</c:v>
                </c:pt>
                <c:pt idx="8">
                  <c:v>-69.371122381585764</c:v>
                </c:pt>
                <c:pt idx="9">
                  <c:v>-83.965419930467888</c:v>
                </c:pt>
                <c:pt idx="10">
                  <c:v>-91.462400421766176</c:v>
                </c:pt>
                <c:pt idx="11">
                  <c:v>-97.268889615272499</c:v>
                </c:pt>
                <c:pt idx="12">
                  <c:v>-102.722359264647</c:v>
                </c:pt>
                <c:pt idx="13">
                  <c:v>-108.44670868418773</c:v>
                </c:pt>
                <c:pt idx="14">
                  <c:v>-112.97028024915808</c:v>
                </c:pt>
              </c:numCache>
            </c:numRef>
          </c:xVal>
          <c:yVal>
            <c:numRef>
              <c:f>Sheet2!$G$154:$G$168</c:f>
              <c:numCache>
                <c:formatCode>General</c:formatCode>
                <c:ptCount val="15"/>
                <c:pt idx="0">
                  <c:v>1.1131941385122309E-14</c:v>
                </c:pt>
                <c:pt idx="1">
                  <c:v>8.9652300330178676</c:v>
                </c:pt>
                <c:pt idx="2">
                  <c:v>21.893062375090555</c:v>
                </c:pt>
                <c:pt idx="3">
                  <c:v>35.108377143711699</c:v>
                </c:pt>
                <c:pt idx="4">
                  <c:v>48.486570738100092</c:v>
                </c:pt>
                <c:pt idx="5">
                  <c:v>61.892634616801843</c:v>
                </c:pt>
                <c:pt idx="6">
                  <c:v>74.981181908432646</c:v>
                </c:pt>
                <c:pt idx="7">
                  <c:v>83.941513173733611</c:v>
                </c:pt>
                <c:pt idx="8">
                  <c:v>74.981181908432646</c:v>
                </c:pt>
                <c:pt idx="9">
                  <c:v>61.892634616801843</c:v>
                </c:pt>
                <c:pt idx="10">
                  <c:v>48.486570738100092</c:v>
                </c:pt>
                <c:pt idx="11">
                  <c:v>35.108377143711699</c:v>
                </c:pt>
                <c:pt idx="12">
                  <c:v>21.893062375090555</c:v>
                </c:pt>
                <c:pt idx="13">
                  <c:v>8.9652300330178676</c:v>
                </c:pt>
                <c:pt idx="14">
                  <c:v>-3.8996203417947021E-5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89-4275-88EE-A403BE1CFB43}"/>
            </c:ext>
          </c:extLst>
        </c:ser>
        <c:ser>
          <c:idx val="10"/>
          <c:order val="10"/>
          <c:tx>
            <c:v>Dec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Sheet2!$F$170:$F$184</c:f>
              <c:numCache>
                <c:formatCode>General</c:formatCode>
                <c:ptCount val="15"/>
                <c:pt idx="0">
                  <c:v>116.40184797241967</c:v>
                </c:pt>
                <c:pt idx="1">
                  <c:v>111.21602434080282</c:v>
                </c:pt>
                <c:pt idx="2">
                  <c:v>105.76606932473837</c:v>
                </c:pt>
                <c:pt idx="3">
                  <c:v>100.79324204456951</c:v>
                </c:pt>
                <c:pt idx="4">
                  <c:v>95.86907980102464</c:v>
                </c:pt>
                <c:pt idx="5">
                  <c:v>90.203695413541567</c:v>
                </c:pt>
                <c:pt idx="6">
                  <c:v>80.610655323279644</c:v>
                </c:pt>
                <c:pt idx="7">
                  <c:v>0</c:v>
                </c:pt>
                <c:pt idx="8">
                  <c:v>-80.610655323279687</c:v>
                </c:pt>
                <c:pt idx="9">
                  <c:v>-90.203695413541567</c:v>
                </c:pt>
                <c:pt idx="10">
                  <c:v>-95.869079801024583</c:v>
                </c:pt>
                <c:pt idx="11">
                  <c:v>-100.79324204456954</c:v>
                </c:pt>
                <c:pt idx="12">
                  <c:v>-105.76606932473838</c:v>
                </c:pt>
                <c:pt idx="13">
                  <c:v>-111.21602434080282</c:v>
                </c:pt>
                <c:pt idx="14">
                  <c:v>-116.40182611331051</c:v>
                </c:pt>
              </c:numCache>
            </c:numRef>
          </c:xVal>
          <c:yVal>
            <c:numRef>
              <c:f>Sheet2!$G$170:$G$184</c:f>
              <c:numCache>
                <c:formatCode>General</c:formatCode>
                <c:ptCount val="15"/>
                <c:pt idx="0">
                  <c:v>2.3854160110976374E-14</c:v>
                </c:pt>
                <c:pt idx="1">
                  <c:v>10.227800285918835</c:v>
                </c:pt>
                <c:pt idx="2">
                  <c:v>22.958116772469044</c:v>
                </c:pt>
                <c:pt idx="3">
                  <c:v>36.020365012704048</c:v>
                </c:pt>
                <c:pt idx="4">
                  <c:v>49.298019118965122</c:v>
                </c:pt>
                <c:pt idx="5">
                  <c:v>62.696263588367628</c:v>
                </c:pt>
                <c:pt idx="6">
                  <c:v>76.074071069347511</c:v>
                </c:pt>
                <c:pt idx="7">
                  <c:v>86.949782846813875</c:v>
                </c:pt>
                <c:pt idx="8">
                  <c:v>76.074071069347511</c:v>
                </c:pt>
                <c:pt idx="9">
                  <c:v>62.696263588367628</c:v>
                </c:pt>
                <c:pt idx="10">
                  <c:v>49.298019118965122</c:v>
                </c:pt>
                <c:pt idx="11">
                  <c:v>36.020365012704048</c:v>
                </c:pt>
                <c:pt idx="12">
                  <c:v>22.958116772469044</c:v>
                </c:pt>
                <c:pt idx="13">
                  <c:v>10.227800285918835</c:v>
                </c:pt>
                <c:pt idx="14">
                  <c:v>3.9269710693440505E-5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9-4275-88EE-A403BE1C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46600"/>
        <c:axId val="715226752"/>
      </c:scatterChart>
      <c:valAx>
        <c:axId val="70984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Azimuth angle </a:t>
                </a:r>
                <a:r>
                  <a:rPr lang="el-GR"/>
                  <a:t>δ</a:t>
                </a:r>
                <a:r>
                  <a:rPr lang="en-A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26752"/>
        <c:crosses val="autoZero"/>
        <c:crossBetween val="midCat"/>
        <c:majorUnit val="20"/>
      </c:valAx>
      <c:valAx>
        <c:axId val="7152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Altitude</a:t>
                </a:r>
                <a:r>
                  <a:rPr lang="en-AU" baseline="0"/>
                  <a:t> angle </a:t>
                </a:r>
                <a:r>
                  <a:rPr lang="el-GR" baseline="0"/>
                  <a:t>β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4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clear-sky Insolation</a:t>
            </a:r>
            <a:r>
              <a:rPr lang="en-US" baseline="0"/>
              <a:t> from sunrise to sunset for the 21st day of every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Sheet2!$L$4:$L$18</c:f>
              <c:numCache>
                <c:formatCode>h:mm</c:formatCode>
                <c:ptCount val="15"/>
                <c:pt idx="0">
                  <c:v>0.22013888888888888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0.77916666666666667</c:v>
                </c:pt>
              </c:numCache>
            </c:numRef>
          </c:xVal>
          <c:yVal>
            <c:numRef>
              <c:f>Sheet2!$M$4:$M$18</c:f>
              <c:numCache>
                <c:formatCode>General</c:formatCode>
                <c:ptCount val="15"/>
                <c:pt idx="0">
                  <c:v>0</c:v>
                </c:pt>
                <c:pt idx="1">
                  <c:v>240.62122944968533</c:v>
                </c:pt>
                <c:pt idx="2">
                  <c:v>588.76867999890419</c:v>
                </c:pt>
                <c:pt idx="3">
                  <c:v>842.69210104194224</c:v>
                </c:pt>
                <c:pt idx="4">
                  <c:v>1023.7383549983533</c:v>
                </c:pt>
                <c:pt idx="5">
                  <c:v>1130.01437712867</c:v>
                </c:pt>
                <c:pt idx="6">
                  <c:v>1158.7044080089672</c:v>
                </c:pt>
                <c:pt idx="7">
                  <c:v>1110.4992432524186</c:v>
                </c:pt>
                <c:pt idx="8">
                  <c:v>990.82435019432626</c:v>
                </c:pt>
                <c:pt idx="9">
                  <c:v>810.13764659617766</c:v>
                </c:pt>
                <c:pt idx="10">
                  <c:v>583.9970847460869</c:v>
                </c:pt>
                <c:pt idx="11">
                  <c:v>333.80695990453245</c:v>
                </c:pt>
                <c:pt idx="12">
                  <c:v>91.886391930129989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4BBE-81C0-2E9B95AD1EB2}"/>
            </c:ext>
          </c:extLst>
        </c:ser>
        <c:ser>
          <c:idx val="1"/>
          <c:order val="1"/>
          <c:tx>
            <c:v>Feb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Sheet2!$L$20:$L$34</c:f>
              <c:numCache>
                <c:formatCode>h:mm</c:formatCode>
                <c:ptCount val="15"/>
                <c:pt idx="0">
                  <c:v>0.23422424635203834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0.76577575364796158</c:v>
                </c:pt>
              </c:numCache>
            </c:numRef>
          </c:xVal>
          <c:yVal>
            <c:numRef>
              <c:f>Sheet2!$M$20:$M$34</c:f>
              <c:numCache>
                <c:formatCode>General</c:formatCode>
                <c:ptCount val="15"/>
                <c:pt idx="0">
                  <c:v>0</c:v>
                </c:pt>
                <c:pt idx="1">
                  <c:v>101.38854268255375</c:v>
                </c:pt>
                <c:pt idx="2">
                  <c:v>515.04391180984726</c:v>
                </c:pt>
                <c:pt idx="3">
                  <c:v>790.80142659031276</c:v>
                </c:pt>
                <c:pt idx="4">
                  <c:v>982.46282352447986</c:v>
                </c:pt>
                <c:pt idx="5">
                  <c:v>1094.5059068192397</c:v>
                </c:pt>
                <c:pt idx="6">
                  <c:v>1125.77154170991</c:v>
                </c:pt>
                <c:pt idx="7">
                  <c:v>1077.6201746815329</c:v>
                </c:pt>
                <c:pt idx="8">
                  <c:v>955.9541210304011</c:v>
                </c:pt>
                <c:pt idx="9">
                  <c:v>771.78657607118851</c:v>
                </c:pt>
                <c:pt idx="10">
                  <c:v>541.54895349029482</c:v>
                </c:pt>
                <c:pt idx="11">
                  <c:v>288.53529328833991</c:v>
                </c:pt>
                <c:pt idx="12">
                  <c:v>51.818089832189862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A-4BBE-81C0-2E9B95AD1EB2}"/>
            </c:ext>
          </c:extLst>
        </c:ser>
        <c:ser>
          <c:idx val="2"/>
          <c:order val="2"/>
          <c:tx>
            <c:v>Mar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Sheet2!$L$36:$L$50</c:f>
              <c:numCache>
                <c:formatCode>h:mm</c:formatCode>
                <c:ptCount val="15"/>
                <c:pt idx="0">
                  <c:v>0.24944095053879947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0.75055904946120044</c:v>
                </c:pt>
              </c:numCache>
            </c:numRef>
          </c:xVal>
          <c:yVal>
            <c:numRef>
              <c:f>Sheet2!$M$36:$M$50</c:f>
              <c:numCache>
                <c:formatCode>General</c:formatCode>
                <c:ptCount val="15"/>
                <c:pt idx="0">
                  <c:v>0</c:v>
                </c:pt>
                <c:pt idx="1">
                  <c:v>1.9442158587804285E-20</c:v>
                </c:pt>
                <c:pt idx="2">
                  <c:v>381.80693464761356</c:v>
                </c:pt>
                <c:pt idx="3">
                  <c:v>685.71791266353512</c:v>
                </c:pt>
                <c:pt idx="4">
                  <c:v>886.95147724593767</c:v>
                </c:pt>
                <c:pt idx="5">
                  <c:v>1003.7007902826898</c:v>
                </c:pt>
                <c:pt idx="6">
                  <c:v>1038.1722084631697</c:v>
                </c:pt>
                <c:pt idx="7">
                  <c:v>992.90702132812555</c:v>
                </c:pt>
                <c:pt idx="8">
                  <c:v>874.36059354950294</c:v>
                </c:pt>
                <c:pt idx="9">
                  <c:v>693.96549414377819</c:v>
                </c:pt>
                <c:pt idx="10">
                  <c:v>468.86800340711522</c:v>
                </c:pt>
                <c:pt idx="11">
                  <c:v>224.66530977135446</c:v>
                </c:pt>
                <c:pt idx="12">
                  <c:v>12.447728855622548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A-4BBE-81C0-2E9B95AD1EB2}"/>
            </c:ext>
          </c:extLst>
        </c:ser>
        <c:ser>
          <c:idx val="3"/>
          <c:order val="3"/>
          <c:tx>
            <c:v>Apr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Sheet2!$L$52:$L$64</c:f>
              <c:numCache>
                <c:formatCode>h:mm</c:formatCode>
                <c:ptCount val="13"/>
                <c:pt idx="0">
                  <c:v>0.26628672688229821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0.73371327311770174</c:v>
                </c:pt>
              </c:numCache>
            </c:numRef>
          </c:xVal>
          <c:yVal>
            <c:numRef>
              <c:f>Sheet2!$M$52:$M$64</c:f>
              <c:numCache>
                <c:formatCode>General</c:formatCode>
                <c:ptCount val="13"/>
                <c:pt idx="0">
                  <c:v>0</c:v>
                </c:pt>
                <c:pt idx="1">
                  <c:v>178.69910623645006</c:v>
                </c:pt>
                <c:pt idx="2">
                  <c:v>521.16829076592774</c:v>
                </c:pt>
                <c:pt idx="3">
                  <c:v>731.23174737929435</c:v>
                </c:pt>
                <c:pt idx="4">
                  <c:v>851.19095955114994</c:v>
                </c:pt>
                <c:pt idx="5">
                  <c:v>889.55833432657857</c:v>
                </c:pt>
                <c:pt idx="6">
                  <c:v>850.8707887726905</c:v>
                </c:pt>
                <c:pt idx="7">
                  <c:v>742.25461363834086</c:v>
                </c:pt>
                <c:pt idx="8">
                  <c:v>575.35994486716413</c:v>
                </c:pt>
                <c:pt idx="9">
                  <c:v>367.82417870680644</c:v>
                </c:pt>
                <c:pt idx="10">
                  <c:v>148.38099310596976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A-4BBE-81C0-2E9B95AD1EB2}"/>
            </c:ext>
          </c:extLst>
        </c:ser>
        <c:ser>
          <c:idx val="4"/>
          <c:order val="4"/>
          <c:tx>
            <c:v>May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Sheet2!$L$66:$L$78</c:f>
              <c:numCache>
                <c:formatCode>h:mm</c:formatCode>
                <c:ptCount val="13"/>
                <c:pt idx="0">
                  <c:v>0.27926292136312197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0.72073707863687808</c:v>
                </c:pt>
              </c:numCache>
            </c:numRef>
          </c:xVal>
          <c:yVal>
            <c:numRef>
              <c:f>Sheet2!$M$66:$M$78</c:f>
              <c:numCache>
                <c:formatCode>General</c:formatCode>
                <c:ptCount val="13"/>
                <c:pt idx="0">
                  <c:v>0</c:v>
                </c:pt>
                <c:pt idx="1">
                  <c:v>24.705188606734666</c:v>
                </c:pt>
                <c:pt idx="2">
                  <c:v>369.09918972494711</c:v>
                </c:pt>
                <c:pt idx="3">
                  <c:v>586.57518477900896</c:v>
                </c:pt>
                <c:pt idx="4">
                  <c:v>708.51684439624375</c:v>
                </c:pt>
                <c:pt idx="5">
                  <c:v>750.320209812239</c:v>
                </c:pt>
                <c:pt idx="6">
                  <c:v>718.66677461285826</c:v>
                </c:pt>
                <c:pt idx="7">
                  <c:v>621.32109595324084</c:v>
                </c:pt>
                <c:pt idx="8">
                  <c:v>470.03204584061604</c:v>
                </c:pt>
                <c:pt idx="9">
                  <c:v>282.80726802698348</c:v>
                </c:pt>
                <c:pt idx="10">
                  <c:v>91.983819428698823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A-4BBE-81C0-2E9B95AD1EB2}"/>
            </c:ext>
          </c:extLst>
        </c:ser>
        <c:ser>
          <c:idx val="5"/>
          <c:order val="5"/>
          <c:tx>
            <c:v>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Sheet2!$L$80:$L$92</c:f>
              <c:numCache>
                <c:formatCode>h:mm</c:formatCode>
                <c:ptCount val="13"/>
                <c:pt idx="0">
                  <c:v>0.28469458054095059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0.71530541945904946</c:v>
                </c:pt>
              </c:numCache>
            </c:numRef>
          </c:xVal>
          <c:yVal>
            <c:numRef>
              <c:f>Sheet2!$M$80:$M$92</c:f>
              <c:numCache>
                <c:formatCode>General</c:formatCode>
                <c:ptCount val="13"/>
                <c:pt idx="0">
                  <c:v>0</c:v>
                </c:pt>
                <c:pt idx="1">
                  <c:v>1.4548177279513717</c:v>
                </c:pt>
                <c:pt idx="2">
                  <c:v>301.53401295301103</c:v>
                </c:pt>
                <c:pt idx="3">
                  <c:v>520.82600680880728</c:v>
                </c:pt>
                <c:pt idx="4">
                  <c:v>643.28808120982694</c:v>
                </c:pt>
                <c:pt idx="5">
                  <c:v>686.69923786599077</c:v>
                </c:pt>
                <c:pt idx="6">
                  <c:v>658.63963358340015</c:v>
                </c:pt>
                <c:pt idx="7">
                  <c:v>567.13353221736361</c:v>
                </c:pt>
                <c:pt idx="8">
                  <c:v>423.95063189490418</c:v>
                </c:pt>
                <c:pt idx="9">
                  <c:v>247.27345010663933</c:v>
                </c:pt>
                <c:pt idx="10">
                  <c:v>71.297469840280698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8A-4BBE-81C0-2E9B95AD1EB2}"/>
            </c:ext>
          </c:extLst>
        </c:ser>
        <c:ser>
          <c:idx val="6"/>
          <c:order val="6"/>
          <c:tx>
            <c:v>Jul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Sheet2!$L$94:$L$106</c:f>
              <c:numCache>
                <c:formatCode>h:mm</c:formatCode>
                <c:ptCount val="13"/>
                <c:pt idx="0">
                  <c:v>0.27974903520262712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0.72025096479737283</c:v>
                </c:pt>
              </c:numCache>
            </c:numRef>
          </c:xVal>
          <c:yVal>
            <c:numRef>
              <c:f>Sheet2!$M$94:$M$106</c:f>
              <c:numCache>
                <c:formatCode>General</c:formatCode>
                <c:ptCount val="13"/>
                <c:pt idx="0">
                  <c:v>0</c:v>
                </c:pt>
                <c:pt idx="1">
                  <c:v>18.999898053779077</c:v>
                </c:pt>
                <c:pt idx="2">
                  <c:v>346.28861047491597</c:v>
                </c:pt>
                <c:pt idx="3">
                  <c:v>561.30843587110155</c:v>
                </c:pt>
                <c:pt idx="4">
                  <c:v>682.63257232410592</c:v>
                </c:pt>
                <c:pt idx="5">
                  <c:v>724.97484880071602</c:v>
                </c:pt>
                <c:pt idx="6">
                  <c:v>694.9787758436629</c:v>
                </c:pt>
                <c:pt idx="7">
                  <c:v>600.4010817314412</c:v>
                </c:pt>
                <c:pt idx="8">
                  <c:v>452.97539095619351</c:v>
                </c:pt>
                <c:pt idx="9">
                  <c:v>270.75882983207362</c:v>
                </c:pt>
                <c:pt idx="10">
                  <c:v>86.408258506454615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8A-4BBE-81C0-2E9B95AD1EB2}"/>
            </c:ext>
          </c:extLst>
        </c:ser>
        <c:ser>
          <c:idx val="7"/>
          <c:order val="7"/>
          <c:tx>
            <c:v>Aug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Sheet2!$L$108:$L$120</c:f>
              <c:numCache>
                <c:formatCode>h:mm</c:formatCode>
                <c:ptCount val="13"/>
                <c:pt idx="0">
                  <c:v>0.26654089800097602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0.73345910199902387</c:v>
                </c:pt>
              </c:numCache>
            </c:numRef>
          </c:xVal>
          <c:yVal>
            <c:numRef>
              <c:f>Sheet2!$M$108:$M$120</c:f>
              <c:numCache>
                <c:formatCode>General</c:formatCode>
                <c:ptCount val="13"/>
                <c:pt idx="0">
                  <c:v>0</c:v>
                </c:pt>
                <c:pt idx="1">
                  <c:v>148.54583932374388</c:v>
                </c:pt>
                <c:pt idx="2">
                  <c:v>479.11928621429144</c:v>
                </c:pt>
                <c:pt idx="3">
                  <c:v>686.47328376605412</c:v>
                </c:pt>
                <c:pt idx="4">
                  <c:v>805.69434230390027</c:v>
                </c:pt>
                <c:pt idx="5">
                  <c:v>845.02980026479725</c:v>
                </c:pt>
                <c:pt idx="6">
                  <c:v>809.08230059244067</c:v>
                </c:pt>
                <c:pt idx="7">
                  <c:v>704.9999626774154</c:v>
                </c:pt>
                <c:pt idx="8">
                  <c:v>544.41823152860991</c:v>
                </c:pt>
                <c:pt idx="9">
                  <c:v>345.04277097574283</c:v>
                </c:pt>
                <c:pt idx="10">
                  <c:v>136.09404625341165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8A-4BBE-81C0-2E9B95AD1EB2}"/>
            </c:ext>
          </c:extLst>
        </c:ser>
        <c:ser>
          <c:idx val="8"/>
          <c:order val="8"/>
          <c:tx>
            <c:v>Sep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Sheet2!$L$122:$L$136</c:f>
              <c:numCache>
                <c:formatCode>h:mm</c:formatCode>
                <c:ptCount val="15"/>
                <c:pt idx="0">
                  <c:v>0.24972046881478172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0.75027953118521828</c:v>
                </c:pt>
              </c:numCache>
            </c:numRef>
          </c:xVal>
          <c:yVal>
            <c:numRef>
              <c:f>Sheet2!$M$122:$M$136</c:f>
              <c:numCache>
                <c:formatCode>General</c:formatCode>
                <c:ptCount val="15"/>
                <c:pt idx="0">
                  <c:v>0</c:v>
                </c:pt>
                <c:pt idx="1">
                  <c:v>3.78756025562453E-49</c:v>
                </c:pt>
                <c:pt idx="2">
                  <c:v>335.40593517772891</c:v>
                </c:pt>
                <c:pt idx="3">
                  <c:v>633.66690554554623</c:v>
                </c:pt>
                <c:pt idx="4">
                  <c:v>832.50333095020699</c:v>
                </c:pt>
                <c:pt idx="5">
                  <c:v>948.56031985166067</c:v>
                </c:pt>
                <c:pt idx="6">
                  <c:v>984.2033201602593</c:v>
                </c:pt>
                <c:pt idx="7">
                  <c:v>942.11455185761145</c:v>
                </c:pt>
                <c:pt idx="8">
                  <c:v>828.7805238268412</c:v>
                </c:pt>
                <c:pt idx="9">
                  <c:v>655.59894029407417</c:v>
                </c:pt>
                <c:pt idx="10">
                  <c:v>439.73463091412054</c:v>
                </c:pt>
                <c:pt idx="11">
                  <c:v>207.16827711397917</c:v>
                </c:pt>
                <c:pt idx="12">
                  <c:v>10.499326634777971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8A-4BBE-81C0-2E9B95AD1EB2}"/>
            </c:ext>
          </c:extLst>
        </c:ser>
        <c:ser>
          <c:idx val="9"/>
          <c:order val="9"/>
          <c:tx>
            <c:v>Oct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Sheet2!$L$138:$L$152</c:f>
              <c:numCache>
                <c:formatCode>h:mm</c:formatCode>
                <c:ptCount val="15"/>
                <c:pt idx="0">
                  <c:v>0.23345910199902398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0.76654089800097613</c:v>
                </c:pt>
              </c:numCache>
            </c:numRef>
          </c:xVal>
          <c:yVal>
            <c:numRef>
              <c:f>Sheet2!$M$138:$M$152</c:f>
              <c:numCache>
                <c:formatCode>General</c:formatCode>
                <c:ptCount val="15"/>
                <c:pt idx="0">
                  <c:v>0</c:v>
                </c:pt>
                <c:pt idx="1">
                  <c:v>87.404195912264953</c:v>
                </c:pt>
                <c:pt idx="2">
                  <c:v>479.09849396697325</c:v>
                </c:pt>
                <c:pt idx="3">
                  <c:v>749.94162282538673</c:v>
                </c:pt>
                <c:pt idx="4">
                  <c:v>939.04699713468074</c:v>
                </c:pt>
                <c:pt idx="5">
                  <c:v>1050.1896512236158</c:v>
                </c:pt>
                <c:pt idx="6">
                  <c:v>1082.2675707808885</c:v>
                </c:pt>
                <c:pt idx="7">
                  <c:v>1036.703107101863</c:v>
                </c:pt>
                <c:pt idx="8">
                  <c:v>919.38485238915769</c:v>
                </c:pt>
                <c:pt idx="9">
                  <c:v>741.25167898413383</c:v>
                </c:pt>
                <c:pt idx="10">
                  <c:v>518.66390900237741</c:v>
                </c:pt>
                <c:pt idx="11">
                  <c:v>274.99315846681822</c:v>
                </c:pt>
                <c:pt idx="12">
                  <c:v>49.769531817743676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8A-4BBE-81C0-2E9B95AD1EB2}"/>
            </c:ext>
          </c:extLst>
        </c:ser>
        <c:ser>
          <c:idx val="10"/>
          <c:order val="10"/>
          <c:tx>
            <c:v>Nov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Sheet2!$L$154:$L$168</c:f>
              <c:numCache>
                <c:formatCode>h:mm</c:formatCode>
                <c:ptCount val="15"/>
                <c:pt idx="0">
                  <c:v>0.22025096479737294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0.77974903520262695</c:v>
                </c:pt>
              </c:numCache>
            </c:numRef>
          </c:xVal>
          <c:yVal>
            <c:numRef>
              <c:f>Sheet2!$M$154:$M$168</c:f>
              <c:numCache>
                <c:formatCode>General</c:formatCode>
                <c:ptCount val="15"/>
                <c:pt idx="0">
                  <c:v>0</c:v>
                </c:pt>
                <c:pt idx="1">
                  <c:v>225.10731257743936</c:v>
                </c:pt>
                <c:pt idx="2">
                  <c:v>566.66361955694094</c:v>
                </c:pt>
                <c:pt idx="3">
                  <c:v>818.01799319863449</c:v>
                </c:pt>
                <c:pt idx="4">
                  <c:v>997.55893571203785</c:v>
                </c:pt>
                <c:pt idx="5">
                  <c:v>1103.2775676402316</c:v>
                </c:pt>
                <c:pt idx="6">
                  <c:v>1132.422231023261</c:v>
                </c:pt>
                <c:pt idx="7">
                  <c:v>1085.7214056995074</c:v>
                </c:pt>
                <c:pt idx="8">
                  <c:v>968.58798127740181</c:v>
                </c:pt>
                <c:pt idx="9">
                  <c:v>791.4272547564733</c:v>
                </c:pt>
                <c:pt idx="10">
                  <c:v>569.73699363420576</c:v>
                </c:pt>
                <c:pt idx="11">
                  <c:v>324.92490001251281</c:v>
                </c:pt>
                <c:pt idx="12">
                  <c:v>89.517878034993558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8A-4BBE-81C0-2E9B95AD1EB2}"/>
            </c:ext>
          </c:extLst>
        </c:ser>
        <c:ser>
          <c:idx val="11"/>
          <c:order val="11"/>
          <c:tx>
            <c:v>Dec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Sheet2!$L$170:$L$184</c:f>
              <c:numCache>
                <c:formatCode>h:mm</c:formatCode>
                <c:ptCount val="15"/>
                <c:pt idx="0">
                  <c:v>0.21530541945904944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0.78469458054095054</c:v>
                </c:pt>
              </c:numCache>
            </c:numRef>
          </c:xVal>
          <c:yVal>
            <c:numRef>
              <c:f>Sheet2!$M$170:$M$184</c:f>
              <c:numCache>
                <c:formatCode>General</c:formatCode>
                <c:ptCount val="15"/>
                <c:pt idx="0">
                  <c:v>0</c:v>
                </c:pt>
                <c:pt idx="1">
                  <c:v>274.5769483229264</c:v>
                </c:pt>
                <c:pt idx="2">
                  <c:v>600.68821564509267</c:v>
                </c:pt>
                <c:pt idx="3">
                  <c:v>845.6701493251295</c:v>
                </c:pt>
                <c:pt idx="4">
                  <c:v>1021.6588921341549</c:v>
                </c:pt>
                <c:pt idx="5">
                  <c:v>1125.2022313649331</c:v>
                </c:pt>
                <c:pt idx="6">
                  <c:v>1153.0960646575584</c:v>
                </c:pt>
                <c:pt idx="7">
                  <c:v>1105.8526494564294</c:v>
                </c:pt>
                <c:pt idx="8">
                  <c:v>988.70986960642813</c:v>
                </c:pt>
                <c:pt idx="9">
                  <c:v>811.85662283776026</c:v>
                </c:pt>
                <c:pt idx="10">
                  <c:v>590.44333426414812</c:v>
                </c:pt>
                <c:pt idx="11">
                  <c:v>345.15578988003165</c:v>
                </c:pt>
                <c:pt idx="12">
                  <c:v>106.33163956220812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8A-4BBE-81C0-2E9B95AD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94288"/>
        <c:axId val="711192320"/>
      </c:scatterChart>
      <c:valAx>
        <c:axId val="71119428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Solar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92320"/>
        <c:crosses val="autoZero"/>
        <c:crossBetween val="midCat"/>
      </c:valAx>
      <c:valAx>
        <c:axId val="711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Inslation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Hourly clear-sky Insolation accounting for Insolatuion lost due to obstruction from sunrise to sunset for the 21st day of every month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Sheet2!$L$4:$L$18</c:f>
              <c:numCache>
                <c:formatCode>h:mm</c:formatCode>
                <c:ptCount val="15"/>
                <c:pt idx="0">
                  <c:v>0.22013888888888888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0.77916666666666667</c:v>
                </c:pt>
              </c:numCache>
            </c:numRef>
          </c:xVal>
          <c:yVal>
            <c:numRef>
              <c:f>Sheet2!$O$4:$O$18</c:f>
              <c:numCache>
                <c:formatCode>General</c:formatCode>
                <c:ptCount val="15"/>
                <c:pt idx="0">
                  <c:v>0</c:v>
                </c:pt>
                <c:pt idx="1">
                  <c:v>240.62122944968533</c:v>
                </c:pt>
                <c:pt idx="2">
                  <c:v>588.76867999890419</c:v>
                </c:pt>
                <c:pt idx="3">
                  <c:v>842.69210104194224</c:v>
                </c:pt>
                <c:pt idx="4">
                  <c:v>1023.7383549983533</c:v>
                </c:pt>
                <c:pt idx="5">
                  <c:v>1130.01437712867</c:v>
                </c:pt>
                <c:pt idx="6">
                  <c:v>1158.7044080089672</c:v>
                </c:pt>
                <c:pt idx="7">
                  <c:v>1110.4992432524186</c:v>
                </c:pt>
                <c:pt idx="8">
                  <c:v>990.82435019432626</c:v>
                </c:pt>
                <c:pt idx="9">
                  <c:v>810.13764659617766</c:v>
                </c:pt>
                <c:pt idx="10">
                  <c:v>583.9970847460869</c:v>
                </c:pt>
                <c:pt idx="11">
                  <c:v>333.80695990453245</c:v>
                </c:pt>
                <c:pt idx="12">
                  <c:v>91.886391930129989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6-4B0D-BEE1-A717C2C97878}"/>
            </c:ext>
          </c:extLst>
        </c:ser>
        <c:ser>
          <c:idx val="1"/>
          <c:order val="1"/>
          <c:tx>
            <c:v>Feb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Sheet2!$L$20:$L$34</c:f>
              <c:numCache>
                <c:formatCode>h:mm</c:formatCode>
                <c:ptCount val="15"/>
                <c:pt idx="0">
                  <c:v>0.23422424635203834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0.76577575364796158</c:v>
                </c:pt>
              </c:numCache>
            </c:numRef>
          </c:xVal>
          <c:yVal>
            <c:numRef>
              <c:f>Sheet2!$O$20:$O$34</c:f>
              <c:numCache>
                <c:formatCode>General</c:formatCode>
                <c:ptCount val="15"/>
                <c:pt idx="0">
                  <c:v>0</c:v>
                </c:pt>
                <c:pt idx="1">
                  <c:v>101.38854268255375</c:v>
                </c:pt>
                <c:pt idx="2">
                  <c:v>515.04391180984726</c:v>
                </c:pt>
                <c:pt idx="3">
                  <c:v>790.80142659031276</c:v>
                </c:pt>
                <c:pt idx="4">
                  <c:v>982.46282352447986</c:v>
                </c:pt>
                <c:pt idx="5">
                  <c:v>1094.5059068192397</c:v>
                </c:pt>
                <c:pt idx="6">
                  <c:v>1125.77154170991</c:v>
                </c:pt>
                <c:pt idx="7">
                  <c:v>1077.6201746815329</c:v>
                </c:pt>
                <c:pt idx="8">
                  <c:v>955.9541210304011</c:v>
                </c:pt>
                <c:pt idx="9">
                  <c:v>771.78657607118851</c:v>
                </c:pt>
                <c:pt idx="10">
                  <c:v>541.54895349029482</c:v>
                </c:pt>
                <c:pt idx="11">
                  <c:v>288.53529328833991</c:v>
                </c:pt>
                <c:pt idx="12">
                  <c:v>51.818089832189862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6-4B0D-BEE1-A717C2C97878}"/>
            </c:ext>
          </c:extLst>
        </c:ser>
        <c:ser>
          <c:idx val="2"/>
          <c:order val="2"/>
          <c:tx>
            <c:v>Mar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Sheet2!$L$36:$L$50</c:f>
              <c:numCache>
                <c:formatCode>h:mm</c:formatCode>
                <c:ptCount val="15"/>
                <c:pt idx="0">
                  <c:v>0.24944095053879947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0.75055904946120044</c:v>
                </c:pt>
              </c:numCache>
            </c:numRef>
          </c:xVal>
          <c:yVal>
            <c:numRef>
              <c:f>Sheet2!$O$36:$O$50</c:f>
              <c:numCache>
                <c:formatCode>General</c:formatCode>
                <c:ptCount val="15"/>
                <c:pt idx="0">
                  <c:v>0</c:v>
                </c:pt>
                <c:pt idx="1">
                  <c:v>1.9442158587804285E-20</c:v>
                </c:pt>
                <c:pt idx="2">
                  <c:v>381.80693464761356</c:v>
                </c:pt>
                <c:pt idx="3">
                  <c:v>685.71791266353512</c:v>
                </c:pt>
                <c:pt idx="4">
                  <c:v>886.95147724593767</c:v>
                </c:pt>
                <c:pt idx="5">
                  <c:v>1003.7007902826898</c:v>
                </c:pt>
                <c:pt idx="6">
                  <c:v>1038.1722084631697</c:v>
                </c:pt>
                <c:pt idx="7">
                  <c:v>992.90702132812555</c:v>
                </c:pt>
                <c:pt idx="8">
                  <c:v>874.36059354950294</c:v>
                </c:pt>
                <c:pt idx="9">
                  <c:v>693.96549414377819</c:v>
                </c:pt>
                <c:pt idx="10">
                  <c:v>468.86800340711522</c:v>
                </c:pt>
                <c:pt idx="11">
                  <c:v>224.66530977135446</c:v>
                </c:pt>
                <c:pt idx="12">
                  <c:v>12.447728855622548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6-4B0D-BEE1-A717C2C97878}"/>
            </c:ext>
          </c:extLst>
        </c:ser>
        <c:ser>
          <c:idx val="3"/>
          <c:order val="3"/>
          <c:tx>
            <c:v>Apr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Sheet2!$L$52:$L$64</c:f>
              <c:numCache>
                <c:formatCode>h:mm</c:formatCode>
                <c:ptCount val="13"/>
                <c:pt idx="0">
                  <c:v>0.26628672688229821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0.73371327311770174</c:v>
                </c:pt>
              </c:numCache>
            </c:numRef>
          </c:xVal>
          <c:yVal>
            <c:numRef>
              <c:f>Sheet2!$O$52:$O$64</c:f>
              <c:numCache>
                <c:formatCode>General</c:formatCode>
                <c:ptCount val="13"/>
                <c:pt idx="0">
                  <c:v>0</c:v>
                </c:pt>
                <c:pt idx="1">
                  <c:v>178.69910623645006</c:v>
                </c:pt>
                <c:pt idx="2">
                  <c:v>521.16829076592774</c:v>
                </c:pt>
                <c:pt idx="3">
                  <c:v>731.23174737929435</c:v>
                </c:pt>
                <c:pt idx="4">
                  <c:v>851.19095955114994</c:v>
                </c:pt>
                <c:pt idx="5">
                  <c:v>889.55833432657857</c:v>
                </c:pt>
                <c:pt idx="6">
                  <c:v>850.8707887726905</c:v>
                </c:pt>
                <c:pt idx="7">
                  <c:v>742.25461363834086</c:v>
                </c:pt>
                <c:pt idx="8">
                  <c:v>575.35994486716413</c:v>
                </c:pt>
                <c:pt idx="9">
                  <c:v>367.82417870680644</c:v>
                </c:pt>
                <c:pt idx="10">
                  <c:v>148.38099310596976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6-4B0D-BEE1-A717C2C97878}"/>
            </c:ext>
          </c:extLst>
        </c:ser>
        <c:ser>
          <c:idx val="4"/>
          <c:order val="4"/>
          <c:tx>
            <c:v>May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Sheet2!$L$66:$L$78</c:f>
              <c:numCache>
                <c:formatCode>h:mm</c:formatCode>
                <c:ptCount val="13"/>
                <c:pt idx="0">
                  <c:v>0.27926292136312197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0.72073707863687808</c:v>
                </c:pt>
              </c:numCache>
            </c:numRef>
          </c:xVal>
          <c:yVal>
            <c:numRef>
              <c:f>Sheet2!$O$66:$O$78</c:f>
              <c:numCache>
                <c:formatCode>General</c:formatCode>
                <c:ptCount val="13"/>
                <c:pt idx="0">
                  <c:v>0</c:v>
                </c:pt>
                <c:pt idx="1">
                  <c:v>24.705188606734666</c:v>
                </c:pt>
                <c:pt idx="2">
                  <c:v>369.09918972494711</c:v>
                </c:pt>
                <c:pt idx="3">
                  <c:v>67.953256081528892</c:v>
                </c:pt>
                <c:pt idx="4">
                  <c:v>708.51684439624375</c:v>
                </c:pt>
                <c:pt idx="5">
                  <c:v>750.320209812239</c:v>
                </c:pt>
                <c:pt idx="6">
                  <c:v>718.66677461285826</c:v>
                </c:pt>
                <c:pt idx="7">
                  <c:v>621.32109595324084</c:v>
                </c:pt>
                <c:pt idx="8">
                  <c:v>470.03204584061604</c:v>
                </c:pt>
                <c:pt idx="9">
                  <c:v>282.80726802698348</c:v>
                </c:pt>
                <c:pt idx="10">
                  <c:v>91.983819428698823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6-4B0D-BEE1-A717C2C97878}"/>
            </c:ext>
          </c:extLst>
        </c:ser>
        <c:ser>
          <c:idx val="5"/>
          <c:order val="5"/>
          <c:tx>
            <c:v>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Sheet2!$L$80:$L$92</c:f>
              <c:numCache>
                <c:formatCode>h:mm</c:formatCode>
                <c:ptCount val="13"/>
                <c:pt idx="0">
                  <c:v>0.28469458054095059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0.71530541945904946</c:v>
                </c:pt>
              </c:numCache>
            </c:numRef>
          </c:xVal>
          <c:yVal>
            <c:numRef>
              <c:f>Sheet2!$O$80:$O$92</c:f>
              <c:numCache>
                <c:formatCode>General</c:formatCode>
                <c:ptCount val="13"/>
                <c:pt idx="0">
                  <c:v>0</c:v>
                </c:pt>
                <c:pt idx="1">
                  <c:v>1.0062276633319254</c:v>
                </c:pt>
                <c:pt idx="2">
                  <c:v>43.036567802910881</c:v>
                </c:pt>
                <c:pt idx="3">
                  <c:v>520.82600680880728</c:v>
                </c:pt>
                <c:pt idx="4">
                  <c:v>643.28808120982694</c:v>
                </c:pt>
                <c:pt idx="5">
                  <c:v>686.69923786599077</c:v>
                </c:pt>
                <c:pt idx="6">
                  <c:v>658.63963358340015</c:v>
                </c:pt>
                <c:pt idx="7">
                  <c:v>567.13353221736361</c:v>
                </c:pt>
                <c:pt idx="8">
                  <c:v>423.95063189490418</c:v>
                </c:pt>
                <c:pt idx="9">
                  <c:v>247.27345010663933</c:v>
                </c:pt>
                <c:pt idx="10">
                  <c:v>71.297469840280698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36-4B0D-BEE1-A717C2C97878}"/>
            </c:ext>
          </c:extLst>
        </c:ser>
        <c:ser>
          <c:idx val="6"/>
          <c:order val="6"/>
          <c:tx>
            <c:v>Jul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Sheet2!$L$94:$L$106</c:f>
              <c:numCache>
                <c:formatCode>h:mm</c:formatCode>
                <c:ptCount val="13"/>
                <c:pt idx="0">
                  <c:v>0.27974903520262712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0.72025096479737283</c:v>
                </c:pt>
              </c:numCache>
            </c:numRef>
          </c:xVal>
          <c:yVal>
            <c:numRef>
              <c:f>Sheet2!$O$94:$O$106</c:f>
              <c:numCache>
                <c:formatCode>General</c:formatCode>
                <c:ptCount val="13"/>
                <c:pt idx="0">
                  <c:v>0</c:v>
                </c:pt>
                <c:pt idx="1">
                  <c:v>18.999898053779077</c:v>
                </c:pt>
                <c:pt idx="2">
                  <c:v>346.28861047491597</c:v>
                </c:pt>
                <c:pt idx="3">
                  <c:v>561.30843587110155</c:v>
                </c:pt>
                <c:pt idx="4">
                  <c:v>682.63257232410592</c:v>
                </c:pt>
                <c:pt idx="5">
                  <c:v>724.97484880071602</c:v>
                </c:pt>
                <c:pt idx="6">
                  <c:v>694.9787758436629</c:v>
                </c:pt>
                <c:pt idx="7">
                  <c:v>600.4010817314412</c:v>
                </c:pt>
                <c:pt idx="8">
                  <c:v>452.97539095619351</c:v>
                </c:pt>
                <c:pt idx="9">
                  <c:v>270.75882983207362</c:v>
                </c:pt>
                <c:pt idx="10">
                  <c:v>86.408258506454615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36-4B0D-BEE1-A717C2C97878}"/>
            </c:ext>
          </c:extLst>
        </c:ser>
        <c:ser>
          <c:idx val="7"/>
          <c:order val="7"/>
          <c:tx>
            <c:v>Aug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Sheet2!$L$108:$L$120</c:f>
              <c:numCache>
                <c:formatCode>h:mm</c:formatCode>
                <c:ptCount val="13"/>
                <c:pt idx="0">
                  <c:v>0.26654089800097602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0.73345910199902387</c:v>
                </c:pt>
              </c:numCache>
            </c:numRef>
          </c:xVal>
          <c:yVal>
            <c:numRef>
              <c:f>Sheet2!$O$108:$O$120</c:f>
              <c:numCache>
                <c:formatCode>General</c:formatCode>
                <c:ptCount val="13"/>
                <c:pt idx="0">
                  <c:v>0</c:v>
                </c:pt>
                <c:pt idx="1">
                  <c:v>148.54583932374388</c:v>
                </c:pt>
                <c:pt idx="2">
                  <c:v>299.64327654312859</c:v>
                </c:pt>
                <c:pt idx="3">
                  <c:v>416.48165665148093</c:v>
                </c:pt>
                <c:pt idx="4">
                  <c:v>805.69434230390027</c:v>
                </c:pt>
                <c:pt idx="5">
                  <c:v>845.02980026479725</c:v>
                </c:pt>
                <c:pt idx="6">
                  <c:v>809.08230059244067</c:v>
                </c:pt>
                <c:pt idx="7">
                  <c:v>704.9999626774154</c:v>
                </c:pt>
                <c:pt idx="8">
                  <c:v>544.41823152860991</c:v>
                </c:pt>
                <c:pt idx="9">
                  <c:v>345.04277097574283</c:v>
                </c:pt>
                <c:pt idx="10">
                  <c:v>136.09404625341165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36-4B0D-BEE1-A717C2C97878}"/>
            </c:ext>
          </c:extLst>
        </c:ser>
        <c:ser>
          <c:idx val="8"/>
          <c:order val="8"/>
          <c:tx>
            <c:v>Sep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Sheet2!$L$122:$L$136</c:f>
              <c:numCache>
                <c:formatCode>h:mm</c:formatCode>
                <c:ptCount val="15"/>
                <c:pt idx="0">
                  <c:v>0.24972046881478172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0.75027953118521828</c:v>
                </c:pt>
              </c:numCache>
            </c:numRef>
          </c:xVal>
          <c:yVal>
            <c:numRef>
              <c:f>Sheet2!$O$122:$O$136</c:f>
              <c:numCache>
                <c:formatCode>General</c:formatCode>
                <c:ptCount val="15"/>
                <c:pt idx="0">
                  <c:v>0</c:v>
                </c:pt>
                <c:pt idx="1">
                  <c:v>3.78756025562453E-49</c:v>
                </c:pt>
                <c:pt idx="2">
                  <c:v>335.40593517772891</c:v>
                </c:pt>
                <c:pt idx="3">
                  <c:v>633.66690554554623</c:v>
                </c:pt>
                <c:pt idx="4">
                  <c:v>832.50333095020699</c:v>
                </c:pt>
                <c:pt idx="5">
                  <c:v>948.56031985166067</c:v>
                </c:pt>
                <c:pt idx="6">
                  <c:v>984.2033201602593</c:v>
                </c:pt>
                <c:pt idx="7">
                  <c:v>942.11455185761145</c:v>
                </c:pt>
                <c:pt idx="8">
                  <c:v>828.7805238268412</c:v>
                </c:pt>
                <c:pt idx="9">
                  <c:v>655.59894029407417</c:v>
                </c:pt>
                <c:pt idx="10">
                  <c:v>439.73463091412054</c:v>
                </c:pt>
                <c:pt idx="11">
                  <c:v>207.16827711397917</c:v>
                </c:pt>
                <c:pt idx="12">
                  <c:v>10.499326634777971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36-4B0D-BEE1-A717C2C97878}"/>
            </c:ext>
          </c:extLst>
        </c:ser>
        <c:ser>
          <c:idx val="9"/>
          <c:order val="9"/>
          <c:tx>
            <c:v>Oct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Sheet2!$L$138:$L$152</c:f>
              <c:numCache>
                <c:formatCode>h:mm</c:formatCode>
                <c:ptCount val="15"/>
                <c:pt idx="0">
                  <c:v>0.23345910199902398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0.76654089800097613</c:v>
                </c:pt>
              </c:numCache>
            </c:numRef>
          </c:xVal>
          <c:yVal>
            <c:numRef>
              <c:f>Sheet2!$O$138:$O$152</c:f>
              <c:numCache>
                <c:formatCode>General</c:formatCode>
                <c:ptCount val="15"/>
                <c:pt idx="0">
                  <c:v>0</c:v>
                </c:pt>
                <c:pt idx="1">
                  <c:v>87.404195912264953</c:v>
                </c:pt>
                <c:pt idx="2">
                  <c:v>479.09849396697325</c:v>
                </c:pt>
                <c:pt idx="3">
                  <c:v>749.94162282538673</c:v>
                </c:pt>
                <c:pt idx="4">
                  <c:v>939.04699713468074</c:v>
                </c:pt>
                <c:pt idx="5">
                  <c:v>1050.1896512236158</c:v>
                </c:pt>
                <c:pt idx="6">
                  <c:v>1082.2675707808885</c:v>
                </c:pt>
                <c:pt idx="7">
                  <c:v>1036.703107101863</c:v>
                </c:pt>
                <c:pt idx="8">
                  <c:v>919.38485238915769</c:v>
                </c:pt>
                <c:pt idx="9">
                  <c:v>741.25167898413383</c:v>
                </c:pt>
                <c:pt idx="10">
                  <c:v>518.66390900237741</c:v>
                </c:pt>
                <c:pt idx="11">
                  <c:v>274.99315846681822</c:v>
                </c:pt>
                <c:pt idx="12">
                  <c:v>49.769531817743676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36-4B0D-BEE1-A717C2C97878}"/>
            </c:ext>
          </c:extLst>
        </c:ser>
        <c:ser>
          <c:idx val="10"/>
          <c:order val="10"/>
          <c:tx>
            <c:v>Nov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Sheet2!$L$154:$L$168</c:f>
              <c:numCache>
                <c:formatCode>h:mm</c:formatCode>
                <c:ptCount val="15"/>
                <c:pt idx="0">
                  <c:v>0.22025096479737294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0.77974903520262695</c:v>
                </c:pt>
              </c:numCache>
            </c:numRef>
          </c:xVal>
          <c:yVal>
            <c:numRef>
              <c:f>Sheet2!$O$154:$O$168</c:f>
              <c:numCache>
                <c:formatCode>General</c:formatCode>
                <c:ptCount val="15"/>
                <c:pt idx="0">
                  <c:v>0</c:v>
                </c:pt>
                <c:pt idx="1">
                  <c:v>225.10731257743936</c:v>
                </c:pt>
                <c:pt idx="2">
                  <c:v>566.66361955694094</c:v>
                </c:pt>
                <c:pt idx="3">
                  <c:v>818.01799319863449</c:v>
                </c:pt>
                <c:pt idx="4">
                  <c:v>997.55893571203785</c:v>
                </c:pt>
                <c:pt idx="5">
                  <c:v>1103.2775676402316</c:v>
                </c:pt>
                <c:pt idx="6">
                  <c:v>1132.422231023261</c:v>
                </c:pt>
                <c:pt idx="7">
                  <c:v>1085.7214056995074</c:v>
                </c:pt>
                <c:pt idx="8">
                  <c:v>968.58798127740181</c:v>
                </c:pt>
                <c:pt idx="9">
                  <c:v>791.4272547564733</c:v>
                </c:pt>
                <c:pt idx="10">
                  <c:v>569.73699363420576</c:v>
                </c:pt>
                <c:pt idx="11">
                  <c:v>324.92490001251281</c:v>
                </c:pt>
                <c:pt idx="12">
                  <c:v>89.517878034993558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36-4B0D-BEE1-A717C2C97878}"/>
            </c:ext>
          </c:extLst>
        </c:ser>
        <c:ser>
          <c:idx val="11"/>
          <c:order val="11"/>
          <c:tx>
            <c:v>Dec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Sheet2!$L$170:$L$184</c:f>
              <c:numCache>
                <c:formatCode>h:mm</c:formatCode>
                <c:ptCount val="15"/>
                <c:pt idx="0">
                  <c:v>0.21530541945904944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0.78469458054095054</c:v>
                </c:pt>
              </c:numCache>
            </c:numRef>
          </c:xVal>
          <c:yVal>
            <c:numRef>
              <c:f>Sheet2!$O$170:$O$184</c:f>
              <c:numCache>
                <c:formatCode>General</c:formatCode>
                <c:ptCount val="15"/>
                <c:pt idx="0">
                  <c:v>0</c:v>
                </c:pt>
                <c:pt idx="1">
                  <c:v>274.5769483229264</c:v>
                </c:pt>
                <c:pt idx="2">
                  <c:v>600.68821564509267</c:v>
                </c:pt>
                <c:pt idx="3">
                  <c:v>845.6701493251295</c:v>
                </c:pt>
                <c:pt idx="4">
                  <c:v>1021.6588921341549</c:v>
                </c:pt>
                <c:pt idx="5">
                  <c:v>1125.2022313649331</c:v>
                </c:pt>
                <c:pt idx="6">
                  <c:v>1153.0960646575584</c:v>
                </c:pt>
                <c:pt idx="7">
                  <c:v>1105.8526494564294</c:v>
                </c:pt>
                <c:pt idx="8">
                  <c:v>988.70986960642813</c:v>
                </c:pt>
                <c:pt idx="9">
                  <c:v>811.85662283776026</c:v>
                </c:pt>
                <c:pt idx="10">
                  <c:v>590.44333426414812</c:v>
                </c:pt>
                <c:pt idx="11">
                  <c:v>345.15578988003165</c:v>
                </c:pt>
                <c:pt idx="12">
                  <c:v>106.33163956220812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36-4B0D-BEE1-A717C2C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76688"/>
        <c:axId val="884977344"/>
      </c:scatterChart>
      <c:valAx>
        <c:axId val="8849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Solar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7344"/>
        <c:crosses val="autoZero"/>
        <c:crossBetween val="midCat"/>
      </c:valAx>
      <c:valAx>
        <c:axId val="884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Insolation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Capitol Costs paid back over a 25year peroid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Sheet4!$C$3:$C$28</c:f>
              <c:numCache>
                <c:formatCode>General</c:formatCode>
                <c:ptCount val="26"/>
                <c:pt idx="0">
                  <c:v>-12477</c:v>
                </c:pt>
                <c:pt idx="1">
                  <c:v>-10536.03</c:v>
                </c:pt>
                <c:pt idx="2">
                  <c:v>-8595.0600000000013</c:v>
                </c:pt>
                <c:pt idx="3">
                  <c:v>-6654.0900000000011</c:v>
                </c:pt>
                <c:pt idx="4">
                  <c:v>-4713.1200000000008</c:v>
                </c:pt>
                <c:pt idx="5">
                  <c:v>-2772.1500000000005</c:v>
                </c:pt>
                <c:pt idx="6">
                  <c:v>-831.18000000000052</c:v>
                </c:pt>
                <c:pt idx="7">
                  <c:v>1109.7899999999995</c:v>
                </c:pt>
                <c:pt idx="8">
                  <c:v>3050.7599999999993</c:v>
                </c:pt>
                <c:pt idx="9">
                  <c:v>4991.7299999999996</c:v>
                </c:pt>
                <c:pt idx="10">
                  <c:v>6932.7</c:v>
                </c:pt>
                <c:pt idx="11">
                  <c:v>8873.67</c:v>
                </c:pt>
                <c:pt idx="12">
                  <c:v>10814.64</c:v>
                </c:pt>
                <c:pt idx="13">
                  <c:v>12755.609999999999</c:v>
                </c:pt>
                <c:pt idx="14">
                  <c:v>14696.579999999998</c:v>
                </c:pt>
                <c:pt idx="15">
                  <c:v>16637.55</c:v>
                </c:pt>
                <c:pt idx="16">
                  <c:v>18578.52</c:v>
                </c:pt>
                <c:pt idx="17">
                  <c:v>20519.490000000002</c:v>
                </c:pt>
                <c:pt idx="18">
                  <c:v>22460.460000000003</c:v>
                </c:pt>
                <c:pt idx="19">
                  <c:v>24401.430000000004</c:v>
                </c:pt>
                <c:pt idx="20">
                  <c:v>26342.400000000005</c:v>
                </c:pt>
                <c:pt idx="21">
                  <c:v>28283.370000000006</c:v>
                </c:pt>
                <c:pt idx="22">
                  <c:v>30224.340000000007</c:v>
                </c:pt>
                <c:pt idx="23">
                  <c:v>32165.310000000009</c:v>
                </c:pt>
                <c:pt idx="24">
                  <c:v>34106.280000000006</c:v>
                </c:pt>
                <c:pt idx="25">
                  <c:v>36047.250000000007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42CF-93D2-58986567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16560"/>
        <c:axId val="622816888"/>
      </c:scatterChart>
      <c:valAx>
        <c:axId val="622816560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6888"/>
        <c:crosses val="autoZero"/>
        <c:crossBetween val="midCat"/>
      </c:valAx>
      <c:valAx>
        <c:axId val="6228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9524</xdr:rowOff>
    </xdr:from>
    <xdr:to>
      <xdr:col>29</xdr:col>
      <xdr:colOff>600075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A13AC-1EAD-4C20-B9BA-B382672B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504825</xdr:colOff>
      <xdr:row>16</xdr:row>
      <xdr:rowOff>171450</xdr:rowOff>
    </xdr:from>
    <xdr:to>
      <xdr:col>26</xdr:col>
      <xdr:colOff>133349</xdr:colOff>
      <xdr:row>23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5C3B70-CE81-4C95-9AF3-628559555E15}"/>
            </a:ext>
          </a:extLst>
        </xdr:cNvPr>
        <xdr:cNvSpPr/>
      </xdr:nvSpPr>
      <xdr:spPr>
        <a:xfrm>
          <a:off x="16354425" y="3219450"/>
          <a:ext cx="238124" cy="12954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4762</xdr:colOff>
      <xdr:row>33</xdr:row>
      <xdr:rowOff>190499</xdr:rowOff>
    </xdr:from>
    <xdr:to>
      <xdr:col>30</xdr:col>
      <xdr:colOff>19050</xdr:colOff>
      <xdr:row>52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83F76-29CF-4C2D-8AB5-6328B54E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55</xdr:row>
      <xdr:rowOff>4761</xdr:rowOff>
    </xdr:from>
    <xdr:to>
      <xdr:col>30</xdr:col>
      <xdr:colOff>9525</xdr:colOff>
      <xdr:row>78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466A9B-6877-464A-96C3-5FA04C04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185737</xdr:rowOff>
    </xdr:from>
    <xdr:to>
      <xdr:col>11</xdr:col>
      <xdr:colOff>309562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94ADF-A1B5-4595-B243-3559BB02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B957-B4CE-4BF9-9AAE-9B17FAC73FB5}">
  <dimension ref="B2:G14"/>
  <sheetViews>
    <sheetView workbookViewId="0">
      <selection activeCell="F14" sqref="F14:G14"/>
    </sheetView>
  </sheetViews>
  <sheetFormatPr defaultRowHeight="15" x14ac:dyDescent="0.25"/>
  <cols>
    <col min="3" max="3" width="9.140625" customWidth="1"/>
  </cols>
  <sheetData>
    <row r="2" spans="2:7" x14ac:dyDescent="0.25">
      <c r="B2" s="1" t="s">
        <v>0</v>
      </c>
      <c r="C2" s="1" t="s">
        <v>16</v>
      </c>
      <c r="D2" s="2" t="s">
        <v>15</v>
      </c>
      <c r="E2" s="2" t="s">
        <v>17</v>
      </c>
      <c r="F2" s="1" t="s">
        <v>1</v>
      </c>
      <c r="G2" s="1" t="s">
        <v>2</v>
      </c>
    </row>
    <row r="3" spans="2:7" x14ac:dyDescent="0.25">
      <c r="B3" t="s">
        <v>3</v>
      </c>
      <c r="C3">
        <v>21</v>
      </c>
      <c r="D3">
        <f>23.45*SIN(RADIANS((360/365)*(C3 - 81)))</f>
        <v>-20.138014821567577</v>
      </c>
      <c r="E3">
        <f>DEGREES(ACOS(-TAN(RADIANS(-26.5))*TAN(RADIANS(D3))))</f>
        <v>100.53465169072392</v>
      </c>
      <c r="F3" s="3">
        <f>(12-(E3/15))/24</f>
        <v>0.220737078636878</v>
      </c>
      <c r="G3" s="3">
        <f>(12+(E3/15))/24</f>
        <v>0.77926292136312192</v>
      </c>
    </row>
    <row r="4" spans="2:7" x14ac:dyDescent="0.25">
      <c r="B4" t="s">
        <v>4</v>
      </c>
      <c r="C4">
        <v>52</v>
      </c>
      <c r="D4">
        <f t="shared" ref="D4:D14" si="0">23.45*SIN(RADIANS((360/365)*(C4 - 81)))</f>
        <v>-11.226308550715238</v>
      </c>
      <c r="E4">
        <f t="shared" ref="E4:E14" si="1">DEGREES(ACOS(-TAN(RADIANS(-26.5))*TAN(RADIANS(D4))))</f>
        <v>95.679271313266199</v>
      </c>
      <c r="F4" s="3">
        <f t="shared" ref="F4:F14" si="2">(12-(E4/15))/24</f>
        <v>0.23422424635203834</v>
      </c>
      <c r="G4" s="3">
        <f t="shared" ref="G4:G14" si="3">(12+(E4/15))/24</f>
        <v>0.76577575364796158</v>
      </c>
    </row>
    <row r="5" spans="2:7" x14ac:dyDescent="0.25">
      <c r="B5" t="s">
        <v>5</v>
      </c>
      <c r="C5">
        <v>80</v>
      </c>
      <c r="D5">
        <f t="shared" si="0"/>
        <v>-0.40365320185432335</v>
      </c>
      <c r="E5">
        <f t="shared" si="1"/>
        <v>90.201257806032189</v>
      </c>
      <c r="F5" s="3">
        <f t="shared" si="2"/>
        <v>0.24944095053879947</v>
      </c>
      <c r="G5" s="3">
        <f t="shared" si="3"/>
        <v>0.75055904946120044</v>
      </c>
    </row>
    <row r="6" spans="2:7" x14ac:dyDescent="0.25">
      <c r="B6" t="s">
        <v>6</v>
      </c>
      <c r="C6">
        <v>111</v>
      </c>
      <c r="D6">
        <f t="shared" si="0"/>
        <v>11.579036651251466</v>
      </c>
      <c r="E6">
        <f t="shared" si="1"/>
        <v>84.136778322372649</v>
      </c>
      <c r="F6" s="3">
        <f t="shared" si="2"/>
        <v>0.26628672688229821</v>
      </c>
      <c r="G6" s="3">
        <f t="shared" si="3"/>
        <v>0.73371327311770174</v>
      </c>
    </row>
    <row r="7" spans="2:7" x14ac:dyDescent="0.25">
      <c r="B7" t="s">
        <v>7</v>
      </c>
      <c r="C7">
        <v>141</v>
      </c>
      <c r="D7">
        <f t="shared" si="0"/>
        <v>20.138014821567577</v>
      </c>
      <c r="E7">
        <f t="shared" si="1"/>
        <v>79.465348309276081</v>
      </c>
      <c r="F7" s="3">
        <f t="shared" si="2"/>
        <v>0.27926292136312197</v>
      </c>
      <c r="G7" s="3">
        <f t="shared" si="3"/>
        <v>0.72073707863687808</v>
      </c>
    </row>
    <row r="8" spans="2:7" x14ac:dyDescent="0.25">
      <c r="B8" t="s">
        <v>8</v>
      </c>
      <c r="C8">
        <v>172</v>
      </c>
      <c r="D8">
        <f t="shared" si="0"/>
        <v>23.449782846813658</v>
      </c>
      <c r="E8">
        <f t="shared" si="1"/>
        <v>77.50995100525779</v>
      </c>
      <c r="F8" s="3">
        <f t="shared" si="2"/>
        <v>0.28469458054095059</v>
      </c>
      <c r="G8" s="3">
        <f t="shared" si="3"/>
        <v>0.71530541945904946</v>
      </c>
    </row>
    <row r="9" spans="2:7" x14ac:dyDescent="0.25">
      <c r="B9" t="s">
        <v>9</v>
      </c>
      <c r="C9">
        <v>202</v>
      </c>
      <c r="D9">
        <f t="shared" si="0"/>
        <v>20.441513173733597</v>
      </c>
      <c r="E9">
        <f t="shared" si="1"/>
        <v>79.290347327054249</v>
      </c>
      <c r="F9" s="3">
        <f t="shared" si="2"/>
        <v>0.27974903520262712</v>
      </c>
      <c r="G9" s="3">
        <f t="shared" si="3"/>
        <v>0.72025096479737283</v>
      </c>
    </row>
    <row r="10" spans="2:7" x14ac:dyDescent="0.25">
      <c r="B10" t="s">
        <v>10</v>
      </c>
      <c r="C10">
        <v>233</v>
      </c>
      <c r="D10">
        <f t="shared" si="0"/>
        <v>11.754120525303442</v>
      </c>
      <c r="E10">
        <f t="shared" si="1"/>
        <v>84.045276719648626</v>
      </c>
      <c r="F10" s="3">
        <f t="shared" si="2"/>
        <v>0.26654089800097602</v>
      </c>
      <c r="G10" s="3">
        <f t="shared" si="3"/>
        <v>0.73345910199902387</v>
      </c>
    </row>
    <row r="11" spans="2:7" x14ac:dyDescent="0.25">
      <c r="B11" t="s">
        <v>11</v>
      </c>
      <c r="C11">
        <v>264</v>
      </c>
      <c r="D11">
        <f t="shared" si="0"/>
        <v>-0.2018340770397338</v>
      </c>
      <c r="E11">
        <f t="shared" si="1"/>
        <v>90.100631226678587</v>
      </c>
      <c r="F11" s="3">
        <f t="shared" si="2"/>
        <v>0.24972046881478172</v>
      </c>
      <c r="G11" s="3">
        <f t="shared" si="3"/>
        <v>0.75027953118521828</v>
      </c>
    </row>
    <row r="12" spans="2:7" x14ac:dyDescent="0.25">
      <c r="B12" t="s">
        <v>12</v>
      </c>
      <c r="C12">
        <v>294</v>
      </c>
      <c r="D12">
        <f t="shared" si="0"/>
        <v>-11.754120525303437</v>
      </c>
      <c r="E12">
        <f t="shared" si="1"/>
        <v>95.954723280351374</v>
      </c>
      <c r="F12" s="3">
        <f t="shared" si="2"/>
        <v>0.23345910199902398</v>
      </c>
      <c r="G12" s="3">
        <f t="shared" si="3"/>
        <v>0.76654089800097613</v>
      </c>
    </row>
    <row r="13" spans="2:7" x14ac:dyDescent="0.25">
      <c r="B13" t="s">
        <v>13</v>
      </c>
      <c r="C13">
        <v>325</v>
      </c>
      <c r="D13">
        <f t="shared" si="0"/>
        <v>-20.441513173733593</v>
      </c>
      <c r="E13">
        <f t="shared" si="1"/>
        <v>100.70965267294574</v>
      </c>
      <c r="F13" s="3">
        <f t="shared" si="2"/>
        <v>0.22025096479737294</v>
      </c>
      <c r="G13" s="3">
        <f t="shared" si="3"/>
        <v>0.77974903520262695</v>
      </c>
    </row>
    <row r="14" spans="2:7" x14ac:dyDescent="0.25">
      <c r="B14" t="s">
        <v>14</v>
      </c>
      <c r="C14">
        <v>355</v>
      </c>
      <c r="D14">
        <f t="shared" si="0"/>
        <v>-23.449782846813658</v>
      </c>
      <c r="E14">
        <f t="shared" si="1"/>
        <v>102.49004899474221</v>
      </c>
      <c r="F14" s="3">
        <f t="shared" si="2"/>
        <v>0.21530541945904944</v>
      </c>
      <c r="G14" s="3">
        <f t="shared" si="3"/>
        <v>0.78469458054095054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EA54-6C74-4808-A7C0-F95550BF0AF7}">
  <dimension ref="A3:V185"/>
  <sheetViews>
    <sheetView zoomScaleNormal="100" workbookViewId="0">
      <selection activeCell="P19" sqref="P19"/>
    </sheetView>
  </sheetViews>
  <sheetFormatPr defaultRowHeight="15" x14ac:dyDescent="0.25"/>
  <cols>
    <col min="7" max="7" width="18.28515625" customWidth="1"/>
    <col min="9" max="9" width="12" bestFit="1" customWidth="1"/>
    <col min="12" max="12" width="12" bestFit="1" customWidth="1"/>
  </cols>
  <sheetData>
    <row r="3" spans="1:16" x14ac:dyDescent="0.25">
      <c r="A3" t="s">
        <v>18</v>
      </c>
      <c r="B3" s="5" t="s">
        <v>15</v>
      </c>
      <c r="C3" s="1" t="s">
        <v>26</v>
      </c>
      <c r="D3" s="1" t="s">
        <v>17</v>
      </c>
      <c r="E3" t="s">
        <v>21</v>
      </c>
      <c r="F3" s="2" t="s">
        <v>20</v>
      </c>
      <c r="G3" s="2" t="s">
        <v>19</v>
      </c>
      <c r="H3" s="1" t="s">
        <v>42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41</v>
      </c>
      <c r="N3" s="1" t="s">
        <v>48</v>
      </c>
      <c r="O3" s="1" t="s">
        <v>49</v>
      </c>
      <c r="P3" s="1" t="s">
        <v>43</v>
      </c>
    </row>
    <row r="4" spans="1:16" x14ac:dyDescent="0.25">
      <c r="B4">
        <v>-20.138014821567602</v>
      </c>
      <c r="C4" s="4">
        <v>6.7023000000000001</v>
      </c>
      <c r="D4" s="4">
        <f>C4*15</f>
        <v>100.53450000000001</v>
      </c>
      <c r="E4" t="s">
        <v>22</v>
      </c>
      <c r="F4">
        <f>180 - DEGREES(ASIN((COS(RADIANS(-20.138))*SIN(RADIANS(D4)))/COS(RADIANS(G4))))</f>
        <v>112.62513657992631</v>
      </c>
      <c r="G4">
        <f t="shared" ref="G4:G18" si="0">DEGREES(ASIN(COS(RADIANS(-26.5))*COS(RADIANS(-20.138))*COS(RADIANS(D4)) + SIN(RADIANS(-26.5))*SIN(RADIANS(-20.138))))</f>
        <v>1.1826187149519494E-4</v>
      </c>
      <c r="L4" s="3">
        <v>0.22013888888888888</v>
      </c>
      <c r="M4">
        <v>0</v>
      </c>
      <c r="O4">
        <f>M4 - N4</f>
        <v>0</v>
      </c>
    </row>
    <row r="5" spans="1:16" x14ac:dyDescent="0.25">
      <c r="C5" s="4">
        <v>6</v>
      </c>
      <c r="D5" s="4">
        <f t="shared" ref="D5:D18" si="1">C5*15</f>
        <v>90</v>
      </c>
      <c r="E5" t="s">
        <v>22</v>
      </c>
      <c r="F5">
        <f>180 - DEGREES(ASIN((COS(RADIANS(-20.138))*SIN(RADIANS(D5)))/COS(RADIANS(G5))))</f>
        <v>108.16842188717766</v>
      </c>
      <c r="G5">
        <f t="shared" si="0"/>
        <v>8.8366580002586641</v>
      </c>
      <c r="H5">
        <f>COS(RADIANS(G5))*COS(RADIANS(F5-60))*SIN(RADIANS(22))+SIN(RADIANS(G5))*COS(RADIANS(22))</f>
        <v>0.38930799018317741</v>
      </c>
      <c r="I5">
        <f xml:space="preserve"> 1/SIN(RADIANS(G5))</f>
        <v>6.5096505869182089</v>
      </c>
      <c r="J5">
        <f>1160+75*SIN(RADIANS((360/365)*(21-275)))</f>
        <v>1230.7070857542815</v>
      </c>
      <c r="K5">
        <f>0.174+0.035*SIN(RADIANS((360/365)*(21-100)))</f>
        <v>0.13977530804730198</v>
      </c>
      <c r="L5" s="3">
        <v>0.25</v>
      </c>
      <c r="M5">
        <f>J5*EXP(-1*K5*I5)*(H5+(0.1)*((1+COS(RADIANS(22)))/2))</f>
        <v>240.62122944968533</v>
      </c>
      <c r="O5">
        <f t="shared" ref="O5:O68" si="2">M5 - N5</f>
        <v>240.62122944968533</v>
      </c>
    </row>
    <row r="6" spans="1:16" x14ac:dyDescent="0.25">
      <c r="C6" s="4">
        <v>5</v>
      </c>
      <c r="D6" s="4">
        <f t="shared" si="1"/>
        <v>75</v>
      </c>
      <c r="E6" t="s">
        <v>22</v>
      </c>
      <c r="F6">
        <f>180 - DEGREES(ASIN((COS(RADIANS(-20.138))*SIN(RADIANS(D6)))/COS(RADIANS(G6))))</f>
        <v>102.41785619050918</v>
      </c>
      <c r="G6">
        <f t="shared" si="0"/>
        <v>21.782481834997387</v>
      </c>
      <c r="H6">
        <f t="shared" ref="H6:H17" si="3">COS(RADIANS(G6))*COS(RADIANS(F6-60))*SIN(RADIANS(22))+SIN(RADIANS(G6))*COS(RADIANS(22))</f>
        <v>0.60086857340760513</v>
      </c>
      <c r="I6">
        <f t="shared" ref="I6:I17" si="4" xml:space="preserve"> 1/SIN(RADIANS(G6))</f>
        <v>2.694808124123663</v>
      </c>
      <c r="J6">
        <f t="shared" ref="J6:J17" si="5">1160+75*SIN(RADIANS((360/365)*(21-275)))</f>
        <v>1230.7070857542815</v>
      </c>
      <c r="K6">
        <f t="shared" ref="K6:K17" si="6">0.174+0.035*SIN(RADIANS((360/365)*(21-100)))</f>
        <v>0.13977530804730198</v>
      </c>
      <c r="L6" s="3">
        <v>0.29166666666666702</v>
      </c>
      <c r="M6">
        <f>J6*EXP(-1*K6*I6)*(H6+(0.1)*((1+COS(RADIANS(22)))/2))</f>
        <v>588.76867999890419</v>
      </c>
      <c r="O6">
        <f t="shared" si="2"/>
        <v>588.76867999890419</v>
      </c>
    </row>
    <row r="7" spans="1:16" x14ac:dyDescent="0.25">
      <c r="C7" s="4">
        <v>4</v>
      </c>
      <c r="D7" s="4">
        <f t="shared" si="1"/>
        <v>60</v>
      </c>
      <c r="E7" t="s">
        <v>22</v>
      </c>
      <c r="F7">
        <f>180 - DEGREES(ASIN((COS(RADIANS(-20.138))*SIN(RADIANS(D7)))/COS(RADIANS(G7))))</f>
        <v>96.91781102509043</v>
      </c>
      <c r="G7">
        <f t="shared" si="0"/>
        <v>35.010731459947749</v>
      </c>
      <c r="H7">
        <f t="shared" si="3"/>
        <v>0.77725463049906596</v>
      </c>
      <c r="I7">
        <f t="shared" si="4"/>
        <v>1.7429805943378884</v>
      </c>
      <c r="J7">
        <f t="shared" si="5"/>
        <v>1230.7070857542815</v>
      </c>
      <c r="K7">
        <f t="shared" si="6"/>
        <v>0.13977530804730198</v>
      </c>
      <c r="L7" s="3">
        <v>0.33333333333333298</v>
      </c>
      <c r="M7">
        <f>J7*EXP(-1*K7*I7)*(H7+(0.1)*((1+COS(RADIANS(22)))/2))</f>
        <v>842.69210104194224</v>
      </c>
      <c r="O7">
        <f t="shared" si="2"/>
        <v>842.69210104194224</v>
      </c>
    </row>
    <row r="8" spans="1:16" x14ac:dyDescent="0.25">
      <c r="C8" s="4">
        <v>3</v>
      </c>
      <c r="D8" s="4">
        <f t="shared" si="1"/>
        <v>45</v>
      </c>
      <c r="E8" t="s">
        <v>22</v>
      </c>
      <c r="F8">
        <f>180 - DEGREES(ASIN((COS(RADIANS(-20.138))*SIN(RADIANS(D8)))/COS(RADIANS(G8))))</f>
        <v>91.025967001307194</v>
      </c>
      <c r="G8">
        <f t="shared" si="0"/>
        <v>48.395491799635984</v>
      </c>
      <c r="H8">
        <f t="shared" si="3"/>
        <v>0.90644574315851978</v>
      </c>
      <c r="I8">
        <f t="shared" si="4"/>
        <v>1.3373527943785422</v>
      </c>
      <c r="J8">
        <f t="shared" si="5"/>
        <v>1230.7070857542815</v>
      </c>
      <c r="K8">
        <f t="shared" si="6"/>
        <v>0.13977530804730198</v>
      </c>
      <c r="L8" s="3">
        <v>0.375</v>
      </c>
      <c r="M8">
        <f>J8*EXP(-1*K8*I8)*(H8+(0.1)*((1+COS(RADIANS(22)))/2))</f>
        <v>1023.7383549983533</v>
      </c>
      <c r="O8">
        <f t="shared" si="2"/>
        <v>1023.7383549983533</v>
      </c>
    </row>
    <row r="9" spans="1:16" x14ac:dyDescent="0.25">
      <c r="C9" s="4">
        <v>2</v>
      </c>
      <c r="D9" s="4">
        <f t="shared" si="1"/>
        <v>30</v>
      </c>
      <c r="E9" t="s">
        <v>23</v>
      </c>
      <c r="F9">
        <f>DEGREES(ASIN((COS(RADIANS(-20.138))*SIN(RADIANS(D9)))/COS(RADIANS(G9))))</f>
        <v>83.35545077372403</v>
      </c>
      <c r="G9">
        <f t="shared" si="0"/>
        <v>61.796310191265164</v>
      </c>
      <c r="H9">
        <f t="shared" si="3"/>
        <v>0.97963775055662705</v>
      </c>
      <c r="I9">
        <f t="shared" si="4"/>
        <v>1.13472213405117</v>
      </c>
      <c r="J9">
        <f t="shared" si="5"/>
        <v>1230.7070857542815</v>
      </c>
      <c r="K9">
        <f t="shared" si="6"/>
        <v>0.13977530804730198</v>
      </c>
      <c r="L9" s="3">
        <v>0.41666666666666702</v>
      </c>
      <c r="M9">
        <f>J9*EXP(-1*K9*I9)*(H9+(0.1)*((1+COS(RADIANS(22)))/2))</f>
        <v>1130.01437712867</v>
      </c>
      <c r="O9">
        <f t="shared" si="2"/>
        <v>1130.01437712867</v>
      </c>
    </row>
    <row r="10" spans="1:16" x14ac:dyDescent="0.25">
      <c r="C10" s="4">
        <v>1</v>
      </c>
      <c r="D10" s="4">
        <f t="shared" si="1"/>
        <v>15</v>
      </c>
      <c r="E10" t="s">
        <v>23</v>
      </c>
      <c r="F10">
        <f>DEGREES(ASIN((COS(RADIANS(-20.138))*SIN(RADIANS(D10)))/COS(RADIANS(G10))))</f>
        <v>68.3335050510629</v>
      </c>
      <c r="G10">
        <f t="shared" si="0"/>
        <v>74.842717937170633</v>
      </c>
      <c r="H10">
        <f t="shared" si="3"/>
        <v>0.99184273834472503</v>
      </c>
      <c r="I10">
        <f t="shared" si="4"/>
        <v>1.0360421382168878</v>
      </c>
      <c r="J10">
        <f t="shared" si="5"/>
        <v>1230.7070857542815</v>
      </c>
      <c r="K10">
        <f t="shared" si="6"/>
        <v>0.13977530804730198</v>
      </c>
      <c r="L10" s="3">
        <v>0.45833333333333298</v>
      </c>
      <c r="M10">
        <f>J10*EXP(-1*K10*I10)*(H10+(0.1)*((1+COS(RADIANS(22)))/2))</f>
        <v>1158.7044080089672</v>
      </c>
      <c r="O10">
        <f t="shared" si="2"/>
        <v>1158.7044080089672</v>
      </c>
    </row>
    <row r="11" spans="1:16" x14ac:dyDescent="0.25">
      <c r="C11" s="4">
        <v>0</v>
      </c>
      <c r="D11" s="4">
        <f t="shared" si="1"/>
        <v>0</v>
      </c>
      <c r="E11" t="s">
        <v>23</v>
      </c>
      <c r="F11">
        <f>DEGREES(ASIN((COS(RADIANS(-20.138))*SIN(RADIANS(D11)))/COS(RADIANS(G11))))</f>
        <v>0</v>
      </c>
      <c r="G11">
        <f t="shared" si="0"/>
        <v>83.638000000000076</v>
      </c>
      <c r="H11">
        <f t="shared" si="3"/>
        <v>0.94222895677474772</v>
      </c>
      <c r="I11">
        <f t="shared" si="4"/>
        <v>1.0061965309453149</v>
      </c>
      <c r="J11">
        <f t="shared" si="5"/>
        <v>1230.7070857542815</v>
      </c>
      <c r="K11">
        <f t="shared" si="6"/>
        <v>0.13977530804730198</v>
      </c>
      <c r="L11" s="3">
        <v>0.5</v>
      </c>
      <c r="M11">
        <f>J11*EXP(-1*K11*I11)*(H11+(0.1)*((1+COS(RADIANS(22)))/2))</f>
        <v>1110.4992432524186</v>
      </c>
      <c r="O11">
        <f t="shared" si="2"/>
        <v>1110.4992432524186</v>
      </c>
    </row>
    <row r="12" spans="1:16" x14ac:dyDescent="0.25">
      <c r="C12" s="4">
        <v>-1</v>
      </c>
      <c r="D12" s="4">
        <f t="shared" si="1"/>
        <v>-15</v>
      </c>
      <c r="E12" t="s">
        <v>23</v>
      </c>
      <c r="F12">
        <f>DEGREES(ASIN((COS(RADIANS(-20.138))*SIN(RADIANS(D12)))/COS(RADIANS(G12))))</f>
        <v>-68.333505051062929</v>
      </c>
      <c r="G12">
        <f t="shared" si="0"/>
        <v>74.842717937170633</v>
      </c>
      <c r="H12">
        <f t="shared" si="3"/>
        <v>0.83417750307003868</v>
      </c>
      <c r="I12">
        <f t="shared" si="4"/>
        <v>1.0360421382168878</v>
      </c>
      <c r="J12">
        <f t="shared" si="5"/>
        <v>1230.7070857542815</v>
      </c>
      <c r="K12">
        <f t="shared" si="6"/>
        <v>0.13977530804730198</v>
      </c>
      <c r="L12" s="3">
        <v>0.54166666666666696</v>
      </c>
      <c r="M12">
        <f>J12*EXP(-1*K12*I12)*(H12+(0.1)*((1+COS(RADIANS(22)))/2))</f>
        <v>990.82435019432626</v>
      </c>
      <c r="O12">
        <f t="shared" si="2"/>
        <v>990.82435019432626</v>
      </c>
    </row>
    <row r="13" spans="1:16" x14ac:dyDescent="0.25">
      <c r="C13" s="4">
        <v>-2</v>
      </c>
      <c r="D13" s="4">
        <f t="shared" si="1"/>
        <v>-30</v>
      </c>
      <c r="E13" t="s">
        <v>23</v>
      </c>
      <c r="F13">
        <f>DEGREES(ASIN((COS(RADIANS(-20.138))*SIN(RADIANS(D13)))/COS(RADIANS(G13))))</f>
        <v>-83.355450773724073</v>
      </c>
      <c r="G13">
        <f t="shared" si="0"/>
        <v>61.796310191265164</v>
      </c>
      <c r="H13">
        <f t="shared" si="3"/>
        <v>0.67505190523710368</v>
      </c>
      <c r="I13">
        <f t="shared" si="4"/>
        <v>1.13472213405117</v>
      </c>
      <c r="J13">
        <f t="shared" si="5"/>
        <v>1230.7070857542815</v>
      </c>
      <c r="K13">
        <f t="shared" si="6"/>
        <v>0.13977530804730198</v>
      </c>
      <c r="L13" s="3">
        <v>0.58333333333333304</v>
      </c>
      <c r="M13">
        <f>J13*EXP(-1*K13*I13)*(H13+(0.1)*((1+COS(RADIANS(22)))/2))</f>
        <v>810.13764659617766</v>
      </c>
      <c r="O13">
        <f t="shared" si="2"/>
        <v>810.13764659617766</v>
      </c>
    </row>
    <row r="14" spans="1:16" x14ac:dyDescent="0.25">
      <c r="C14" s="4">
        <v>-3</v>
      </c>
      <c r="D14" s="4">
        <f t="shared" si="1"/>
        <v>-45</v>
      </c>
      <c r="E14" t="s">
        <v>22</v>
      </c>
      <c r="F14">
        <f>-180 - DEGREES(ASIN((COS(RADIANS(-20.138))*SIN(RADIANS(D14)))/COS(RADIANS(G14))))</f>
        <v>-91.025967001307549</v>
      </c>
      <c r="G14">
        <f t="shared" si="0"/>
        <v>48.395491799635984</v>
      </c>
      <c r="H14">
        <f t="shared" si="3"/>
        <v>0.47569630980077537</v>
      </c>
      <c r="I14">
        <f t="shared" si="4"/>
        <v>1.3373527943785422</v>
      </c>
      <c r="J14">
        <f t="shared" si="5"/>
        <v>1230.7070857542815</v>
      </c>
      <c r="K14">
        <f t="shared" si="6"/>
        <v>0.13977530804730198</v>
      </c>
      <c r="L14" s="3">
        <v>0.625</v>
      </c>
      <c r="M14">
        <f>J14*EXP(-1*K14*I14)*(H14+(0.1)*((1+COS(RADIANS(22)))/2))</f>
        <v>583.9970847460869</v>
      </c>
      <c r="O14">
        <f t="shared" si="2"/>
        <v>583.9970847460869</v>
      </c>
    </row>
    <row r="15" spans="1:16" x14ac:dyDescent="0.25">
      <c r="C15" s="4">
        <v>-4</v>
      </c>
      <c r="D15" s="4">
        <f t="shared" si="1"/>
        <v>-60</v>
      </c>
      <c r="E15" t="s">
        <v>22</v>
      </c>
      <c r="F15">
        <f>-180 - DEGREES(ASIN((COS(RADIANS(-20.138))*SIN(RADIANS(D15)))/COS(RADIANS(G15))))</f>
        <v>-96.91781102509043</v>
      </c>
      <c r="G15">
        <f t="shared" si="0"/>
        <v>35.010731459947749</v>
      </c>
      <c r="H15">
        <f t="shared" si="3"/>
        <v>0.24969647113933635</v>
      </c>
      <c r="I15">
        <f t="shared" si="4"/>
        <v>1.7429805943378884</v>
      </c>
      <c r="J15">
        <f t="shared" si="5"/>
        <v>1230.7070857542815</v>
      </c>
      <c r="K15">
        <f t="shared" si="6"/>
        <v>0.13977530804730198</v>
      </c>
      <c r="L15" s="3">
        <v>0.66666666666666696</v>
      </c>
      <c r="M15">
        <f>J15*EXP(-1*K15*I15)*(H15+(0.1)*((1+COS(RADIANS(22)))/2))</f>
        <v>333.80695990453245</v>
      </c>
      <c r="O15">
        <f t="shared" si="2"/>
        <v>333.80695990453245</v>
      </c>
    </row>
    <row r="16" spans="1:16" x14ac:dyDescent="0.25">
      <c r="C16" s="4">
        <v>-5</v>
      </c>
      <c r="D16" s="4">
        <f t="shared" si="1"/>
        <v>-75</v>
      </c>
      <c r="E16" t="s">
        <v>22</v>
      </c>
      <c r="F16">
        <f>-180 - DEGREES(ASIN((COS(RADIANS(-20.138))*SIN(RADIANS(D16)))/COS(RADIANS(G16))))</f>
        <v>-102.41785619050914</v>
      </c>
      <c r="G16">
        <f t="shared" si="0"/>
        <v>21.782481834997387</v>
      </c>
      <c r="H16">
        <f t="shared" si="3"/>
        <v>1.2453904775175328E-2</v>
      </c>
      <c r="I16">
        <f t="shared" si="4"/>
        <v>2.694808124123663</v>
      </c>
      <c r="J16">
        <f t="shared" si="5"/>
        <v>1230.7070857542815</v>
      </c>
      <c r="K16">
        <f t="shared" si="6"/>
        <v>0.13977530804730198</v>
      </c>
      <c r="L16" s="3">
        <v>0.70833333333333304</v>
      </c>
      <c r="M16">
        <f>J16*EXP(-1*K16*I16)*(H16+(0.1)*((1+COS(RADIANS(22)))/2))</f>
        <v>91.886391930129989</v>
      </c>
      <c r="O16">
        <f t="shared" si="2"/>
        <v>91.886391930129989</v>
      </c>
    </row>
    <row r="17" spans="1:22" x14ac:dyDescent="0.25">
      <c r="C17" s="4">
        <v>-6</v>
      </c>
      <c r="D17" s="4">
        <f t="shared" si="1"/>
        <v>-90</v>
      </c>
      <c r="E17" t="s">
        <v>22</v>
      </c>
      <c r="F17">
        <f>-180 - DEGREES(ASIN((COS(RADIANS(-20.138))*SIN(RADIANS(D17)))/COS(RADIANS(G17))))</f>
        <v>-108.16842188717766</v>
      </c>
      <c r="G17">
        <f t="shared" si="0"/>
        <v>8.8366580002586641</v>
      </c>
      <c r="H17">
        <f t="shared" si="3"/>
        <v>-0.21986370045586937</v>
      </c>
      <c r="I17">
        <f t="shared" si="4"/>
        <v>6.5096505869182089</v>
      </c>
      <c r="J17">
        <f t="shared" si="5"/>
        <v>1230.7070857542815</v>
      </c>
      <c r="K17">
        <f t="shared" si="6"/>
        <v>0.13977530804730198</v>
      </c>
      <c r="L17" s="3">
        <v>0.75</v>
      </c>
      <c r="M17">
        <v>0</v>
      </c>
      <c r="O17">
        <f t="shared" si="2"/>
        <v>0</v>
      </c>
    </row>
    <row r="18" spans="1:22" x14ac:dyDescent="0.25">
      <c r="C18" s="4">
        <v>-6.7023000000000001</v>
      </c>
      <c r="D18" s="4">
        <f t="shared" si="1"/>
        <v>-100.53450000000001</v>
      </c>
      <c r="E18" t="s">
        <v>22</v>
      </c>
      <c r="F18">
        <f>-180 - DEGREES(ASIN((COS(RADIANS(-20.138))*SIN(RADIANS(D18)))/COS(RADIANS(G18))))</f>
        <v>-112.62513657992629</v>
      </c>
      <c r="G18">
        <f t="shared" si="0"/>
        <v>1.1826187149519494E-4</v>
      </c>
      <c r="L18" s="3">
        <v>0.77916666666666667</v>
      </c>
      <c r="M18">
        <v>0</v>
      </c>
      <c r="O18">
        <f t="shared" si="2"/>
        <v>0</v>
      </c>
    </row>
    <row r="19" spans="1:22" x14ac:dyDescent="0.25">
      <c r="O19" s="1">
        <f>SUM(O4:O18)</f>
        <v>8905.6908272501933</v>
      </c>
    </row>
    <row r="20" spans="1:22" x14ac:dyDescent="0.25">
      <c r="A20" t="s">
        <v>24</v>
      </c>
      <c r="B20">
        <v>-11.226308550715238</v>
      </c>
      <c r="C20" s="4">
        <v>6.3786180000000003</v>
      </c>
      <c r="D20">
        <f>C20*15</f>
        <v>95.679270000000002</v>
      </c>
      <c r="E20" t="s">
        <v>22</v>
      </c>
      <c r="F20">
        <f>180 - DEGREES(ASIN((COS(RADIANS(-11.2263))*SIN(RADIANS(D20)))/COS(RADIANS(G20))))</f>
        <v>102.56462637931314</v>
      </c>
      <c r="G20">
        <f>DEGREES(ASIN(COS(RADIANS(-26.5))*COS(RADIANS(-11.2263))*COS(RADIANS(D20))+SIN(RADIANS(-26.5))*SIN(RADIANS(-11.2263))))</f>
        <v>-2.7425968078768364E-6</v>
      </c>
      <c r="L20" s="3">
        <f>Sheet1!F4</f>
        <v>0.23422424635203834</v>
      </c>
      <c r="M20">
        <v>0</v>
      </c>
      <c r="O20">
        <f t="shared" si="2"/>
        <v>0</v>
      </c>
    </row>
    <row r="21" spans="1:22" x14ac:dyDescent="0.25">
      <c r="C21" s="4">
        <v>6</v>
      </c>
      <c r="D21">
        <f t="shared" ref="D21:D34" si="7">C21*15</f>
        <v>90</v>
      </c>
      <c r="E21" t="s">
        <v>22</v>
      </c>
      <c r="F21">
        <f>180 - DEGREES(ASIN((COS(RADIANS(-11.2263))*SIN(RADIANS(D21)))/COS(RADIANS(G21))))</f>
        <v>100.07231871271858</v>
      </c>
      <c r="G21">
        <f t="shared" ref="G21:G34" si="8">DEGREES(ASIN(COS(RADIANS(-26.5))*COS(RADIANS(-11.2263))*COS(RADIANS(D21))+SIN(RADIANS(-26.5))*SIN(RADIANS(-11.2263))))</f>
        <v>4.9834420106255566</v>
      </c>
      <c r="H21">
        <f>COS(RADIANS(G21))*COS(RADIANS(F21-60))*SIN(RADIANS(22))+SIN(RADIANS(G21))*COS(RADIANS(22))</f>
        <v>0.36611998421761238</v>
      </c>
      <c r="I21">
        <f xml:space="preserve"> 1/SIN(RADIANS(G21))</f>
        <v>11.511739155089389</v>
      </c>
      <c r="J21">
        <f>1160+75*SIN(RADIANS((360/365)*(52-275)))</f>
        <v>1208.1541034927423</v>
      </c>
      <c r="K21">
        <f>0.174+0.035*SIN(RADIANS((360/365)*(52-100)))</f>
        <v>0.14826040419626049</v>
      </c>
      <c r="L21" s="3">
        <v>0.25</v>
      </c>
      <c r="M21">
        <f>J21*EXP(-1*K21*I21)*(H21+(0.1)*((1+COS(RADIANS(22)))/2))</f>
        <v>101.38854268255375</v>
      </c>
      <c r="O21">
        <f t="shared" si="2"/>
        <v>101.38854268255375</v>
      </c>
    </row>
    <row r="22" spans="1:22" x14ac:dyDescent="0.25">
      <c r="C22" s="4">
        <v>5</v>
      </c>
      <c r="D22">
        <f t="shared" si="7"/>
        <v>75</v>
      </c>
      <c r="E22" t="s">
        <v>22</v>
      </c>
      <c r="F22">
        <f>180 - DEGREES(ASIN((COS(RADIANS(-11.2263))*SIN(RADIANS(D22)))/COS(RADIANS(G22))))</f>
        <v>93.681132717745058</v>
      </c>
      <c r="G22">
        <f t="shared" si="8"/>
        <v>18.304193673278395</v>
      </c>
      <c r="H22">
        <f t="shared" ref="H22:H33" si="9">COS(RADIANS(G22))*COS(RADIANS(F22-60))*SIN(RADIANS(22))+SIN(RADIANS(G22))*COS(RADIANS(22))</f>
        <v>0.58714463919917481</v>
      </c>
      <c r="I22">
        <f t="shared" ref="I22:I33" si="10" xml:space="preserve"> 1/SIN(RADIANS(G22))</f>
        <v>3.1840852104291435</v>
      </c>
      <c r="J22">
        <f t="shared" ref="J22:J33" si="11">1160+75*SIN(RADIANS((360/365)*(52-275)))</f>
        <v>1208.1541034927423</v>
      </c>
      <c r="K22">
        <f t="shared" ref="K22:K33" si="12">0.174+0.035*SIN(RADIANS((360/365)*(52-100)))</f>
        <v>0.14826040419626049</v>
      </c>
      <c r="L22" s="3">
        <v>0.29166666666666702</v>
      </c>
      <c r="M22">
        <f>J22*EXP(-1*K22*I22)*(H22+(0.1)*((1+COS(RADIANS(22)))/2))</f>
        <v>515.04391180984726</v>
      </c>
      <c r="O22">
        <f t="shared" si="2"/>
        <v>515.04391180984726</v>
      </c>
    </row>
    <row r="23" spans="1:22" x14ac:dyDescent="0.25">
      <c r="C23" s="4">
        <v>4</v>
      </c>
      <c r="D23">
        <f t="shared" si="7"/>
        <v>60</v>
      </c>
      <c r="E23" t="s">
        <v>23</v>
      </c>
      <c r="F23">
        <f t="shared" ref="F23:F31" si="13">DEGREES(ASIN((COS(RADIANS(-11.2263))*SIN(RADIANS(D23)))/COS(RADIANS(G23))))</f>
        <v>86.994476046717836</v>
      </c>
      <c r="G23">
        <f t="shared" si="8"/>
        <v>31.720305509659152</v>
      </c>
      <c r="H23">
        <f t="shared" si="9"/>
        <v>0.77142125073999979</v>
      </c>
      <c r="I23">
        <f t="shared" si="10"/>
        <v>1.9019609726166773</v>
      </c>
      <c r="J23">
        <f t="shared" si="11"/>
        <v>1208.1541034927423</v>
      </c>
      <c r="K23">
        <f t="shared" si="12"/>
        <v>0.14826040419626049</v>
      </c>
      <c r="L23" s="3">
        <v>0.33333333333333298</v>
      </c>
      <c r="M23">
        <f>J23*EXP(-1*K23*I23)*(H23+(0.1)*((1+COS(RADIANS(22)))/2))</f>
        <v>790.80142659031276</v>
      </c>
      <c r="O23">
        <f t="shared" si="2"/>
        <v>790.80142659031276</v>
      </c>
    </row>
    <row r="24" spans="1:22" x14ac:dyDescent="0.25">
      <c r="C24" s="4">
        <v>3</v>
      </c>
      <c r="D24">
        <f t="shared" si="7"/>
        <v>45</v>
      </c>
      <c r="E24" t="s">
        <v>23</v>
      </c>
      <c r="F24">
        <f t="shared" si="13"/>
        <v>78.966184186551828</v>
      </c>
      <c r="G24">
        <f t="shared" si="8"/>
        <v>45.037843802846922</v>
      </c>
      <c r="H24">
        <f t="shared" si="9"/>
        <v>0.90639167229507955</v>
      </c>
      <c r="I24">
        <f t="shared" si="10"/>
        <v>1.4132804004826784</v>
      </c>
      <c r="J24">
        <f t="shared" si="11"/>
        <v>1208.1541034927423</v>
      </c>
      <c r="K24">
        <f t="shared" si="12"/>
        <v>0.14826040419626049</v>
      </c>
      <c r="L24" s="3">
        <v>0.375</v>
      </c>
      <c r="M24">
        <f>J24*EXP(-1*K24*I24)*(H24+(0.1)*((1+COS(RADIANS(22)))/2))</f>
        <v>982.46282352447986</v>
      </c>
      <c r="O24">
        <f t="shared" si="2"/>
        <v>982.46282352447986</v>
      </c>
    </row>
    <row r="25" spans="1:22" x14ac:dyDescent="0.25">
      <c r="C25" s="4">
        <v>2</v>
      </c>
      <c r="D25">
        <f t="shared" si="7"/>
        <v>30</v>
      </c>
      <c r="E25" t="s">
        <v>23</v>
      </c>
      <c r="F25">
        <f t="shared" si="13"/>
        <v>67.33556761894306</v>
      </c>
      <c r="G25">
        <f t="shared" si="8"/>
        <v>57.894846446916581</v>
      </c>
      <c r="H25">
        <f t="shared" si="9"/>
        <v>0.982857892684603</v>
      </c>
      <c r="I25">
        <f t="shared" si="10"/>
        <v>1.180534236337095</v>
      </c>
      <c r="J25">
        <f t="shared" si="11"/>
        <v>1208.1541034927423</v>
      </c>
      <c r="K25">
        <f t="shared" si="12"/>
        <v>0.14826040419626049</v>
      </c>
      <c r="L25" s="3">
        <v>0.41666666666666702</v>
      </c>
      <c r="M25">
        <f>J25*EXP(-1*K25*I25)*(H25+(0.1)*((1+COS(RADIANS(22)))/2))</f>
        <v>1094.5059068192397</v>
      </c>
      <c r="O25">
        <f t="shared" si="2"/>
        <v>1094.5059068192397</v>
      </c>
    </row>
    <row r="26" spans="1:22" x14ac:dyDescent="0.25">
      <c r="C26" s="4">
        <v>1</v>
      </c>
      <c r="D26">
        <f t="shared" si="7"/>
        <v>15</v>
      </c>
      <c r="E26" t="s">
        <v>23</v>
      </c>
      <c r="F26">
        <f t="shared" si="13"/>
        <v>45.610065669624298</v>
      </c>
      <c r="G26">
        <f t="shared" si="8"/>
        <v>69.190658867895735</v>
      </c>
      <c r="H26">
        <f t="shared" si="9"/>
        <v>0.99560886535542803</v>
      </c>
      <c r="I26">
        <f t="shared" si="10"/>
        <v>1.0697844239834138</v>
      </c>
      <c r="J26">
        <f t="shared" si="11"/>
        <v>1208.1541034927423</v>
      </c>
      <c r="K26">
        <f t="shared" si="12"/>
        <v>0.14826040419626049</v>
      </c>
      <c r="L26" s="3">
        <v>0.45833333333333298</v>
      </c>
      <c r="M26">
        <f>J26*EXP(-1*K26*I26)*(H26+(0.1)*((1+COS(RADIANS(22)))/2))</f>
        <v>1125.77154170991</v>
      </c>
      <c r="O26">
        <f t="shared" si="2"/>
        <v>1125.77154170991</v>
      </c>
    </row>
    <row r="27" spans="1:22" x14ac:dyDescent="0.25">
      <c r="C27" s="4">
        <v>0</v>
      </c>
      <c r="D27">
        <f t="shared" si="7"/>
        <v>0</v>
      </c>
      <c r="E27" t="s">
        <v>23</v>
      </c>
      <c r="F27">
        <f t="shared" si="13"/>
        <v>0</v>
      </c>
      <c r="G27">
        <f t="shared" si="8"/>
        <v>74.726300000000023</v>
      </c>
      <c r="H27">
        <f t="shared" si="9"/>
        <v>0.94377563259201669</v>
      </c>
      <c r="I27">
        <f t="shared" si="10"/>
        <v>1.0366148534691622</v>
      </c>
      <c r="J27">
        <f t="shared" si="11"/>
        <v>1208.1541034927423</v>
      </c>
      <c r="K27">
        <f t="shared" si="12"/>
        <v>0.14826040419626049</v>
      </c>
      <c r="L27" s="3">
        <v>0.5</v>
      </c>
      <c r="M27">
        <f>J27*EXP(-1*K27*I27)*(H27+(0.1)*((1+COS(RADIANS(22)))/2))</f>
        <v>1077.6201746815329</v>
      </c>
      <c r="O27">
        <f t="shared" si="2"/>
        <v>1077.6201746815329</v>
      </c>
    </row>
    <row r="28" spans="1:22" x14ac:dyDescent="0.25">
      <c r="C28" s="4">
        <v>-1</v>
      </c>
      <c r="D28">
        <f t="shared" si="7"/>
        <v>-15</v>
      </c>
      <c r="E28" t="s">
        <v>23</v>
      </c>
      <c r="F28">
        <f t="shared" si="13"/>
        <v>-45.610065669624291</v>
      </c>
      <c r="G28">
        <f t="shared" si="8"/>
        <v>69.190658867895735</v>
      </c>
      <c r="H28">
        <f t="shared" si="9"/>
        <v>0.83089054354872816</v>
      </c>
      <c r="I28">
        <f t="shared" si="10"/>
        <v>1.0697844239834138</v>
      </c>
      <c r="J28">
        <f t="shared" si="11"/>
        <v>1208.1541034927423</v>
      </c>
      <c r="K28">
        <f t="shared" si="12"/>
        <v>0.14826040419626049</v>
      </c>
      <c r="L28" s="3">
        <v>0.54166666666666696</v>
      </c>
      <c r="M28">
        <f>J28*EXP(-1*K28*I28)*(H28+(0.1)*((1+COS(RADIANS(22)))/2))</f>
        <v>955.9541210304011</v>
      </c>
      <c r="O28">
        <f t="shared" si="2"/>
        <v>955.9541210304011</v>
      </c>
    </row>
    <row r="29" spans="1:22" x14ac:dyDescent="0.25">
      <c r="C29" s="4">
        <v>-2</v>
      </c>
      <c r="D29">
        <f t="shared" si="7"/>
        <v>-30</v>
      </c>
      <c r="E29" t="s">
        <v>23</v>
      </c>
      <c r="F29">
        <f t="shared" si="13"/>
        <v>-67.33556761894306</v>
      </c>
      <c r="G29">
        <f t="shared" si="8"/>
        <v>57.894846446916581</v>
      </c>
      <c r="H29">
        <f t="shared" si="9"/>
        <v>0.66464653049243239</v>
      </c>
      <c r="I29">
        <f t="shared" si="10"/>
        <v>1.180534236337095</v>
      </c>
      <c r="J29">
        <f t="shared" si="11"/>
        <v>1208.1541034927423</v>
      </c>
      <c r="K29">
        <f t="shared" si="12"/>
        <v>0.14826040419626049</v>
      </c>
      <c r="L29" s="3">
        <v>0.58333333333333304</v>
      </c>
      <c r="M29">
        <f>J29*EXP(-1*K29*I29)*(H29+(0.1)*((1+COS(RADIANS(22)))/2))</f>
        <v>771.78657607118851</v>
      </c>
      <c r="O29">
        <f t="shared" si="2"/>
        <v>771.78657607118851</v>
      </c>
      <c r="U29" s="1" t="s">
        <v>0</v>
      </c>
      <c r="V29" s="1" t="s">
        <v>36</v>
      </c>
    </row>
    <row r="30" spans="1:22" x14ac:dyDescent="0.25">
      <c r="C30" s="4">
        <v>-3</v>
      </c>
      <c r="D30">
        <f t="shared" si="7"/>
        <v>-45</v>
      </c>
      <c r="E30" t="s">
        <v>23</v>
      </c>
      <c r="F30">
        <f t="shared" si="13"/>
        <v>-78.966184186551828</v>
      </c>
      <c r="G30">
        <f t="shared" si="8"/>
        <v>45.037843802846922</v>
      </c>
      <c r="H30">
        <f t="shared" si="9"/>
        <v>0.45637284818169477</v>
      </c>
      <c r="I30">
        <f t="shared" si="10"/>
        <v>1.4132804004826784</v>
      </c>
      <c r="J30">
        <f t="shared" si="11"/>
        <v>1208.1541034927423</v>
      </c>
      <c r="K30">
        <f t="shared" si="12"/>
        <v>0.14826040419626049</v>
      </c>
      <c r="L30" s="3">
        <v>0.625</v>
      </c>
      <c r="M30">
        <f>J30*EXP(-1*K30*I30)*(H30+(0.1)*((1+COS(RADIANS(22)))/2))</f>
        <v>541.54895349029482</v>
      </c>
      <c r="O30">
        <f t="shared" si="2"/>
        <v>541.54895349029482</v>
      </c>
      <c r="U30" t="s">
        <v>8</v>
      </c>
      <c r="V30" t="s">
        <v>37</v>
      </c>
    </row>
    <row r="31" spans="1:22" x14ac:dyDescent="0.25">
      <c r="C31" s="4">
        <v>-4</v>
      </c>
      <c r="D31">
        <f t="shared" si="7"/>
        <v>-60</v>
      </c>
      <c r="E31" t="s">
        <v>23</v>
      </c>
      <c r="F31">
        <f t="shared" si="13"/>
        <v>-86.994476046717963</v>
      </c>
      <c r="G31">
        <f t="shared" si="8"/>
        <v>31.720305509659152</v>
      </c>
      <c r="H31">
        <f t="shared" si="9"/>
        <v>0.22026300387745784</v>
      </c>
      <c r="I31">
        <f t="shared" si="10"/>
        <v>1.9019609726166773</v>
      </c>
      <c r="J31">
        <f t="shared" si="11"/>
        <v>1208.1541034927423</v>
      </c>
      <c r="K31">
        <f t="shared" si="12"/>
        <v>0.14826040419626049</v>
      </c>
      <c r="L31" s="3">
        <v>0.66666666666666696</v>
      </c>
      <c r="M31">
        <f>J31*EXP(-1*K31*I31)*(H31+(0.1)*((1+COS(RADIANS(22)))/2))</f>
        <v>288.53529328833991</v>
      </c>
      <c r="O31">
        <f t="shared" si="2"/>
        <v>288.53529328833991</v>
      </c>
      <c r="U31" t="s">
        <v>7</v>
      </c>
      <c r="V31" s="6" t="s">
        <v>39</v>
      </c>
    </row>
    <row r="32" spans="1:22" x14ac:dyDescent="0.25">
      <c r="C32" s="4">
        <v>-5</v>
      </c>
      <c r="D32">
        <f t="shared" si="7"/>
        <v>-75</v>
      </c>
      <c r="E32" t="s">
        <v>22</v>
      </c>
      <c r="F32">
        <f>-180 - DEGREES(ASIN((COS(RADIANS(-11.2263))*SIN(RADIANS(D32)))/COS(RADIANS(G32))))</f>
        <v>-93.681132717745058</v>
      </c>
      <c r="G32">
        <f t="shared" si="8"/>
        <v>18.304193673278395</v>
      </c>
      <c r="H32">
        <f t="shared" si="9"/>
        <v>-2.7592506720909959E-2</v>
      </c>
      <c r="I32">
        <f t="shared" si="10"/>
        <v>3.1840852104291435</v>
      </c>
      <c r="J32">
        <f t="shared" si="11"/>
        <v>1208.1541034927423</v>
      </c>
      <c r="K32">
        <f t="shared" si="12"/>
        <v>0.14826040419626049</v>
      </c>
      <c r="L32" s="3">
        <v>0.70833333333333304</v>
      </c>
      <c r="M32">
        <f>J32*EXP(-1*K32*I32)*(H32+(0.1)*((1+COS(RADIANS(22)))/2))</f>
        <v>51.818089832189862</v>
      </c>
      <c r="O32">
        <f t="shared" si="2"/>
        <v>51.818089832189862</v>
      </c>
      <c r="U32" t="s">
        <v>38</v>
      </c>
      <c r="V32" t="s">
        <v>40</v>
      </c>
    </row>
    <row r="33" spans="1:15" x14ac:dyDescent="0.25">
      <c r="C33" s="4">
        <v>-6</v>
      </c>
      <c r="D33">
        <f t="shared" si="7"/>
        <v>-90</v>
      </c>
      <c r="E33" t="s">
        <v>22</v>
      </c>
      <c r="F33">
        <f>-180 - DEGREES(ASIN((COS(RADIANS(-11.2263))*SIN(RADIANS(D33)))/COS(RADIANS(G33))))</f>
        <v>-100.07231871271858</v>
      </c>
      <c r="G33">
        <f t="shared" si="8"/>
        <v>4.9834420106255566</v>
      </c>
      <c r="H33">
        <f t="shared" si="9"/>
        <v>-0.27030274016672889</v>
      </c>
      <c r="I33">
        <f t="shared" si="10"/>
        <v>11.511739155089389</v>
      </c>
      <c r="J33">
        <f t="shared" si="11"/>
        <v>1208.1541034927423</v>
      </c>
      <c r="K33">
        <f t="shared" si="12"/>
        <v>0.14826040419626049</v>
      </c>
      <c r="L33" s="3">
        <v>0.75</v>
      </c>
      <c r="M33">
        <v>0</v>
      </c>
      <c r="O33">
        <f t="shared" si="2"/>
        <v>0</v>
      </c>
    </row>
    <row r="34" spans="1:15" x14ac:dyDescent="0.25">
      <c r="C34" s="4">
        <v>-6.3786180000000003</v>
      </c>
      <c r="D34">
        <f t="shared" si="7"/>
        <v>-95.679270000000002</v>
      </c>
      <c r="E34" t="s">
        <v>22</v>
      </c>
      <c r="F34">
        <f>-180 - DEGREES(ASIN((COS(RADIANS(-11.2263))*SIN(RADIANS(D34)))/COS(RADIANS(G34))))</f>
        <v>-102.56462637931314</v>
      </c>
      <c r="G34">
        <f t="shared" si="8"/>
        <v>-2.7425968078768364E-6</v>
      </c>
      <c r="L34" s="3">
        <f>Sheet1!G4</f>
        <v>0.76577575364796158</v>
      </c>
      <c r="M34">
        <v>0</v>
      </c>
      <c r="O34">
        <f t="shared" si="2"/>
        <v>0</v>
      </c>
    </row>
    <row r="35" spans="1:15" x14ac:dyDescent="0.25">
      <c r="O35" s="1">
        <f>SUM(O20:O34)</f>
        <v>8297.2373615302913</v>
      </c>
    </row>
    <row r="36" spans="1:15" x14ac:dyDescent="0.25">
      <c r="A36" t="s">
        <v>25</v>
      </c>
      <c r="B36">
        <v>-0.40365320185432335</v>
      </c>
      <c r="C36">
        <v>6.0134173329999996</v>
      </c>
      <c r="D36">
        <f>C36*15</f>
        <v>90.201259994999987</v>
      </c>
      <c r="E36" t="s">
        <v>22</v>
      </c>
      <c r="F36">
        <f>180 - DEGREES(ASIN((COS(RADIANS(-0.40365))*SIN(RADIANS(D36)))/COS(RADIANS(G36))))</f>
        <v>90.451041281863141</v>
      </c>
      <c r="G36">
        <f>DEGREES(ASIN(COS(RADIANS(-26.5))*COS(RADIANS(-0.40365))*COS(RADIANS(D36))+SIN(RADIANS(-26.5))*SIN(RADIANS(-0.40365))))</f>
        <v>-3.3876176402008163E-6</v>
      </c>
      <c r="L36" s="3">
        <f>Sheet1!F5</f>
        <v>0.24944095053879947</v>
      </c>
      <c r="M36">
        <v>0</v>
      </c>
      <c r="O36">
        <f t="shared" si="2"/>
        <v>0</v>
      </c>
    </row>
    <row r="37" spans="1:15" x14ac:dyDescent="0.25">
      <c r="C37" s="4">
        <v>6</v>
      </c>
      <c r="D37">
        <f t="shared" ref="D37:D50" si="14">C37*15</f>
        <v>90</v>
      </c>
      <c r="E37" t="s">
        <v>22</v>
      </c>
      <c r="F37">
        <f>180 - DEGREES(ASIN((COS(RADIANS(-0.40365))*SIN(RADIANS(D37)))/COS(RADIANS(G37))))</f>
        <v>90.361241444911727</v>
      </c>
      <c r="G37">
        <f t="shared" ref="G37:G50" si="15">DEGREES(ASIN(COS(RADIANS(-26.5))*COS(RADIANS(-0.40365))*COS(RADIANS(D37))+SIN(RADIANS(-26.5))*SIN(RADIANS(-0.40365))))</f>
        <v>0.18010655401845438</v>
      </c>
      <c r="H37">
        <f>COS(RADIANS(G37))*COS(RADIANS(F37-60))*SIN(RADIANS(22))+SIN(RADIANS(G37))*COS(RADIANS(22))</f>
        <v>0.32614442299227037</v>
      </c>
      <c r="I37">
        <f xml:space="preserve"> 1/SIN(RADIANS(G37))</f>
        <v>318.12209269583883</v>
      </c>
      <c r="J37">
        <f>1160+75*SIN(RADIANS((360/365)*(80-275)))</f>
        <v>1176.0140686579848</v>
      </c>
      <c r="K37">
        <f>0.174+0.035*SIN(RADIANS((360/365)*(80-100)))</f>
        <v>0.16218669851420603</v>
      </c>
      <c r="L37" s="3">
        <v>0.25</v>
      </c>
      <c r="M37">
        <f>J37*EXP(-1*K37*I37)*(H37+(0.1)*((1+COS(RADIANS(22)))/2))</f>
        <v>1.9442158587804285E-20</v>
      </c>
      <c r="O37">
        <f t="shared" si="2"/>
        <v>1.9442158587804285E-20</v>
      </c>
    </row>
    <row r="38" spans="1:15" x14ac:dyDescent="0.25">
      <c r="C38" s="4">
        <v>5</v>
      </c>
      <c r="D38">
        <f t="shared" si="14"/>
        <v>75</v>
      </c>
      <c r="E38" t="s">
        <v>23</v>
      </c>
      <c r="F38">
        <f t="shared" ref="F38:F48" si="16">DEGREES(ASIN((COS(RADIANS(-0.40365))*SIN(RADIANS(D38)))/COS(RADIANS(G38))))</f>
        <v>83.551171597239204</v>
      </c>
      <c r="G38">
        <f t="shared" si="15"/>
        <v>13.577697415597905</v>
      </c>
      <c r="H38">
        <f t="shared" ref="H38:H49" si="17">COS(RADIANS(G38))*COS(RADIANS(F38-60))*SIN(RADIANS(22))+SIN(RADIANS(G38))*COS(RADIANS(22))</f>
        <v>0.5514750938989379</v>
      </c>
      <c r="I38">
        <f t="shared" ref="I38:I49" si="18" xml:space="preserve"> 1/SIN(RADIANS(G38))</f>
        <v>4.2596012980631164</v>
      </c>
      <c r="J38">
        <f t="shared" ref="J38:J49" si="19">1160+75*SIN(RADIANS((360/365)*(80-275)))</f>
        <v>1176.0140686579848</v>
      </c>
      <c r="K38">
        <f t="shared" ref="K38:K49" si="20">0.174+0.035*SIN(RADIANS((360/365)*(80-100)))</f>
        <v>0.16218669851420603</v>
      </c>
      <c r="L38" s="3">
        <v>0.29166666666666702</v>
      </c>
      <c r="M38">
        <f>J38*EXP(-1*K38*I38)*(H38+(0.1)*((1+COS(RADIANS(22)))/2))</f>
        <v>381.80693464761356</v>
      </c>
      <c r="O38">
        <f t="shared" si="2"/>
        <v>381.80693464761356</v>
      </c>
    </row>
    <row r="39" spans="1:15" x14ac:dyDescent="0.25">
      <c r="C39" s="4">
        <v>4</v>
      </c>
      <c r="D39">
        <f t="shared" si="14"/>
        <v>60</v>
      </c>
      <c r="E39" t="s">
        <v>23</v>
      </c>
      <c r="F39">
        <f t="shared" si="16"/>
        <v>75.945848520186686</v>
      </c>
      <c r="G39">
        <f t="shared" si="15"/>
        <v>26.782155271195915</v>
      </c>
      <c r="H39">
        <f t="shared" si="17"/>
        <v>0.7393417937219301</v>
      </c>
      <c r="I39">
        <f t="shared" si="18"/>
        <v>2.219265550836409</v>
      </c>
      <c r="J39">
        <f t="shared" si="19"/>
        <v>1176.0140686579848</v>
      </c>
      <c r="K39">
        <f t="shared" si="20"/>
        <v>0.16218669851420603</v>
      </c>
      <c r="L39" s="3">
        <v>0.33333333333333298</v>
      </c>
      <c r="M39">
        <f>J39*EXP(-1*K39*I39)*(H39+(0.1)*((1+COS(RADIANS(22)))/2))</f>
        <v>685.71791266353512</v>
      </c>
      <c r="O39">
        <f t="shared" si="2"/>
        <v>685.71791266353512</v>
      </c>
    </row>
    <row r="40" spans="1:15" x14ac:dyDescent="0.25">
      <c r="C40" s="4">
        <v>3</v>
      </c>
      <c r="D40">
        <f t="shared" si="14"/>
        <v>45</v>
      </c>
      <c r="E40" t="s">
        <v>23</v>
      </c>
      <c r="F40">
        <f t="shared" si="16"/>
        <v>66.381141220585519</v>
      </c>
      <c r="G40">
        <f t="shared" si="15"/>
        <v>39.489878416529798</v>
      </c>
      <c r="H40">
        <f t="shared" si="17"/>
        <v>0.87694171733270976</v>
      </c>
      <c r="I40">
        <f t="shared" si="18"/>
        <v>1.5724706950438083</v>
      </c>
      <c r="J40">
        <f t="shared" si="19"/>
        <v>1176.0140686579848</v>
      </c>
      <c r="K40">
        <f t="shared" si="20"/>
        <v>0.16218669851420603</v>
      </c>
      <c r="L40" s="3">
        <v>0.375</v>
      </c>
      <c r="M40">
        <f>J40*EXP(-1*K40*I40)*(H40+(0.1)*((1+COS(RADIANS(22)))/2))</f>
        <v>886.95147724593767</v>
      </c>
      <c r="O40">
        <f t="shared" si="2"/>
        <v>886.95147724593767</v>
      </c>
    </row>
    <row r="41" spans="1:15" x14ac:dyDescent="0.25">
      <c r="C41" s="4">
        <v>2</v>
      </c>
      <c r="D41">
        <f t="shared" si="14"/>
        <v>30</v>
      </c>
      <c r="E41" t="s">
        <v>23</v>
      </c>
      <c r="F41">
        <f t="shared" si="16"/>
        <v>52.756907766026416</v>
      </c>
      <c r="G41">
        <f t="shared" si="15"/>
        <v>51.092423738598242</v>
      </c>
      <c r="H41">
        <f t="shared" si="17"/>
        <v>0.95489765733182785</v>
      </c>
      <c r="I41">
        <f t="shared" si="18"/>
        <v>1.2850825847335399</v>
      </c>
      <c r="J41">
        <f t="shared" si="19"/>
        <v>1176.0140686579848</v>
      </c>
      <c r="K41">
        <f t="shared" si="20"/>
        <v>0.16218669851420603</v>
      </c>
      <c r="L41" s="3">
        <v>0.41666666666666702</v>
      </c>
      <c r="M41">
        <f>J41*EXP(-1*K41*I41)*(H41+(0.1)*((1+COS(RADIANS(22)))/2))</f>
        <v>1003.7007902826898</v>
      </c>
      <c r="O41">
        <f t="shared" si="2"/>
        <v>1003.7007902826898</v>
      </c>
    </row>
    <row r="42" spans="1:15" x14ac:dyDescent="0.25">
      <c r="C42" s="4">
        <v>1</v>
      </c>
      <c r="D42">
        <f t="shared" si="14"/>
        <v>15</v>
      </c>
      <c r="E42" t="s">
        <v>23</v>
      </c>
      <c r="F42">
        <f t="shared" si="16"/>
        <v>31.35946125015192</v>
      </c>
      <c r="G42">
        <f t="shared" si="15"/>
        <v>60.176576331954159</v>
      </c>
      <c r="H42">
        <f t="shared" si="17"/>
        <v>0.96789704523662623</v>
      </c>
      <c r="I42">
        <f t="shared" si="18"/>
        <v>1.1526550959639146</v>
      </c>
      <c r="J42">
        <f t="shared" si="19"/>
        <v>1176.0140686579848</v>
      </c>
      <c r="K42">
        <f t="shared" si="20"/>
        <v>0.16218669851420603</v>
      </c>
      <c r="L42" s="3">
        <v>0.45833333333333298</v>
      </c>
      <c r="M42">
        <f>J42*EXP(-1*K42*I42)*(H42+(0.1)*((1+COS(RADIANS(22)))/2))</f>
        <v>1038.1722084631697</v>
      </c>
      <c r="O42">
        <f t="shared" si="2"/>
        <v>1038.1722084631697</v>
      </c>
    </row>
    <row r="43" spans="1:15" x14ac:dyDescent="0.25">
      <c r="C43" s="4">
        <v>0</v>
      </c>
      <c r="D43">
        <f t="shared" si="14"/>
        <v>0</v>
      </c>
      <c r="E43" t="s">
        <v>23</v>
      </c>
      <c r="F43">
        <f t="shared" si="16"/>
        <v>0</v>
      </c>
      <c r="G43">
        <f t="shared" si="15"/>
        <v>63.903650000000013</v>
      </c>
      <c r="H43">
        <f t="shared" si="17"/>
        <v>0.91505399424389755</v>
      </c>
      <c r="I43">
        <f t="shared" si="18"/>
        <v>1.1135168022371864</v>
      </c>
      <c r="J43">
        <f t="shared" si="19"/>
        <v>1176.0140686579848</v>
      </c>
      <c r="K43">
        <f t="shared" si="20"/>
        <v>0.16218669851420603</v>
      </c>
      <c r="L43" s="3">
        <v>0.5</v>
      </c>
      <c r="M43">
        <f>J43*EXP(-1*K43*I43)*(H43+(0.1)*((1+COS(RADIANS(22)))/2))</f>
        <v>992.90702132812555</v>
      </c>
      <c r="O43">
        <f t="shared" si="2"/>
        <v>992.90702132812555</v>
      </c>
    </row>
    <row r="44" spans="1:15" x14ac:dyDescent="0.25">
      <c r="C44" s="4">
        <v>-1</v>
      </c>
      <c r="D44">
        <f t="shared" si="14"/>
        <v>-15</v>
      </c>
      <c r="E44" t="s">
        <v>23</v>
      </c>
      <c r="F44">
        <f t="shared" si="16"/>
        <v>-31.359461250151913</v>
      </c>
      <c r="G44">
        <f t="shared" si="15"/>
        <v>60.176576331954159</v>
      </c>
      <c r="H44">
        <f t="shared" si="17"/>
        <v>0.79996967095152527</v>
      </c>
      <c r="I44">
        <f t="shared" si="18"/>
        <v>1.1526550959639146</v>
      </c>
      <c r="J44">
        <f t="shared" si="19"/>
        <v>1176.0140686579848</v>
      </c>
      <c r="K44">
        <f t="shared" si="20"/>
        <v>0.16218669851420603</v>
      </c>
      <c r="L44" s="3">
        <v>0.54166666666666696</v>
      </c>
      <c r="M44">
        <f>J44*EXP(-1*K44*I44)*(H44+(0.1)*((1+COS(RADIANS(22)))/2))</f>
        <v>874.36059354950294</v>
      </c>
      <c r="O44">
        <f t="shared" si="2"/>
        <v>874.36059354950294</v>
      </c>
    </row>
    <row r="45" spans="1:15" x14ac:dyDescent="0.25">
      <c r="C45" s="4">
        <v>-2</v>
      </c>
      <c r="D45">
        <f t="shared" si="14"/>
        <v>-30</v>
      </c>
      <c r="E45" t="s">
        <v>23</v>
      </c>
      <c r="F45">
        <f t="shared" si="16"/>
        <v>-52.756907766026409</v>
      </c>
      <c r="G45">
        <f t="shared" si="15"/>
        <v>51.092423738598242</v>
      </c>
      <c r="H45">
        <f t="shared" si="17"/>
        <v>0.63048688180604817</v>
      </c>
      <c r="I45">
        <f t="shared" si="18"/>
        <v>1.2850825847335399</v>
      </c>
      <c r="J45">
        <f t="shared" si="19"/>
        <v>1176.0140686579848</v>
      </c>
      <c r="K45">
        <f t="shared" si="20"/>
        <v>0.16218669851420603</v>
      </c>
      <c r="L45" s="3">
        <v>0.58333333333333304</v>
      </c>
      <c r="M45">
        <f>J45*EXP(-1*K45*I45)*(H45+(0.1)*((1+COS(RADIANS(22)))/2))</f>
        <v>693.96549414377819</v>
      </c>
      <c r="O45">
        <f t="shared" si="2"/>
        <v>693.96549414377819</v>
      </c>
    </row>
    <row r="46" spans="1:15" x14ac:dyDescent="0.25">
      <c r="C46" s="4">
        <v>-3</v>
      </c>
      <c r="D46">
        <f t="shared" si="14"/>
        <v>-45</v>
      </c>
      <c r="E46" t="s">
        <v>23</v>
      </c>
      <c r="F46">
        <f t="shared" si="16"/>
        <v>-66.381141220585519</v>
      </c>
      <c r="G46">
        <f t="shared" si="15"/>
        <v>39.489878416529798</v>
      </c>
      <c r="H46">
        <f t="shared" si="17"/>
        <v>0.41815559880417841</v>
      </c>
      <c r="I46">
        <f t="shared" si="18"/>
        <v>1.5724706950438083</v>
      </c>
      <c r="J46">
        <f t="shared" si="19"/>
        <v>1176.0140686579848</v>
      </c>
      <c r="K46">
        <f t="shared" si="20"/>
        <v>0.16218669851420603</v>
      </c>
      <c r="L46" s="3">
        <v>0.625</v>
      </c>
      <c r="M46">
        <f>J46*EXP(-1*K46*I46)*(H46+(0.1)*((1+COS(RADIANS(22)))/2))</f>
        <v>468.86800340711522</v>
      </c>
      <c r="O46">
        <f t="shared" si="2"/>
        <v>468.86800340711522</v>
      </c>
    </row>
    <row r="47" spans="1:15" x14ac:dyDescent="0.25">
      <c r="C47" s="4">
        <v>-4</v>
      </c>
      <c r="D47">
        <f t="shared" si="14"/>
        <v>-60</v>
      </c>
      <c r="E47" t="s">
        <v>23</v>
      </c>
      <c r="F47">
        <f t="shared" si="16"/>
        <v>-75.945848520186686</v>
      </c>
      <c r="G47">
        <f t="shared" si="15"/>
        <v>26.782155271195915</v>
      </c>
      <c r="H47">
        <f t="shared" si="17"/>
        <v>0.17744584798845764</v>
      </c>
      <c r="I47">
        <f t="shared" si="18"/>
        <v>2.219265550836409</v>
      </c>
      <c r="J47">
        <f t="shared" si="19"/>
        <v>1176.0140686579848</v>
      </c>
      <c r="K47">
        <f t="shared" si="20"/>
        <v>0.16218669851420603</v>
      </c>
      <c r="L47" s="3">
        <v>0.66666666666666696</v>
      </c>
      <c r="M47">
        <f>J47*EXP(-1*K47*I47)*(H47+(0.1)*((1+COS(RADIANS(22)))/2))</f>
        <v>224.66530977135446</v>
      </c>
      <c r="O47">
        <f t="shared" si="2"/>
        <v>224.66530977135446</v>
      </c>
    </row>
    <row r="48" spans="1:15" x14ac:dyDescent="0.25">
      <c r="C48" s="4">
        <v>-5</v>
      </c>
      <c r="D48">
        <f t="shared" si="14"/>
        <v>-75</v>
      </c>
      <c r="E48" t="s">
        <v>23</v>
      </c>
      <c r="F48">
        <f t="shared" si="16"/>
        <v>-83.551171597239204</v>
      </c>
      <c r="G48">
        <f t="shared" si="15"/>
        <v>13.577697415597905</v>
      </c>
      <c r="H48">
        <f t="shared" si="17"/>
        <v>-7.5238398914694554E-2</v>
      </c>
      <c r="I48">
        <f t="shared" si="18"/>
        <v>4.2596012980631164</v>
      </c>
      <c r="J48">
        <f t="shared" si="19"/>
        <v>1176.0140686579848</v>
      </c>
      <c r="K48">
        <f t="shared" si="20"/>
        <v>0.16218669851420603</v>
      </c>
      <c r="L48" s="3">
        <v>0.70833333333333304</v>
      </c>
      <c r="M48">
        <f>J48*EXP(-1*K48*I48)*(H48+(0.1)*((1+COS(RADIANS(22)))/2))</f>
        <v>12.447728855622548</v>
      </c>
      <c r="O48">
        <f t="shared" si="2"/>
        <v>12.447728855622548</v>
      </c>
    </row>
    <row r="49" spans="1:15" x14ac:dyDescent="0.25">
      <c r="C49" s="4">
        <v>-6</v>
      </c>
      <c r="D49">
        <f t="shared" si="14"/>
        <v>-90</v>
      </c>
      <c r="E49" t="s">
        <v>22</v>
      </c>
      <c r="F49">
        <f>-180 - DEGREES(ASIN((COS(RADIANS(-0.40365))*SIN(RADIANS(D49)))/COS(RADIANS(G49))))</f>
        <v>-90.361241444912736</v>
      </c>
      <c r="G49">
        <f t="shared" si="15"/>
        <v>0.18010655401845438</v>
      </c>
      <c r="H49">
        <f t="shared" si="17"/>
        <v>-0.32267712805929227</v>
      </c>
      <c r="I49">
        <f t="shared" si="18"/>
        <v>318.12209269583883</v>
      </c>
      <c r="J49">
        <f t="shared" si="19"/>
        <v>1176.0140686579848</v>
      </c>
      <c r="K49">
        <f t="shared" si="20"/>
        <v>0.16218669851420603</v>
      </c>
      <c r="L49" s="3">
        <v>0.75</v>
      </c>
      <c r="M49">
        <v>0</v>
      </c>
      <c r="O49">
        <f t="shared" si="2"/>
        <v>0</v>
      </c>
    </row>
    <row r="50" spans="1:15" x14ac:dyDescent="0.25">
      <c r="C50">
        <v>-6.0134173329999996</v>
      </c>
      <c r="D50">
        <f t="shared" si="14"/>
        <v>-90.201259994999987</v>
      </c>
      <c r="E50" t="s">
        <v>22</v>
      </c>
      <c r="F50">
        <f>-180 - DEGREES(ASIN((COS(RADIANS(-0.40365))*SIN(RADIANS(D50)))/COS(RADIANS(G50))))</f>
        <v>-90.451041281863141</v>
      </c>
      <c r="G50">
        <f t="shared" si="15"/>
        <v>-3.3876176402008163E-6</v>
      </c>
      <c r="L50" s="3">
        <f>Sheet1!G5</f>
        <v>0.75055904946120044</v>
      </c>
      <c r="M50">
        <v>0</v>
      </c>
      <c r="O50">
        <f t="shared" si="2"/>
        <v>0</v>
      </c>
    </row>
    <row r="51" spans="1:15" x14ac:dyDescent="0.25">
      <c r="O51" s="1">
        <f>SUM(O36:O50)</f>
        <v>7263.5634743584442</v>
      </c>
    </row>
    <row r="52" spans="1:15" x14ac:dyDescent="0.25">
      <c r="A52" t="s">
        <v>27</v>
      </c>
      <c r="B52">
        <v>11.579036651251466</v>
      </c>
      <c r="C52">
        <v>5.6091186669999997</v>
      </c>
      <c r="D52">
        <v>84.136778322372649</v>
      </c>
      <c r="E52" t="s">
        <v>23</v>
      </c>
      <c r="F52">
        <f>DEGREES(ASIN((COS(RADIANS(11.57904))*SIN(RADIANS(D52)))/COS(RADIANS(G52))))</f>
        <v>77.039215831533483</v>
      </c>
      <c r="G52">
        <f>DEGREES(ASIN(COS(RADIANS(-26.5))*COS(RADIANS(11.57904))*COS(RADIANS(D52))+SIN(RADIANS(-26.5))*SIN(RADIANS(11.57904))))</f>
        <v>-1.5252449001528304E-6</v>
      </c>
      <c r="L52" s="3">
        <f>Sheet1!F6</f>
        <v>0.26628672688229821</v>
      </c>
      <c r="M52">
        <v>0</v>
      </c>
      <c r="O52">
        <f t="shared" si="2"/>
        <v>0</v>
      </c>
    </row>
    <row r="53" spans="1:15" x14ac:dyDescent="0.25">
      <c r="C53" s="4">
        <v>5</v>
      </c>
      <c r="D53">
        <f t="shared" ref="D53:D64" si="21">C53*15</f>
        <v>75</v>
      </c>
      <c r="E53" t="s">
        <v>23</v>
      </c>
      <c r="F53">
        <f t="shared" ref="F53:F64" si="22">DEGREES(ASIN((COS(RADIANS(11.57904))*SIN(RADIANS(D53)))/COS(RADIANS(G53))))</f>
        <v>72.808499449960294</v>
      </c>
      <c r="G53">
        <f t="shared" ref="G53:G64" si="23">DEGREES(ASIN(COS(RADIANS(-26.5))*COS(RADIANS(11.57904))*COS(RADIANS(D53))+SIN(RADIANS(-26.5))*SIN(RADIANS(11.57904))))</f>
        <v>7.8946205481515666</v>
      </c>
      <c r="H53">
        <f>COS(RADIANS(G53))*COS(RADIANS(F53-60))*SIN(RADIANS(22))+SIN(RADIANS(G53))*COS(RADIANS(22))</f>
        <v>0.48917316015861756</v>
      </c>
      <c r="I53">
        <f xml:space="preserve"> 1/SIN(RADIANS(G53))</f>
        <v>7.2805878007437501</v>
      </c>
      <c r="J53">
        <f>1160+75*SIN(RADIANS((360/365)*(111-275)))</f>
        <v>1136.5169719298131</v>
      </c>
      <c r="K53">
        <f>0.174+0.035*SIN(RADIANS((360/365)*(111-100)))</f>
        <v>0.18058793484451355</v>
      </c>
      <c r="L53" s="3">
        <v>0.29166666666666702</v>
      </c>
      <c r="M53">
        <f>J53*EXP(-1*K53*I53)*(H53+(0.1)*((1+COS(RADIANS(22)))/2))</f>
        <v>178.69910623645006</v>
      </c>
      <c r="O53">
        <f t="shared" si="2"/>
        <v>178.69910623645006</v>
      </c>
    </row>
    <row r="54" spans="1:15" x14ac:dyDescent="0.25">
      <c r="C54" s="4">
        <v>4</v>
      </c>
      <c r="D54">
        <f t="shared" si="21"/>
        <v>60</v>
      </c>
      <c r="E54" t="s">
        <v>23</v>
      </c>
      <c r="F54">
        <f t="shared" si="22"/>
        <v>64.85740069351877</v>
      </c>
      <c r="G54">
        <f t="shared" si="23"/>
        <v>20.41393732795683</v>
      </c>
      <c r="H54">
        <f t="shared" ref="H54:H63" si="24">COS(RADIANS(G54))*COS(RADIANS(F54-60))*SIN(RADIANS(22))+SIN(RADIANS(G54))*COS(RADIANS(22))</f>
        <v>0.67322110375801447</v>
      </c>
      <c r="I54">
        <f t="shared" ref="I54:I63" si="25" xml:space="preserve"> 1/SIN(RADIANS(G54))</f>
        <v>2.8669722060610447</v>
      </c>
      <c r="J54">
        <f t="shared" ref="J54:J63" si="26">1160+75*SIN(RADIANS((360/365)*(111-275)))</f>
        <v>1136.5169719298131</v>
      </c>
      <c r="K54">
        <f t="shared" ref="K54:K63" si="27">0.174+0.035*SIN(RADIANS((360/365)*(111-100)))</f>
        <v>0.18058793484451355</v>
      </c>
      <c r="L54" s="3">
        <v>0.33333333333333298</v>
      </c>
      <c r="M54">
        <f>J54*EXP(-1*K54*I54)*(H54+(0.1)*((1+COS(RADIANS(22)))/2))</f>
        <v>521.16829076592774</v>
      </c>
      <c r="O54">
        <f t="shared" si="2"/>
        <v>521.16829076592774</v>
      </c>
    </row>
    <row r="55" spans="1:15" x14ac:dyDescent="0.25">
      <c r="C55" s="4">
        <v>3</v>
      </c>
      <c r="D55">
        <f t="shared" si="21"/>
        <v>45</v>
      </c>
      <c r="E55" t="s">
        <v>23</v>
      </c>
      <c r="F55">
        <f t="shared" si="22"/>
        <v>54.796590288388344</v>
      </c>
      <c r="G55">
        <f t="shared" si="23"/>
        <v>32.030793133381387</v>
      </c>
      <c r="H55">
        <f t="shared" si="24"/>
        <v>0.8080240411804489</v>
      </c>
      <c r="I55">
        <f t="shared" si="25"/>
        <v>1.8854585301412301</v>
      </c>
      <c r="J55">
        <f t="shared" si="26"/>
        <v>1136.5169719298131</v>
      </c>
      <c r="K55">
        <f t="shared" si="27"/>
        <v>0.18058793484451355</v>
      </c>
      <c r="L55" s="3">
        <v>0.375</v>
      </c>
      <c r="M55">
        <f>J55*EXP(-1*K55*I55)*(H55+(0.1)*((1+COS(RADIANS(22)))/2))</f>
        <v>731.23174737929435</v>
      </c>
      <c r="O55">
        <f t="shared" si="2"/>
        <v>731.23174737929435</v>
      </c>
    </row>
    <row r="56" spans="1:15" x14ac:dyDescent="0.25">
      <c r="C56" s="4">
        <v>2</v>
      </c>
      <c r="D56">
        <f t="shared" si="21"/>
        <v>30</v>
      </c>
      <c r="E56" t="s">
        <v>23</v>
      </c>
      <c r="F56">
        <f t="shared" si="22"/>
        <v>41.267920681326885</v>
      </c>
      <c r="G56">
        <f t="shared" si="23"/>
        <v>42.044093016720574</v>
      </c>
      <c r="H56">
        <f t="shared" si="24"/>
        <v>0.88439537501296961</v>
      </c>
      <c r="I56">
        <f t="shared" si="25"/>
        <v>1.4932007650978121</v>
      </c>
      <c r="J56">
        <f t="shared" si="26"/>
        <v>1136.5169719298131</v>
      </c>
      <c r="K56">
        <f t="shared" si="27"/>
        <v>0.18058793484451355</v>
      </c>
      <c r="L56" s="3">
        <v>0.41666666666666702</v>
      </c>
      <c r="M56">
        <f>J56*EXP(-1*K56*I56)*(H56+(0.1)*((1+COS(RADIANS(22)))/2))</f>
        <v>851.19095955114994</v>
      </c>
      <c r="O56">
        <f t="shared" si="2"/>
        <v>851.19095955114994</v>
      </c>
    </row>
    <row r="57" spans="1:15" x14ac:dyDescent="0.25">
      <c r="C57" s="4">
        <v>1</v>
      </c>
      <c r="D57">
        <f t="shared" si="21"/>
        <v>15</v>
      </c>
      <c r="E57" t="s">
        <v>23</v>
      </c>
      <c r="F57">
        <f t="shared" si="22"/>
        <v>22.844952262269523</v>
      </c>
      <c r="G57">
        <f t="shared" si="23"/>
        <v>49.225618261814461</v>
      </c>
      <c r="H57">
        <f t="shared" si="24"/>
        <v>0.8971305250644861</v>
      </c>
      <c r="I57">
        <f t="shared" si="25"/>
        <v>1.3205030800315114</v>
      </c>
      <c r="J57">
        <f t="shared" si="26"/>
        <v>1136.5169719298131</v>
      </c>
      <c r="K57">
        <f t="shared" si="27"/>
        <v>0.18058793484451355</v>
      </c>
      <c r="L57" s="3">
        <v>0.45833333333333298</v>
      </c>
      <c r="M57">
        <f>J57*EXP(-1*K57*I57)*(H57+(0.1)*((1+COS(RADIANS(22)))/2))</f>
        <v>889.55833432657857</v>
      </c>
      <c r="O57">
        <f t="shared" si="2"/>
        <v>889.55833432657857</v>
      </c>
    </row>
    <row r="58" spans="1:15" x14ac:dyDescent="0.25">
      <c r="C58" s="4">
        <v>0</v>
      </c>
      <c r="D58">
        <f t="shared" si="21"/>
        <v>0</v>
      </c>
      <c r="E58" t="s">
        <v>23</v>
      </c>
      <c r="F58">
        <f t="shared" si="22"/>
        <v>0</v>
      </c>
      <c r="G58">
        <f t="shared" si="23"/>
        <v>51.920960000000008</v>
      </c>
      <c r="H58">
        <f t="shared" si="24"/>
        <v>0.84536161190481851</v>
      </c>
      <c r="I58">
        <f t="shared" si="25"/>
        <v>1.2703886355571128</v>
      </c>
      <c r="J58">
        <f t="shared" si="26"/>
        <v>1136.5169719298131</v>
      </c>
      <c r="K58">
        <f t="shared" si="27"/>
        <v>0.18058793484451355</v>
      </c>
      <c r="L58" s="3">
        <v>0.5</v>
      </c>
      <c r="M58">
        <f>J58*EXP(-1*K58*I58)*(H58+(0.1)*((1+COS(RADIANS(22)))/2))</f>
        <v>850.8707887726905</v>
      </c>
      <c r="O58">
        <f t="shared" si="2"/>
        <v>850.8707887726905</v>
      </c>
    </row>
    <row r="59" spans="1:15" x14ac:dyDescent="0.25">
      <c r="C59" s="4">
        <v>-1</v>
      </c>
      <c r="D59">
        <f t="shared" si="21"/>
        <v>-15</v>
      </c>
      <c r="E59" t="s">
        <v>23</v>
      </c>
      <c r="F59">
        <f t="shared" si="22"/>
        <v>-22.844952262269523</v>
      </c>
      <c r="G59">
        <f t="shared" si="23"/>
        <v>49.225618261814461</v>
      </c>
      <c r="H59">
        <f t="shared" si="24"/>
        <v>0.73261660141362439</v>
      </c>
      <c r="I59">
        <f t="shared" si="25"/>
        <v>1.3205030800315114</v>
      </c>
      <c r="J59">
        <f t="shared" si="26"/>
        <v>1136.5169719298131</v>
      </c>
      <c r="K59">
        <f t="shared" si="27"/>
        <v>0.18058793484451355</v>
      </c>
      <c r="L59" s="3">
        <v>0.54166666666666696</v>
      </c>
      <c r="M59">
        <f>J59*EXP(-1*K59*I59)*(H59+(0.1)*((1+COS(RADIANS(22)))/2))</f>
        <v>742.25461363834086</v>
      </c>
      <c r="O59">
        <f t="shared" si="2"/>
        <v>742.25461363834086</v>
      </c>
    </row>
    <row r="60" spans="1:15" x14ac:dyDescent="0.25">
      <c r="C60" s="4">
        <v>-2</v>
      </c>
      <c r="D60">
        <f t="shared" si="21"/>
        <v>-30</v>
      </c>
      <c r="E60" t="s">
        <v>23</v>
      </c>
      <c r="F60">
        <f t="shared" si="22"/>
        <v>-41.267920681326885</v>
      </c>
      <c r="G60">
        <f t="shared" si="23"/>
        <v>42.044093016720574</v>
      </c>
      <c r="H60">
        <f t="shared" si="24"/>
        <v>0.56657887973593901</v>
      </c>
      <c r="I60">
        <f t="shared" si="25"/>
        <v>1.4932007650978121</v>
      </c>
      <c r="J60">
        <f t="shared" si="26"/>
        <v>1136.5169719298131</v>
      </c>
      <c r="K60">
        <f t="shared" si="27"/>
        <v>0.18058793484451355</v>
      </c>
      <c r="L60" s="3">
        <v>0.58333333333333304</v>
      </c>
      <c r="M60">
        <f>J60*EXP(-1*K60*I60)*(H60+(0.1)*((1+COS(RADIANS(22)))/2))</f>
        <v>575.35994486716413</v>
      </c>
      <c r="O60">
        <f t="shared" si="2"/>
        <v>575.35994486716413</v>
      </c>
    </row>
    <row r="61" spans="1:15" x14ac:dyDescent="0.25">
      <c r="C61" s="4">
        <v>-3</v>
      </c>
      <c r="D61">
        <f t="shared" si="21"/>
        <v>-45</v>
      </c>
      <c r="E61" t="s">
        <v>23</v>
      </c>
      <c r="F61">
        <f t="shared" si="22"/>
        <v>-54.796590288388344</v>
      </c>
      <c r="G61">
        <f t="shared" si="23"/>
        <v>32.030793133381387</v>
      </c>
      <c r="H61">
        <f t="shared" si="24"/>
        <v>0.35856364321378775</v>
      </c>
      <c r="I61">
        <f t="shared" si="25"/>
        <v>1.8854585301412301</v>
      </c>
      <c r="J61">
        <f t="shared" si="26"/>
        <v>1136.5169719298131</v>
      </c>
      <c r="K61">
        <f t="shared" si="27"/>
        <v>0.18058793484451355</v>
      </c>
      <c r="L61" s="3">
        <v>0.625</v>
      </c>
      <c r="M61">
        <f>J61*EXP(-1*K61*I61)*(H61+(0.1)*((1+COS(RADIANS(22)))/2))</f>
        <v>367.82417870680644</v>
      </c>
      <c r="O61">
        <f t="shared" si="2"/>
        <v>367.82417870680644</v>
      </c>
    </row>
    <row r="62" spans="1:15" x14ac:dyDescent="0.25">
      <c r="C62" s="4">
        <v>-4</v>
      </c>
      <c r="D62">
        <f t="shared" si="21"/>
        <v>-60</v>
      </c>
      <c r="E62" t="s">
        <v>23</v>
      </c>
      <c r="F62">
        <f t="shared" si="22"/>
        <v>-64.857400693518741</v>
      </c>
      <c r="G62">
        <f t="shared" si="23"/>
        <v>20.41393732795683</v>
      </c>
      <c r="H62">
        <f t="shared" si="24"/>
        <v>0.12274678645472351</v>
      </c>
      <c r="I62">
        <f t="shared" si="25"/>
        <v>2.8669722060610447</v>
      </c>
      <c r="J62">
        <f t="shared" si="26"/>
        <v>1136.5169719298131</v>
      </c>
      <c r="K62">
        <f t="shared" si="27"/>
        <v>0.18058793484451355</v>
      </c>
      <c r="L62" s="3">
        <v>0.66666666666666696</v>
      </c>
      <c r="M62">
        <f>J62*EXP(-1*K62*I62)*(H62+(0.1)*((1+COS(RADIANS(22)))/2))</f>
        <v>148.38099310596976</v>
      </c>
      <c r="O62">
        <f t="shared" si="2"/>
        <v>148.38099310596976</v>
      </c>
    </row>
    <row r="63" spans="1:15" x14ac:dyDescent="0.25">
      <c r="C63" s="4">
        <v>-5</v>
      </c>
      <c r="D63">
        <f t="shared" si="21"/>
        <v>-75</v>
      </c>
      <c r="E63" t="s">
        <v>23</v>
      </c>
      <c r="F63">
        <f t="shared" si="22"/>
        <v>-72.808499449960266</v>
      </c>
      <c r="G63">
        <f t="shared" si="23"/>
        <v>7.8946205481515666</v>
      </c>
      <c r="H63">
        <f t="shared" si="24"/>
        <v>-0.12480116145890535</v>
      </c>
      <c r="I63">
        <f t="shared" si="25"/>
        <v>7.2805878007437501</v>
      </c>
      <c r="J63">
        <f t="shared" si="26"/>
        <v>1136.5169719298131</v>
      </c>
      <c r="K63">
        <f t="shared" si="27"/>
        <v>0.18058793484451355</v>
      </c>
      <c r="L63" s="3">
        <v>0.70833333333333304</v>
      </c>
      <c r="M63">
        <v>0</v>
      </c>
      <c r="O63">
        <f t="shared" si="2"/>
        <v>0</v>
      </c>
    </row>
    <row r="64" spans="1:15" x14ac:dyDescent="0.25">
      <c r="C64">
        <v>-5.6091186669999997</v>
      </c>
      <c r="D64">
        <f t="shared" si="21"/>
        <v>-84.136780004999991</v>
      </c>
      <c r="E64" t="s">
        <v>23</v>
      </c>
      <c r="F64">
        <f t="shared" si="22"/>
        <v>-77.03921658231809</v>
      </c>
      <c r="G64">
        <f t="shared" si="23"/>
        <v>-2.9927228256223721E-6</v>
      </c>
      <c r="L64" s="3">
        <f>Sheet1!G6</f>
        <v>0.73371327311770174</v>
      </c>
      <c r="M64">
        <v>0</v>
      </c>
      <c r="O64">
        <f t="shared" si="2"/>
        <v>0</v>
      </c>
    </row>
    <row r="65" spans="1:16" x14ac:dyDescent="0.25">
      <c r="O65" s="1">
        <f>SUM(O52:O64)</f>
        <v>5856.5389573503717</v>
      </c>
    </row>
    <row r="66" spans="1:16" x14ac:dyDescent="0.25">
      <c r="A66" t="s">
        <v>28</v>
      </c>
      <c r="B66">
        <v>20.138014821567577</v>
      </c>
      <c r="C66">
        <v>5.2976900000000002</v>
      </c>
      <c r="D66">
        <v>79.465348309276081</v>
      </c>
      <c r="E66" t="s">
        <v>23</v>
      </c>
      <c r="F66">
        <f>DEGREES(ASIN((COS(RADIANS(20.13801))*SIN(RADIANS(D66)))/COS(RADIANS(G66))))</f>
        <v>67.374940157217864</v>
      </c>
      <c r="G66">
        <f>DEGREES(ASIN(COS(RADIANS(-26.5))*COS(RADIANS(20.31801))*COS(RADIANS(D66))+SIN(RADIANS(-26.5))*SIN(RADIANS(20.31801))))</f>
        <v>-8.554293149138846E-2</v>
      </c>
      <c r="L66" s="3">
        <f>Sheet1!F7</f>
        <v>0.27926292136312197</v>
      </c>
      <c r="M66">
        <v>0</v>
      </c>
      <c r="O66">
        <f t="shared" si="2"/>
        <v>0</v>
      </c>
    </row>
    <row r="67" spans="1:16" x14ac:dyDescent="0.25">
      <c r="C67" s="4">
        <v>5</v>
      </c>
      <c r="D67">
        <f>C67*15</f>
        <v>75</v>
      </c>
      <c r="E67" t="s">
        <v>23</v>
      </c>
      <c r="F67">
        <f t="shared" ref="F67:F78" si="28">DEGREES(ASIN((COS(RADIANS(20.13801))*SIN(RADIANS(D67)))/COS(RADIANS(G67))))</f>
        <v>65.317936471125165</v>
      </c>
      <c r="G67">
        <f t="shared" ref="G67:G78" si="29">DEGREES(ASIN(COS(RADIANS(-26.5))*COS(RADIANS(20.31801))*COS(RADIANS(D67))+SIN(RADIANS(-26.5))*SIN(RADIANS(20.31801))))</f>
        <v>3.5707368179250563</v>
      </c>
      <c r="H67">
        <f>COS(RADIANS(G67))*COS(RADIANS(F67-60))*SIN(RADIANS(22))+SIN(RADIANS(G67))*COS(RADIANS(22))</f>
        <v>0.43001581485584195</v>
      </c>
      <c r="I67">
        <f xml:space="preserve"> 1/SIN(RADIANS(G67))</f>
        <v>16.0563177756801</v>
      </c>
      <c r="J67">
        <f>1160+75*SIN(RADIANS((360/365)*(141-275)))</f>
        <v>1104.4083491863553</v>
      </c>
      <c r="K67">
        <f>0.174+0.035*SIN(RADIANS((360/365)*(141-100)))</f>
        <v>0.19670203463622435</v>
      </c>
      <c r="L67" s="3">
        <v>0.29166666666666702</v>
      </c>
      <c r="M67">
        <f>J67*EXP(-1*K67*I67)*(H67+(0.1)*((1+COS(RADIANS(22)))/2))</f>
        <v>24.705188606734666</v>
      </c>
      <c r="O67">
        <f t="shared" si="2"/>
        <v>24.705188606734666</v>
      </c>
    </row>
    <row r="68" spans="1:16" x14ac:dyDescent="0.25">
      <c r="C68" s="4">
        <v>4</v>
      </c>
      <c r="D68">
        <f t="shared" ref="D68:D78" si="30">C68*15</f>
        <v>60</v>
      </c>
      <c r="E68" t="s">
        <v>23</v>
      </c>
      <c r="F68">
        <f t="shared" si="28"/>
        <v>57.474763908730402</v>
      </c>
      <c r="G68">
        <f t="shared" si="29"/>
        <v>15.348666087593744</v>
      </c>
      <c r="H68">
        <f t="shared" ref="H68:H77" si="31">COS(RADIANS(G68))*COS(RADIANS(F68-60))*SIN(RADIANS(22))+SIN(RADIANS(G68))*COS(RADIANS(22))</f>
        <v>0.60631304260051566</v>
      </c>
      <c r="I68">
        <f t="shared" ref="I68:I77" si="32" xml:space="preserve"> 1/SIN(RADIANS(G68))</f>
        <v>3.7779725745643908</v>
      </c>
      <c r="J68">
        <f t="shared" ref="J68:J77" si="33">1160+75*SIN(RADIANS((360/365)*(141-275)))</f>
        <v>1104.4083491863553</v>
      </c>
      <c r="K68">
        <f t="shared" ref="K68:K78" si="34">0.174+0.035*SIN(RADIANS((360/365)*(141-100)))</f>
        <v>0.19670203463622435</v>
      </c>
      <c r="L68" s="3">
        <v>0.33333333333333298</v>
      </c>
      <c r="M68">
        <f>J68*EXP(-1*K68*I68)*(H68+(0.1)*((1+COS(RADIANS(22)))/2))</f>
        <v>369.09918972494711</v>
      </c>
      <c r="O68">
        <f t="shared" si="2"/>
        <v>369.09918972494711</v>
      </c>
    </row>
    <row r="69" spans="1:16" x14ac:dyDescent="0.25">
      <c r="C69" s="4">
        <v>3</v>
      </c>
      <c r="D69">
        <f t="shared" si="30"/>
        <v>45</v>
      </c>
      <c r="E69" t="s">
        <v>23</v>
      </c>
      <c r="F69">
        <f t="shared" si="28"/>
        <v>47.61968754303642</v>
      </c>
      <c r="G69">
        <f t="shared" si="29"/>
        <v>26.008653555311326</v>
      </c>
      <c r="H69">
        <f t="shared" si="31"/>
        <v>0.73541697045522447</v>
      </c>
      <c r="I69">
        <f t="shared" si="32"/>
        <v>2.280465881428948</v>
      </c>
      <c r="J69">
        <f t="shared" si="33"/>
        <v>1104.4083491863553</v>
      </c>
      <c r="K69">
        <f t="shared" si="34"/>
        <v>0.19670203463622435</v>
      </c>
      <c r="L69" s="3">
        <v>0.375</v>
      </c>
      <c r="M69">
        <f>J69*EXP(-1*K69*I69)*(H69+(0.1)*((1+COS(RADIANS(22)))/2))</f>
        <v>586.57518477900896</v>
      </c>
      <c r="N69">
        <v>586.5752</v>
      </c>
      <c r="O69">
        <f>M69 - N69 + P69</f>
        <v>67.953256081528892</v>
      </c>
      <c r="P69">
        <f>J69*EXP(-1*K69*I69)*(0.1)*((1+COS(RADIANS(22)))/2)</f>
        <v>67.953271302519923</v>
      </c>
    </row>
    <row r="70" spans="1:16" x14ac:dyDescent="0.25">
      <c r="C70" s="4">
        <v>2</v>
      </c>
      <c r="D70">
        <f t="shared" si="30"/>
        <v>30</v>
      </c>
      <c r="E70" t="s">
        <v>23</v>
      </c>
      <c r="F70">
        <f t="shared" si="28"/>
        <v>34.906835532053279</v>
      </c>
      <c r="G70">
        <f t="shared" si="29"/>
        <v>34.881397843839174</v>
      </c>
      <c r="H70">
        <f t="shared" si="31"/>
        <v>0.80853784670064421</v>
      </c>
      <c r="I70">
        <f t="shared" si="32"/>
        <v>1.7486199198393775</v>
      </c>
      <c r="J70">
        <f t="shared" si="33"/>
        <v>1104.4083491863553</v>
      </c>
      <c r="K70">
        <f t="shared" si="34"/>
        <v>0.19670203463622435</v>
      </c>
      <c r="L70" s="3">
        <v>0.41666666666666702</v>
      </c>
      <c r="M70">
        <f>J70*EXP(-1*K70*I70)*(H70+(0.1)*((1+COS(RADIANS(22)))/2))</f>
        <v>708.51684439624375</v>
      </c>
      <c r="O70">
        <f t="shared" ref="O69:O132" si="35">M70 - N70</f>
        <v>708.51684439624375</v>
      </c>
    </row>
    <row r="71" spans="1:16" x14ac:dyDescent="0.25">
      <c r="C71" s="4">
        <v>1</v>
      </c>
      <c r="D71">
        <f t="shared" si="30"/>
        <v>15</v>
      </c>
      <c r="E71" t="s">
        <v>23</v>
      </c>
      <c r="F71">
        <f t="shared" si="28"/>
        <v>18.774733461653259</v>
      </c>
      <c r="G71">
        <f t="shared" si="29"/>
        <v>40.974352849637704</v>
      </c>
      <c r="H71">
        <f t="shared" si="31"/>
        <v>0.82069675673648368</v>
      </c>
      <c r="I71">
        <f t="shared" si="32"/>
        <v>1.5250385370289805</v>
      </c>
      <c r="J71">
        <f t="shared" si="33"/>
        <v>1104.4083491863553</v>
      </c>
      <c r="K71">
        <f t="shared" si="34"/>
        <v>0.19670203463622435</v>
      </c>
      <c r="L71" s="3">
        <v>0.45833333333333298</v>
      </c>
      <c r="M71">
        <f>J71*EXP(-1*K71*I71)*(H71+(0.1)*((1+COS(RADIANS(22)))/2))</f>
        <v>750.320209812239</v>
      </c>
      <c r="O71">
        <f t="shared" si="35"/>
        <v>750.320209812239</v>
      </c>
    </row>
    <row r="72" spans="1:16" x14ac:dyDescent="0.25">
      <c r="C72" s="4">
        <v>0</v>
      </c>
      <c r="D72">
        <f t="shared" si="30"/>
        <v>0</v>
      </c>
      <c r="E72" t="s">
        <v>23</v>
      </c>
      <c r="F72">
        <f t="shared" si="28"/>
        <v>0</v>
      </c>
      <c r="G72">
        <f t="shared" si="29"/>
        <v>43.181990000000006</v>
      </c>
      <c r="H72">
        <f t="shared" si="31"/>
        <v>0.77106706212648679</v>
      </c>
      <c r="I72">
        <f t="shared" si="32"/>
        <v>1.4613090674789533</v>
      </c>
      <c r="J72">
        <f t="shared" si="33"/>
        <v>1104.4083491863553</v>
      </c>
      <c r="K72">
        <f t="shared" si="34"/>
        <v>0.19670203463622435</v>
      </c>
      <c r="L72" s="3">
        <v>0.5</v>
      </c>
      <c r="M72">
        <f>J72*EXP(-1*K72*I72)*(H72+(0.1)*((1+COS(RADIANS(22)))/2))</f>
        <v>718.66677461285826</v>
      </c>
      <c r="O72">
        <f t="shared" si="35"/>
        <v>718.66677461285826</v>
      </c>
    </row>
    <row r="73" spans="1:16" x14ac:dyDescent="0.25">
      <c r="C73" s="4">
        <v>-1</v>
      </c>
      <c r="D73">
        <f t="shared" si="30"/>
        <v>-15</v>
      </c>
      <c r="E73" t="s">
        <v>23</v>
      </c>
      <c r="F73">
        <f t="shared" si="28"/>
        <v>-18.774733461653259</v>
      </c>
      <c r="G73">
        <f t="shared" si="29"/>
        <v>40.974352849637704</v>
      </c>
      <c r="H73">
        <f t="shared" si="31"/>
        <v>0.66303153155257488</v>
      </c>
      <c r="I73">
        <f t="shared" si="32"/>
        <v>1.5250385370289805</v>
      </c>
      <c r="J73">
        <f t="shared" si="33"/>
        <v>1104.4083491863553</v>
      </c>
      <c r="K73">
        <f t="shared" si="34"/>
        <v>0.19670203463622435</v>
      </c>
      <c r="L73" s="3">
        <v>0.54166666666666696</v>
      </c>
      <c r="M73">
        <f>J73*EXP(-1*K73*I73)*(H73+(0.1)*((1+COS(RADIANS(22)))/2))</f>
        <v>621.32109595324084</v>
      </c>
      <c r="O73">
        <f t="shared" si="35"/>
        <v>621.32109595324084</v>
      </c>
    </row>
    <row r="74" spans="1:16" x14ac:dyDescent="0.25">
      <c r="C74" s="4">
        <v>-2</v>
      </c>
      <c r="D74">
        <f t="shared" si="30"/>
        <v>-30</v>
      </c>
      <c r="E74" t="s">
        <v>23</v>
      </c>
      <c r="F74">
        <f t="shared" si="28"/>
        <v>-34.906835532053279</v>
      </c>
      <c r="G74">
        <f t="shared" si="29"/>
        <v>34.881397843839174</v>
      </c>
      <c r="H74">
        <f t="shared" si="31"/>
        <v>0.50395202087500612</v>
      </c>
      <c r="I74">
        <f t="shared" si="32"/>
        <v>1.7486199198393775</v>
      </c>
      <c r="J74">
        <f t="shared" si="33"/>
        <v>1104.4083491863553</v>
      </c>
      <c r="K74">
        <f t="shared" si="34"/>
        <v>0.19670203463622435</v>
      </c>
      <c r="L74" s="3">
        <v>0.58333333333333304</v>
      </c>
      <c r="M74">
        <f>J74*EXP(-1*K74*I74)*(H74+(0.1)*((1+COS(RADIANS(22)))/2))</f>
        <v>470.03204584061604</v>
      </c>
      <c r="O74">
        <f t="shared" si="35"/>
        <v>470.03204584061604</v>
      </c>
    </row>
    <row r="75" spans="1:16" x14ac:dyDescent="0.25">
      <c r="C75" s="4">
        <v>-3</v>
      </c>
      <c r="D75">
        <f t="shared" si="30"/>
        <v>-45</v>
      </c>
      <c r="E75" t="s">
        <v>23</v>
      </c>
      <c r="F75">
        <f t="shared" si="28"/>
        <v>-47.61968754303642</v>
      </c>
      <c r="G75">
        <f t="shared" si="29"/>
        <v>26.008653555311326</v>
      </c>
      <c r="H75">
        <f t="shared" si="31"/>
        <v>0.30466756466599776</v>
      </c>
      <c r="I75">
        <f t="shared" si="32"/>
        <v>2.280465881428948</v>
      </c>
      <c r="J75">
        <f t="shared" si="33"/>
        <v>1104.4083491863553</v>
      </c>
      <c r="K75">
        <f t="shared" si="34"/>
        <v>0.19670203463622435</v>
      </c>
      <c r="L75" s="3">
        <v>0.625</v>
      </c>
      <c r="M75">
        <f>J75*EXP(-1*K75*I75)*(H75+(0.1)*((1+COS(RADIANS(22)))/2))</f>
        <v>282.80726802698348</v>
      </c>
      <c r="O75">
        <f t="shared" si="35"/>
        <v>282.80726802698348</v>
      </c>
    </row>
    <row r="76" spans="1:16" x14ac:dyDescent="0.25">
      <c r="C76" s="4">
        <v>-4</v>
      </c>
      <c r="D76">
        <f t="shared" si="30"/>
        <v>-60</v>
      </c>
      <c r="E76" t="s">
        <v>23</v>
      </c>
      <c r="F76">
        <f t="shared" si="28"/>
        <v>-57.474763908730402</v>
      </c>
      <c r="G76">
        <f t="shared" si="29"/>
        <v>15.348666087593744</v>
      </c>
      <c r="H76">
        <f t="shared" si="31"/>
        <v>7.8754917005185665E-2</v>
      </c>
      <c r="I76">
        <f t="shared" si="32"/>
        <v>3.7779725745643908</v>
      </c>
      <c r="J76">
        <f t="shared" si="33"/>
        <v>1104.4083491863553</v>
      </c>
      <c r="K76">
        <f t="shared" si="34"/>
        <v>0.19670203463622435</v>
      </c>
      <c r="L76" s="3">
        <v>0.66666666666666696</v>
      </c>
      <c r="M76">
        <f>J76*EXP(-1*K76*I76)*(H76+(0.1)*((1+COS(RADIANS(22)))/2))</f>
        <v>91.983819428698823</v>
      </c>
      <c r="O76">
        <f t="shared" si="35"/>
        <v>91.983819428698823</v>
      </c>
    </row>
    <row r="77" spans="1:16" x14ac:dyDescent="0.25">
      <c r="C77" s="4">
        <v>-5</v>
      </c>
      <c r="D77">
        <f t="shared" si="30"/>
        <v>-75</v>
      </c>
      <c r="E77" t="s">
        <v>23</v>
      </c>
      <c r="F77">
        <f t="shared" si="28"/>
        <v>-65.317936471125179</v>
      </c>
      <c r="G77">
        <f t="shared" si="29"/>
        <v>3.5707368179250563</v>
      </c>
      <c r="H77">
        <f t="shared" si="31"/>
        <v>-0.15839881611729376</v>
      </c>
      <c r="I77">
        <f t="shared" si="32"/>
        <v>16.0563177756801</v>
      </c>
      <c r="J77">
        <f t="shared" si="33"/>
        <v>1104.4083491863553</v>
      </c>
      <c r="K77">
        <f t="shared" si="34"/>
        <v>0.19670203463622435</v>
      </c>
      <c r="L77" s="3">
        <v>0.70833333333333304</v>
      </c>
      <c r="M77">
        <v>0</v>
      </c>
      <c r="O77">
        <f t="shared" si="35"/>
        <v>0</v>
      </c>
    </row>
    <row r="78" spans="1:16" x14ac:dyDescent="0.25">
      <c r="C78" s="4">
        <v>-5.2976900000000002</v>
      </c>
      <c r="D78">
        <f t="shared" si="30"/>
        <v>-79.465350000000001</v>
      </c>
      <c r="E78" t="s">
        <v>23</v>
      </c>
      <c r="F78">
        <f t="shared" si="28"/>
        <v>-67.374940916618399</v>
      </c>
      <c r="G78">
        <f t="shared" si="29"/>
        <v>-8.5544326518401631E-2</v>
      </c>
      <c r="L78" s="3">
        <f>Sheet1!G7</f>
        <v>0.72073707863687808</v>
      </c>
      <c r="M78">
        <v>0</v>
      </c>
      <c r="O78">
        <f t="shared" si="35"/>
        <v>0</v>
      </c>
    </row>
    <row r="79" spans="1:16" x14ac:dyDescent="0.25">
      <c r="O79" s="1">
        <f>SUM(O66:O78)</f>
        <v>4105.4056924840907</v>
      </c>
    </row>
    <row r="80" spans="1:16" x14ac:dyDescent="0.25">
      <c r="A80" t="s">
        <v>29</v>
      </c>
      <c r="B80">
        <v>23.449782846813658</v>
      </c>
      <c r="C80">
        <v>5.1673299999999998</v>
      </c>
      <c r="D80">
        <v>77.50995100525779</v>
      </c>
      <c r="E80" t="s">
        <v>23</v>
      </c>
      <c r="F80">
        <f>DEGREES(ASIN((COS(RADIANS(23.44978))*SIN(RADIANS(D80)))/COS(RADIANS(G80))))</f>
        <v>63.598154514996537</v>
      </c>
      <c r="G80">
        <f>DEGREES(ASIN(COS(RADIANS(-26.5))*COS(RADIANS(23.44978))*COS(RADIANS(D80))+SIN(RADIANS(-26.5))*SIN(RADIANS(23.44978))))</f>
        <v>1.3845969936395521E-6</v>
      </c>
      <c r="L80" s="3">
        <f>Sheet1!F8</f>
        <v>0.28469458054095059</v>
      </c>
      <c r="M80">
        <v>0</v>
      </c>
      <c r="O80">
        <f t="shared" si="35"/>
        <v>0</v>
      </c>
    </row>
    <row r="81" spans="1:16" x14ac:dyDescent="0.25">
      <c r="C81" s="4">
        <v>5</v>
      </c>
      <c r="D81">
        <f>C81*15</f>
        <v>75</v>
      </c>
      <c r="E81" t="s">
        <v>23</v>
      </c>
      <c r="F81">
        <f t="shared" ref="F81:F92" si="36">DEGREES(ASIN((COS(RADIANS(23.44978))*SIN(RADIANS(D81)))/COS(RADIANS(G81))))</f>
        <v>62.460274608443505</v>
      </c>
      <c r="G81">
        <f t="shared" ref="G81:G92" si="37">DEGREES(ASIN(COS(RADIANS(-26.5))*COS(RADIANS(23.44978))*COS(RADIANS(D81))+SIN(RADIANS(-26.5))*SIN(RADIANS(23.44978))))</f>
        <v>2.0019577271613418</v>
      </c>
      <c r="H81">
        <f>COS(RADIANS(G81))*COS(RADIANS(F81-60))*SIN(RADIANS(22))+SIN(RADIANS(G81))*COS(RADIANS(22))</f>
        <v>0.40642276514516917</v>
      </c>
      <c r="I81">
        <f xml:space="preserve"> 1/SIN(RADIANS(G81))</f>
        <v>28.625699091944394</v>
      </c>
      <c r="J81">
        <f>1160+75*SIN(RADIANS((360/365)*(172-275)))</f>
        <v>1086.5289731265882</v>
      </c>
      <c r="K81">
        <f>0.174+0.035*SIN(RADIANS((360/365)*(172-100)))</f>
        <v>0.20709587355994999</v>
      </c>
      <c r="L81" s="3">
        <v>0.29166666666666702</v>
      </c>
      <c r="M81">
        <f>J81*EXP(-1*K81*I81)*(H81+(0.1)*((1+COS(RADIANS(22)))/2))</f>
        <v>1.4548177279513717</v>
      </c>
      <c r="N81">
        <f>M81/2</f>
        <v>0.72740886397568583</v>
      </c>
      <c r="O81">
        <f>M81 - N81+P81</f>
        <v>1.0062276633319254</v>
      </c>
      <c r="P81">
        <f>J81*EXP(-1*K81*I81)*(0.1)*((1+COS(RADIANS(22)))/2)</f>
        <v>0.27881879935623943</v>
      </c>
    </row>
    <row r="82" spans="1:16" x14ac:dyDescent="0.25">
      <c r="C82" s="4">
        <v>4</v>
      </c>
      <c r="D82">
        <f t="shared" ref="D82:D92" si="38">C82*15</f>
        <v>60</v>
      </c>
      <c r="E82" t="s">
        <v>23</v>
      </c>
      <c r="F82">
        <f t="shared" si="36"/>
        <v>54.7831563621288</v>
      </c>
      <c r="G82">
        <f t="shared" si="37"/>
        <v>13.470711899452507</v>
      </c>
      <c r="H82">
        <f t="shared" ref="H82:H91" si="39">COS(RADIANS(G82))*COS(RADIANS(F82-60))*SIN(RADIANS(22))+SIN(RADIANS(G82))*COS(RADIANS(22))</f>
        <v>0.57877768624748649</v>
      </c>
      <c r="I82">
        <f t="shared" ref="I82:I91" si="40" xml:space="preserve"> 1/SIN(RADIANS(G82))</f>
        <v>4.2927983222622252</v>
      </c>
      <c r="J82">
        <f t="shared" ref="J82:J91" si="41">1160+75*SIN(RADIANS((360/365)*(172-275)))</f>
        <v>1086.5289731265882</v>
      </c>
      <c r="K82">
        <f t="shared" ref="K82:K91" si="42">0.174+0.035*SIN(RADIANS((360/365)*(172-100)))</f>
        <v>0.20709587355994999</v>
      </c>
      <c r="L82" s="3">
        <v>0.33333333333333298</v>
      </c>
      <c r="M82">
        <f>J82*EXP(-1*K82*I82)*(H82+(0.1)*((1+COS(RADIANS(22)))/2))</f>
        <v>301.53401295301103</v>
      </c>
      <c r="N82">
        <f>M82</f>
        <v>301.53401295301103</v>
      </c>
      <c r="O82">
        <f>M82 - N82+P82</f>
        <v>43.036567802910881</v>
      </c>
      <c r="P82">
        <f>J82*EXP(-1*K82*I82)*(0.1)*((1+COS(RADIANS(22)))/2)</f>
        <v>43.036567802910881</v>
      </c>
    </row>
    <row r="83" spans="1:16" x14ac:dyDescent="0.25">
      <c r="C83" s="4">
        <v>3</v>
      </c>
      <c r="D83">
        <f t="shared" si="38"/>
        <v>45</v>
      </c>
      <c r="E83" t="s">
        <v>23</v>
      </c>
      <c r="F83">
        <f t="shared" si="36"/>
        <v>45.138125204743972</v>
      </c>
      <c r="G83">
        <f t="shared" si="37"/>
        <v>23.76506288338032</v>
      </c>
      <c r="H83">
        <f t="shared" si="39"/>
        <v>0.70501625859674266</v>
      </c>
      <c r="I83">
        <f t="shared" si="40"/>
        <v>2.4814677259401736</v>
      </c>
      <c r="J83">
        <f t="shared" si="41"/>
        <v>1086.5289731265882</v>
      </c>
      <c r="K83">
        <f t="shared" si="42"/>
        <v>0.20709587355994999</v>
      </c>
      <c r="L83" s="3">
        <v>0.375</v>
      </c>
      <c r="M83">
        <f>J83*EXP(-1*K83*I83)*(H83+(0.1)*((1+COS(RADIANS(22)))/2))</f>
        <v>520.82600680880728</v>
      </c>
      <c r="O83">
        <f t="shared" si="35"/>
        <v>520.82600680880728</v>
      </c>
    </row>
    <row r="84" spans="1:16" x14ac:dyDescent="0.25">
      <c r="C84" s="4">
        <v>2</v>
      </c>
      <c r="D84">
        <f t="shared" si="38"/>
        <v>30</v>
      </c>
      <c r="E84" t="s">
        <v>23</v>
      </c>
      <c r="F84">
        <f t="shared" si="36"/>
        <v>32.841518850512401</v>
      </c>
      <c r="G84">
        <f t="shared" si="37"/>
        <v>32.239725048011238</v>
      </c>
      <c r="H84">
        <f t="shared" si="39"/>
        <v>0.77653553210644088</v>
      </c>
      <c r="I84">
        <f t="shared" si="40"/>
        <v>1.8745448084134535</v>
      </c>
      <c r="J84">
        <f t="shared" si="41"/>
        <v>1086.5289731265882</v>
      </c>
      <c r="K84">
        <f t="shared" si="42"/>
        <v>0.20709587355994999</v>
      </c>
      <c r="L84" s="3">
        <v>0.41666666666666702</v>
      </c>
      <c r="M84">
        <f>J84*EXP(-1*K84*I84)*(H84+(0.1)*((1+COS(RADIANS(22)))/2))</f>
        <v>643.28808120982694</v>
      </c>
      <c r="O84">
        <f t="shared" si="35"/>
        <v>643.28808120982694</v>
      </c>
    </row>
    <row r="85" spans="1:16" x14ac:dyDescent="0.25">
      <c r="C85" s="4">
        <v>1</v>
      </c>
      <c r="D85">
        <f t="shared" si="38"/>
        <v>15</v>
      </c>
      <c r="E85" t="s">
        <v>23</v>
      </c>
      <c r="F85">
        <f t="shared" si="36"/>
        <v>17.533671497188674</v>
      </c>
      <c r="G85">
        <f t="shared" si="37"/>
        <v>37.987038157189602</v>
      </c>
      <c r="H85">
        <f t="shared" si="39"/>
        <v>0.78846158647808284</v>
      </c>
      <c r="I85">
        <f t="shared" si="40"/>
        <v>1.6247397420530967</v>
      </c>
      <c r="J85">
        <f t="shared" si="41"/>
        <v>1086.5289731265882</v>
      </c>
      <c r="K85">
        <f t="shared" si="42"/>
        <v>0.20709587355994999</v>
      </c>
      <c r="L85" s="3">
        <v>0.45833333333333298</v>
      </c>
      <c r="M85">
        <f>J85*EXP(-1*K85*I85)*(H85+(0.1)*((1+COS(RADIANS(22)))/2))</f>
        <v>686.69923786599077</v>
      </c>
      <c r="O85">
        <f t="shared" si="35"/>
        <v>686.69923786599077</v>
      </c>
    </row>
    <row r="86" spans="1:16" x14ac:dyDescent="0.25">
      <c r="C86" s="4">
        <v>0</v>
      </c>
      <c r="D86">
        <f t="shared" si="38"/>
        <v>0</v>
      </c>
      <c r="E86" t="s">
        <v>23</v>
      </c>
      <c r="F86">
        <f t="shared" si="36"/>
        <v>0</v>
      </c>
      <c r="G86">
        <f t="shared" si="37"/>
        <v>40.05022000000001</v>
      </c>
      <c r="H86">
        <f t="shared" si="39"/>
        <v>0.73998168081497817</v>
      </c>
      <c r="I86">
        <f t="shared" si="40"/>
        <v>1.5541010455131943</v>
      </c>
      <c r="J86">
        <f t="shared" si="41"/>
        <v>1086.5289731265882</v>
      </c>
      <c r="K86">
        <f t="shared" si="42"/>
        <v>0.20709587355994999</v>
      </c>
      <c r="L86" s="3">
        <v>0.5</v>
      </c>
      <c r="M86">
        <f>J86*EXP(-1*K86*I86)*(H86+(0.1)*((1+COS(RADIANS(22)))/2))</f>
        <v>658.63963358340015</v>
      </c>
      <c r="O86">
        <f t="shared" si="35"/>
        <v>658.63963358340015</v>
      </c>
    </row>
    <row r="87" spans="1:16" x14ac:dyDescent="0.25">
      <c r="C87" s="4">
        <v>-1</v>
      </c>
      <c r="D87">
        <f t="shared" si="38"/>
        <v>-15</v>
      </c>
      <c r="E87" t="s">
        <v>23</v>
      </c>
      <c r="F87">
        <f t="shared" si="36"/>
        <v>-17.533671497188674</v>
      </c>
      <c r="G87">
        <f t="shared" si="37"/>
        <v>37.987038157189602</v>
      </c>
      <c r="H87">
        <f t="shared" si="39"/>
        <v>0.63439964057123488</v>
      </c>
      <c r="I87">
        <f t="shared" si="40"/>
        <v>1.6247397420530967</v>
      </c>
      <c r="J87">
        <f t="shared" si="41"/>
        <v>1086.5289731265882</v>
      </c>
      <c r="K87">
        <f t="shared" si="42"/>
        <v>0.20709587355994999</v>
      </c>
      <c r="L87" s="3">
        <v>0.54166666666666696</v>
      </c>
      <c r="M87">
        <f>J87*EXP(-1*K87*I87)*(H87+(0.1)*((1+COS(RADIANS(22)))/2))</f>
        <v>567.13353221736361</v>
      </c>
      <c r="O87">
        <f t="shared" si="35"/>
        <v>567.13353221736361</v>
      </c>
    </row>
    <row r="88" spans="1:16" x14ac:dyDescent="0.25">
      <c r="C88" s="4">
        <v>-2</v>
      </c>
      <c r="D88">
        <f t="shared" si="38"/>
        <v>-30</v>
      </c>
      <c r="E88" t="s">
        <v>23</v>
      </c>
      <c r="F88">
        <f t="shared" si="36"/>
        <v>-32.841518850512401</v>
      </c>
      <c r="G88">
        <f t="shared" si="37"/>
        <v>32.239725048011238</v>
      </c>
      <c r="H88">
        <f t="shared" si="39"/>
        <v>0.478910707306893</v>
      </c>
      <c r="I88">
        <f t="shared" si="40"/>
        <v>1.8745448084134535</v>
      </c>
      <c r="J88">
        <f t="shared" si="41"/>
        <v>1086.5289731265882</v>
      </c>
      <c r="K88">
        <f t="shared" si="42"/>
        <v>0.20709587355994999</v>
      </c>
      <c r="L88" s="3">
        <v>0.58333333333333304</v>
      </c>
      <c r="M88">
        <f>J88*EXP(-1*K88*I88)*(H88+(0.1)*((1+COS(RADIANS(22)))/2))</f>
        <v>423.95063189490418</v>
      </c>
      <c r="O88">
        <f t="shared" si="35"/>
        <v>423.95063189490418</v>
      </c>
    </row>
    <row r="89" spans="1:16" x14ac:dyDescent="0.25">
      <c r="C89" s="4">
        <v>-3</v>
      </c>
      <c r="D89">
        <f t="shared" si="38"/>
        <v>-45</v>
      </c>
      <c r="E89" t="s">
        <v>23</v>
      </c>
      <c r="F89">
        <f t="shared" si="36"/>
        <v>-45.138125204743979</v>
      </c>
      <c r="G89">
        <f t="shared" si="37"/>
        <v>23.76506288338032</v>
      </c>
      <c r="H89">
        <f t="shared" si="39"/>
        <v>0.28411119486630582</v>
      </c>
      <c r="I89">
        <f t="shared" si="40"/>
        <v>2.4814677259401736</v>
      </c>
      <c r="J89">
        <f t="shared" si="41"/>
        <v>1086.5289731265882</v>
      </c>
      <c r="K89">
        <f t="shared" si="42"/>
        <v>0.20709587355994999</v>
      </c>
      <c r="L89" s="3">
        <v>0.625</v>
      </c>
      <c r="M89">
        <f>J89*EXP(-1*K89*I89)*(H89+(0.1)*((1+COS(RADIANS(22)))/2))</f>
        <v>247.27345010663933</v>
      </c>
      <c r="O89">
        <f t="shared" si="35"/>
        <v>247.27345010663933</v>
      </c>
    </row>
    <row r="90" spans="1:16" x14ac:dyDescent="0.25">
      <c r="C90" s="4">
        <v>-4</v>
      </c>
      <c r="D90">
        <f t="shared" si="38"/>
        <v>-60</v>
      </c>
      <c r="E90" t="s">
        <v>23</v>
      </c>
      <c r="F90">
        <f t="shared" si="36"/>
        <v>-54.7831563621288</v>
      </c>
      <c r="G90">
        <f t="shared" si="37"/>
        <v>13.470711899452507</v>
      </c>
      <c r="H90">
        <f t="shared" si="39"/>
        <v>6.3276368100883884E-2</v>
      </c>
      <c r="I90">
        <f t="shared" si="40"/>
        <v>4.2927983222622252</v>
      </c>
      <c r="J90">
        <f t="shared" si="41"/>
        <v>1086.5289731265882</v>
      </c>
      <c r="K90">
        <f t="shared" si="42"/>
        <v>0.20709587355994999</v>
      </c>
      <c r="L90" s="3">
        <v>0.66666666666666696</v>
      </c>
      <c r="M90">
        <f>J90*EXP(-1*K90*I90)*(H90+(0.1)*((1+COS(RADIANS(22)))/2))</f>
        <v>71.297469840280698</v>
      </c>
      <c r="O90">
        <f t="shared" si="35"/>
        <v>71.297469840280698</v>
      </c>
    </row>
    <row r="91" spans="1:16" x14ac:dyDescent="0.25">
      <c r="C91" s="4">
        <v>-5</v>
      </c>
      <c r="D91">
        <f t="shared" si="38"/>
        <v>-75</v>
      </c>
      <c r="E91" t="s">
        <v>23</v>
      </c>
      <c r="F91">
        <f t="shared" si="36"/>
        <v>-62.460274608443505</v>
      </c>
      <c r="G91">
        <f t="shared" si="37"/>
        <v>2.0019577271613418</v>
      </c>
      <c r="H91">
        <f t="shared" si="39"/>
        <v>-0.16854424449211583</v>
      </c>
      <c r="I91">
        <f t="shared" si="40"/>
        <v>28.625699091944394</v>
      </c>
      <c r="J91">
        <f t="shared" si="41"/>
        <v>1086.5289731265882</v>
      </c>
      <c r="K91">
        <f t="shared" si="42"/>
        <v>0.20709587355994999</v>
      </c>
      <c r="L91" s="3">
        <v>0.70833333333333304</v>
      </c>
      <c r="M91">
        <v>0</v>
      </c>
      <c r="O91">
        <f t="shared" si="35"/>
        <v>0</v>
      </c>
    </row>
    <row r="92" spans="1:16" x14ac:dyDescent="0.25">
      <c r="C92">
        <v>-5.1673299999999998</v>
      </c>
      <c r="D92">
        <f t="shared" si="38"/>
        <v>-77.509950000000003</v>
      </c>
      <c r="E92" t="s">
        <v>23</v>
      </c>
      <c r="F92">
        <f t="shared" si="36"/>
        <v>-63.598154066452679</v>
      </c>
      <c r="G92">
        <f t="shared" si="37"/>
        <v>2.1904019912685157E-6</v>
      </c>
      <c r="L92" s="3">
        <f>Sheet1!G8</f>
        <v>0.71530541945904946</v>
      </c>
      <c r="M92">
        <v>0</v>
      </c>
      <c r="O92">
        <f t="shared" si="35"/>
        <v>0</v>
      </c>
    </row>
    <row r="93" spans="1:16" x14ac:dyDescent="0.25">
      <c r="O93" s="1">
        <f>SUM(O80:O92)</f>
        <v>3863.1508389934561</v>
      </c>
    </row>
    <row r="94" spans="1:16" x14ac:dyDescent="0.25">
      <c r="A94" t="s">
        <v>30</v>
      </c>
      <c r="B94">
        <v>20.441513173733597</v>
      </c>
      <c r="C94">
        <v>5.2860233299999999</v>
      </c>
      <c r="D94">
        <v>79.290347327054249</v>
      </c>
      <c r="E94" t="s">
        <v>23</v>
      </c>
      <c r="F94">
        <f>DEGREES(ASIN((COS(RADIANS(20.44151))*SIN(RADIANS(D94)))/COS(RADIANS(G94))))</f>
        <v>67.029743658885465</v>
      </c>
      <c r="G94">
        <f>DEGREES(ASIN(COS(RADIANS(-26.5))*COS(RADIANS(20.44151))*COS(RADIANS(D94))+SIN(RADIANS(-26.5))*SIN(RADIANS(20.44151))))</f>
        <v>1.5112794916575236E-6</v>
      </c>
      <c r="L94" s="3">
        <f>Sheet1!F9</f>
        <v>0.27974903520262712</v>
      </c>
      <c r="M94">
        <v>0</v>
      </c>
      <c r="O94">
        <f t="shared" si="35"/>
        <v>0</v>
      </c>
    </row>
    <row r="95" spans="1:16" x14ac:dyDescent="0.25">
      <c r="C95" s="4">
        <v>5</v>
      </c>
      <c r="D95">
        <f>C95*15</f>
        <v>75</v>
      </c>
      <c r="E95" t="s">
        <v>23</v>
      </c>
      <c r="F95">
        <f t="shared" ref="F95:F106" si="43">DEGREES(ASIN((COS(RADIANS(20.44151))*SIN(RADIANS(D95)))/COS(RADIANS(G95))))</f>
        <v>65.066921389219686</v>
      </c>
      <c r="G95">
        <f t="shared" ref="G95:G106" si="44">DEGREES(ASIN(COS(RADIANS(-26.5))*COS(RADIANS(20.44151))*COS(RADIANS(D95))+SIN(RADIANS(-26.5))*SIN(RADIANS(20.44151))))</f>
        <v>3.5090012143358575</v>
      </c>
      <c r="H95">
        <f>COS(RADIANS(G95))*COS(RADIANS(F95-60))*SIN(RADIANS(22))+SIN(RADIANS(G95))*COS(RADIANS(22))</f>
        <v>0.42919175303048435</v>
      </c>
      <c r="I95">
        <f xml:space="preserve"> 1/SIN(RADIANS(G95))</f>
        <v>16.338441914453085</v>
      </c>
      <c r="J95">
        <f>1160+75*SIN(RADIANS((360/365)*(202-275)))</f>
        <v>1088.6707612778634</v>
      </c>
      <c r="K95">
        <f>0.174+0.035*SIN(RADIANS((360/365)*(202-100)))</f>
        <v>0.20840242931929936</v>
      </c>
      <c r="L95" s="3">
        <v>0.29166666666666702</v>
      </c>
      <c r="M95">
        <f>J95*EXP(-1*K95*I95)*(H95+(0.1)*((1+COS(RADIANS(22)))/2))</f>
        <v>18.999898053779077</v>
      </c>
      <c r="O95">
        <f t="shared" si="35"/>
        <v>18.999898053779077</v>
      </c>
    </row>
    <row r="96" spans="1:16" x14ac:dyDescent="0.25">
      <c r="C96" s="4">
        <v>4</v>
      </c>
      <c r="D96">
        <f t="shared" ref="D96:D106" si="45">C96*15</f>
        <v>60</v>
      </c>
      <c r="E96" t="s">
        <v>23</v>
      </c>
      <c r="F96">
        <f t="shared" si="43"/>
        <v>57.268067814247971</v>
      </c>
      <c r="G96">
        <f t="shared" si="44"/>
        <v>15.275156007700414</v>
      </c>
      <c r="H96">
        <f t="shared" ref="H96:H105" si="46">COS(RADIANS(G96))*COS(RADIANS(F96-60))*SIN(RADIANS(22))+SIN(RADIANS(G96))*COS(RADIANS(22))</f>
        <v>0.60523270660051898</v>
      </c>
      <c r="I96">
        <f t="shared" ref="I96:I105" si="47" xml:space="preserve"> 1/SIN(RADIANS(G96))</f>
        <v>3.7957177509631848</v>
      </c>
      <c r="J96">
        <f t="shared" ref="J96:J105" si="48">1160+75*SIN(RADIANS((360/365)*(202-275)))</f>
        <v>1088.6707612778634</v>
      </c>
      <c r="K96">
        <f t="shared" ref="K96:K105" si="49">0.174+0.035*SIN(RADIANS((360/365)*(202-100)))</f>
        <v>0.20840242931929936</v>
      </c>
      <c r="L96" s="3">
        <v>0.33333333333333298</v>
      </c>
      <c r="M96">
        <f>J96*EXP(-1*K96*I96)*(H96+(0.1)*((1+COS(RADIANS(22)))/2))</f>
        <v>346.28861047491597</v>
      </c>
      <c r="O96">
        <f t="shared" si="35"/>
        <v>346.28861047491597</v>
      </c>
    </row>
    <row r="97" spans="1:16" x14ac:dyDescent="0.25">
      <c r="C97" s="4">
        <v>3</v>
      </c>
      <c r="D97">
        <f t="shared" si="45"/>
        <v>45</v>
      </c>
      <c r="E97" t="s">
        <v>23</v>
      </c>
      <c r="F97">
        <f t="shared" si="43"/>
        <v>47.450406573854046</v>
      </c>
      <c r="G97">
        <f t="shared" si="44"/>
        <v>25.92092667313824</v>
      </c>
      <c r="H97">
        <f t="shared" si="46"/>
        <v>0.73417105377129843</v>
      </c>
      <c r="I97">
        <f t="shared" si="47"/>
        <v>2.2876473444668495</v>
      </c>
      <c r="J97">
        <f t="shared" si="48"/>
        <v>1088.6707612778634</v>
      </c>
      <c r="K97">
        <f t="shared" si="49"/>
        <v>0.20840242931929936</v>
      </c>
      <c r="L97" s="3">
        <v>0.375</v>
      </c>
      <c r="M97">
        <f>J97*EXP(-1*K97*I97)*(H97+(0.1)*((1+COS(RADIANS(22)))/2))</f>
        <v>561.30843587110155</v>
      </c>
      <c r="O97">
        <f t="shared" si="35"/>
        <v>561.30843587110155</v>
      </c>
    </row>
    <row r="98" spans="1:16" x14ac:dyDescent="0.25">
      <c r="C98" s="4">
        <v>2</v>
      </c>
      <c r="D98">
        <f t="shared" si="45"/>
        <v>30</v>
      </c>
      <c r="E98" t="s">
        <v>23</v>
      </c>
      <c r="F98">
        <f t="shared" si="43"/>
        <v>34.778577500083827</v>
      </c>
      <c r="G98">
        <f t="shared" si="44"/>
        <v>34.777860965060988</v>
      </c>
      <c r="H98">
        <f t="shared" si="46"/>
        <v>0.80721985926382767</v>
      </c>
      <c r="I98">
        <f t="shared" si="47"/>
        <v>1.7531672558903222</v>
      </c>
      <c r="J98">
        <f t="shared" si="48"/>
        <v>1088.6707612778634</v>
      </c>
      <c r="K98">
        <f t="shared" si="49"/>
        <v>0.20840242931929936</v>
      </c>
      <c r="L98" s="3">
        <v>0.41666666666666702</v>
      </c>
      <c r="M98">
        <f>J98*EXP(-1*K98*I98)*(H98+(0.1)*((1+COS(RADIANS(22)))/2))</f>
        <v>682.63257232410592</v>
      </c>
      <c r="O98">
        <f t="shared" si="35"/>
        <v>682.63257232410592</v>
      </c>
    </row>
    <row r="99" spans="1:16" x14ac:dyDescent="0.25">
      <c r="C99" s="4">
        <v>1</v>
      </c>
      <c r="D99">
        <f t="shared" si="45"/>
        <v>15</v>
      </c>
      <c r="E99" t="s">
        <v>23</v>
      </c>
      <c r="F99">
        <f t="shared" si="43"/>
        <v>18.702107230400294</v>
      </c>
      <c r="G99">
        <f t="shared" si="44"/>
        <v>40.856797437520747</v>
      </c>
      <c r="H99">
        <f t="shared" si="46"/>
        <v>0.81940096770264981</v>
      </c>
      <c r="I99">
        <f t="shared" si="47"/>
        <v>1.528653009919277</v>
      </c>
      <c r="J99">
        <f t="shared" si="48"/>
        <v>1088.6707612778634</v>
      </c>
      <c r="K99">
        <f t="shared" si="49"/>
        <v>0.20840242931929936</v>
      </c>
      <c r="L99" s="3">
        <v>0.45833333333333298</v>
      </c>
      <c r="M99">
        <f>J99*EXP(-1*K99*I99)*(H99+(0.1)*((1+COS(RADIANS(22)))/2))</f>
        <v>724.97484880071602</v>
      </c>
      <c r="O99">
        <f t="shared" si="35"/>
        <v>724.97484880071602</v>
      </c>
    </row>
    <row r="100" spans="1:16" x14ac:dyDescent="0.25">
      <c r="C100" s="4">
        <v>0</v>
      </c>
      <c r="D100">
        <f t="shared" si="45"/>
        <v>0</v>
      </c>
      <c r="E100" t="s">
        <v>23</v>
      </c>
      <c r="F100">
        <f t="shared" si="43"/>
        <v>0</v>
      </c>
      <c r="G100">
        <f t="shared" si="44"/>
        <v>43.058490000000006</v>
      </c>
      <c r="H100">
        <f t="shared" si="46"/>
        <v>0.7698842566778924</v>
      </c>
      <c r="I100">
        <f t="shared" si="47"/>
        <v>1.4646765381447924</v>
      </c>
      <c r="J100">
        <f t="shared" si="48"/>
        <v>1088.6707612778634</v>
      </c>
      <c r="K100">
        <f t="shared" si="49"/>
        <v>0.20840242931929936</v>
      </c>
      <c r="L100" s="3">
        <v>0.5</v>
      </c>
      <c r="M100">
        <f>J100*EXP(-1*K100*I100)*(H100+(0.1)*((1+COS(RADIANS(22)))/2))</f>
        <v>694.9787758436629</v>
      </c>
      <c r="O100">
        <f t="shared" si="35"/>
        <v>694.9787758436629</v>
      </c>
    </row>
    <row r="101" spans="1:16" x14ac:dyDescent="0.25">
      <c r="C101" s="4">
        <v>-1</v>
      </c>
      <c r="D101">
        <f t="shared" si="45"/>
        <v>-15</v>
      </c>
      <c r="E101" t="s">
        <v>23</v>
      </c>
      <c r="F101">
        <f t="shared" si="43"/>
        <v>-18.702107230400294</v>
      </c>
      <c r="G101">
        <f t="shared" si="44"/>
        <v>40.856797437520747</v>
      </c>
      <c r="H101">
        <f t="shared" si="46"/>
        <v>0.66204420821565901</v>
      </c>
      <c r="I101">
        <f t="shared" si="47"/>
        <v>1.528653009919277</v>
      </c>
      <c r="J101">
        <f t="shared" si="48"/>
        <v>1088.6707612778634</v>
      </c>
      <c r="K101">
        <f t="shared" si="49"/>
        <v>0.20840242931929936</v>
      </c>
      <c r="L101" s="3">
        <v>0.54166666666666696</v>
      </c>
      <c r="M101">
        <f>J101*EXP(-1*K101*I101)*(H101+(0.1)*((1+COS(RADIANS(22)))/2))</f>
        <v>600.4010817314412</v>
      </c>
      <c r="O101">
        <f t="shared" si="35"/>
        <v>600.4010817314412</v>
      </c>
    </row>
    <row r="102" spans="1:16" x14ac:dyDescent="0.25">
      <c r="C102" s="4">
        <v>-2</v>
      </c>
      <c r="D102">
        <f t="shared" si="45"/>
        <v>-30</v>
      </c>
      <c r="E102" t="s">
        <v>23</v>
      </c>
      <c r="F102">
        <f t="shared" si="43"/>
        <v>-34.778577500083827</v>
      </c>
      <c r="G102">
        <f t="shared" si="44"/>
        <v>34.777860965060988</v>
      </c>
      <c r="H102">
        <f t="shared" si="46"/>
        <v>0.50322994340454386</v>
      </c>
      <c r="I102">
        <f t="shared" si="47"/>
        <v>1.7531672558903222</v>
      </c>
      <c r="J102">
        <f t="shared" si="48"/>
        <v>1088.6707612778634</v>
      </c>
      <c r="K102">
        <f t="shared" si="49"/>
        <v>0.20840242931929936</v>
      </c>
      <c r="L102" s="3">
        <v>0.58333333333333304</v>
      </c>
      <c r="M102">
        <f>J102*EXP(-1*K102*I102)*(H102+(0.1)*((1+COS(RADIANS(22)))/2))</f>
        <v>452.97539095619351</v>
      </c>
      <c r="O102">
        <f t="shared" si="35"/>
        <v>452.97539095619351</v>
      </c>
    </row>
    <row r="103" spans="1:16" x14ac:dyDescent="0.25">
      <c r="C103" s="4">
        <v>-3</v>
      </c>
      <c r="D103">
        <f t="shared" si="45"/>
        <v>-45</v>
      </c>
      <c r="E103" t="s">
        <v>23</v>
      </c>
      <c r="F103">
        <f t="shared" si="43"/>
        <v>-47.450406573854046</v>
      </c>
      <c r="G103">
        <f t="shared" si="44"/>
        <v>25.92092667313824</v>
      </c>
      <c r="H103">
        <f t="shared" si="46"/>
        <v>0.30426439193844323</v>
      </c>
      <c r="I103">
        <f t="shared" si="47"/>
        <v>2.2876473444668495</v>
      </c>
      <c r="J103">
        <f t="shared" si="48"/>
        <v>1088.6707612778634</v>
      </c>
      <c r="K103">
        <f t="shared" si="49"/>
        <v>0.20840242931929936</v>
      </c>
      <c r="L103" s="3">
        <v>0.625</v>
      </c>
      <c r="M103">
        <f>J103*EXP(-1*K103*I103)*(H103+(0.1)*((1+COS(RADIANS(22)))/2))</f>
        <v>270.75882983207362</v>
      </c>
      <c r="O103">
        <f t="shared" si="35"/>
        <v>270.75882983207362</v>
      </c>
    </row>
    <row r="104" spans="1:16" x14ac:dyDescent="0.25">
      <c r="C104" s="4">
        <v>-4</v>
      </c>
      <c r="D104">
        <f t="shared" si="45"/>
        <v>-60</v>
      </c>
      <c r="E104" t="s">
        <v>23</v>
      </c>
      <c r="F104">
        <f t="shared" si="43"/>
        <v>-57.268067814247964</v>
      </c>
      <c r="G104">
        <f t="shared" si="44"/>
        <v>15.275156007700414</v>
      </c>
      <c r="H104">
        <f t="shared" si="46"/>
        <v>7.8706727343651667E-2</v>
      </c>
      <c r="I104">
        <f t="shared" si="47"/>
        <v>3.7957177509631848</v>
      </c>
      <c r="J104">
        <f t="shared" si="48"/>
        <v>1088.6707612778634</v>
      </c>
      <c r="K104">
        <f t="shared" si="49"/>
        <v>0.20840242931929936</v>
      </c>
      <c r="L104" s="3">
        <v>0.66666666666666696</v>
      </c>
      <c r="M104">
        <f>J104*EXP(-1*K104*I104)*(H104+(0.1)*((1+COS(RADIANS(22)))/2))</f>
        <v>86.408258506454615</v>
      </c>
      <c r="O104">
        <f t="shared" si="35"/>
        <v>86.408258506454615</v>
      </c>
    </row>
    <row r="105" spans="1:16" x14ac:dyDescent="0.25">
      <c r="C105" s="4">
        <v>-5</v>
      </c>
      <c r="D105">
        <f t="shared" si="45"/>
        <v>-75</v>
      </c>
      <c r="E105" t="s">
        <v>23</v>
      </c>
      <c r="F105">
        <f t="shared" si="43"/>
        <v>-65.066921389219686</v>
      </c>
      <c r="G105">
        <f t="shared" si="44"/>
        <v>3.5090012143358575</v>
      </c>
      <c r="H105">
        <f t="shared" si="46"/>
        <v>-0.15807166828936176</v>
      </c>
      <c r="I105">
        <f t="shared" si="47"/>
        <v>16.338441914453085</v>
      </c>
      <c r="J105">
        <f t="shared" si="48"/>
        <v>1088.6707612778634</v>
      </c>
      <c r="K105">
        <f t="shared" si="49"/>
        <v>0.20840242931929936</v>
      </c>
      <c r="L105" s="3">
        <v>0.70833333333333304</v>
      </c>
      <c r="M105">
        <v>0</v>
      </c>
      <c r="O105">
        <f t="shared" si="35"/>
        <v>0</v>
      </c>
    </row>
    <row r="106" spans="1:16" x14ac:dyDescent="0.25">
      <c r="C106" s="4">
        <v>-5.2860233299999999</v>
      </c>
      <c r="D106">
        <f t="shared" si="45"/>
        <v>-79.290349949999992</v>
      </c>
      <c r="E106" t="s">
        <v>23</v>
      </c>
      <c r="F106">
        <f t="shared" si="43"/>
        <v>-67.029744829238112</v>
      </c>
      <c r="G106">
        <f t="shared" si="44"/>
        <v>-6.499565635084292E-7</v>
      </c>
      <c r="L106" s="3">
        <f>Sheet1!G9</f>
        <v>0.72025096479737283</v>
      </c>
      <c r="M106">
        <v>0</v>
      </c>
      <c r="O106">
        <f t="shared" si="35"/>
        <v>0</v>
      </c>
    </row>
    <row r="107" spans="1:16" x14ac:dyDescent="0.25">
      <c r="O107" s="1">
        <f>SUM(O94:O106)</f>
        <v>4439.7267023944441</v>
      </c>
    </row>
    <row r="108" spans="1:16" x14ac:dyDescent="0.25">
      <c r="A108" t="s">
        <v>31</v>
      </c>
      <c r="B108">
        <v>11.754120525303399</v>
      </c>
      <c r="C108">
        <v>5.6030186669999997</v>
      </c>
      <c r="D108">
        <v>84.045276719648626</v>
      </c>
      <c r="E108" t="s">
        <v>23</v>
      </c>
      <c r="F108">
        <f>DEGREES(ASIN((COS(RADIANS(11.7541205253034))*SIN(RADIANS(D108)))/COS(RADIANS(G108))))</f>
        <v>76.842534968383418</v>
      </c>
      <c r="G108">
        <f>DEGREES(ASIN(COS(RADIANS(-26.5))*COS(RADIANS(11.75412))*COS(RADIANS(D108))+SIN(RADIANS(-26.5))*SIN(RADIANS(11.75412))))</f>
        <v>2.3940946554833733E-7</v>
      </c>
      <c r="L108" s="3">
        <f>Sheet1!F10</f>
        <v>0.26654089800097602</v>
      </c>
      <c r="M108">
        <v>0</v>
      </c>
      <c r="O108">
        <f t="shared" si="35"/>
        <v>0</v>
      </c>
    </row>
    <row r="109" spans="1:16" x14ac:dyDescent="0.25">
      <c r="C109" s="4">
        <v>5</v>
      </c>
      <c r="D109">
        <f>C109*15</f>
        <v>75</v>
      </c>
      <c r="E109" t="s">
        <v>23</v>
      </c>
      <c r="F109">
        <f t="shared" ref="F109:F120" si="50">DEGREES(ASIN((COS(RADIANS(11.7541205253034))*SIN(RADIANS(D109)))/COS(RADIANS(G109))))</f>
        <v>72.654274591418471</v>
      </c>
      <c r="G109">
        <f t="shared" ref="G109:G120" si="51">DEGREES(ASIN(COS(RADIANS(-26.5))*COS(RADIANS(11.75412))*COS(RADIANS(D109))+SIN(RADIANS(-26.5))*SIN(RADIANS(11.75412))))</f>
        <v>7.8091119872929902</v>
      </c>
      <c r="H109">
        <f>COS(RADIANS(G109))*COS(RADIANS(F109-60))*SIN(RADIANS(22))+SIN(RADIANS(G109))*COS(RADIANS(22))</f>
        <v>0.48809703119191294</v>
      </c>
      <c r="I109">
        <f xml:space="preserve"> 1/SIN(RADIANS(G109))</f>
        <v>7.3598067133143203</v>
      </c>
      <c r="J109">
        <f>1160+75*SIN(RADIANS((360/365)*(233-275)))</f>
        <v>1110.3774036318291</v>
      </c>
      <c r="K109">
        <f>0.174+0.035*SIN(RADIANS((360/365)*(233-100)))</f>
        <v>0.20034333896362028</v>
      </c>
      <c r="L109" s="3">
        <v>0.29166666666666702</v>
      </c>
      <c r="M109">
        <f>J109*EXP(-1*K109*I109)*(H109+(0.1)*((1+COS(RADIANS(22)))/2))</f>
        <v>148.54583932374388</v>
      </c>
      <c r="O109">
        <f t="shared" si="35"/>
        <v>148.54583932374388</v>
      </c>
    </row>
    <row r="110" spans="1:16" x14ac:dyDescent="0.25">
      <c r="C110" s="4">
        <v>4</v>
      </c>
      <c r="D110">
        <f t="shared" ref="D110:D120" si="52">C110*15</f>
        <v>60</v>
      </c>
      <c r="E110" t="s">
        <v>23</v>
      </c>
      <c r="F110">
        <f t="shared" si="50"/>
        <v>64.70301048297803</v>
      </c>
      <c r="G110">
        <f t="shared" si="51"/>
        <v>20.315431888675317</v>
      </c>
      <c r="H110">
        <f t="shared" ref="H110:H119" si="53">COS(RADIANS(G110))*COS(RADIANS(F110-60))*SIN(RADIANS(22))+SIN(RADIANS(G110))*COS(RADIANS(22))</f>
        <v>0.67202888568867736</v>
      </c>
      <c r="I110">
        <f t="shared" ref="I110:I119" si="54" xml:space="preserve"> 1/SIN(RADIANS(G110))</f>
        <v>2.8802818281012752</v>
      </c>
      <c r="J110">
        <f t="shared" ref="J110:J119" si="55">1160+75*SIN(RADIANS((360/365)*(233-275)))</f>
        <v>1110.3774036318291</v>
      </c>
      <c r="K110">
        <f t="shared" ref="K110:K119" si="56">0.174+0.035*SIN(RADIANS((360/365)*(233-100)))</f>
        <v>0.20034333896362028</v>
      </c>
      <c r="L110" s="3">
        <v>0.33333333333333298</v>
      </c>
      <c r="M110">
        <f>J110*EXP(-1*K110*I110)*(H110+(0.1)*((1+COS(RADIANS(22)))/2))</f>
        <v>479.11928621429144</v>
      </c>
      <c r="N110">
        <f>M110/2</f>
        <v>239.55964310714572</v>
      </c>
      <c r="O110">
        <f>M110 - N110+P110</f>
        <v>299.64327654312859</v>
      </c>
      <c r="P110">
        <f>J110*EXP(-1*K110*I110)*(0.1)*((1+COS(RADIANS(22)))/2)</f>
        <v>60.083633435982875</v>
      </c>
    </row>
    <row r="111" spans="1:16" x14ac:dyDescent="0.25">
      <c r="C111" s="4">
        <v>3</v>
      </c>
      <c r="D111">
        <f t="shared" si="52"/>
        <v>45</v>
      </c>
      <c r="E111" t="s">
        <v>23</v>
      </c>
      <c r="F111">
        <f t="shared" si="50"/>
        <v>54.642628750083787</v>
      </c>
      <c r="G111">
        <f t="shared" si="51"/>
        <v>31.91419491679731</v>
      </c>
      <c r="H111">
        <f t="shared" si="53"/>
        <v>0.80674679560929596</v>
      </c>
      <c r="I111">
        <f t="shared" si="54"/>
        <v>1.8916155386248579</v>
      </c>
      <c r="J111">
        <f t="shared" si="55"/>
        <v>1110.3774036318291</v>
      </c>
      <c r="K111">
        <f t="shared" si="56"/>
        <v>0.20034333896362028</v>
      </c>
      <c r="L111" s="3">
        <v>0.375</v>
      </c>
      <c r="M111">
        <f>J111*EXP(-1*K111*I111)*(H111+(0.1)*((1+COS(RADIANS(22)))/2))</f>
        <v>686.47328376605412</v>
      </c>
      <c r="N111">
        <f>M111/2</f>
        <v>343.23664188302706</v>
      </c>
      <c r="O111">
        <f>M111 - N111+P111</f>
        <v>416.48165665148093</v>
      </c>
      <c r="P111">
        <f>J111*EXP(-1*K111*I111)*(0.1)*((1+COS(RADIANS(22)))/2)</f>
        <v>73.245014768453856</v>
      </c>
    </row>
    <row r="112" spans="1:16" x14ac:dyDescent="0.25">
      <c r="C112" s="4">
        <v>2</v>
      </c>
      <c r="D112">
        <f t="shared" si="52"/>
        <v>30</v>
      </c>
      <c r="E112" t="s">
        <v>23</v>
      </c>
      <c r="F112">
        <f t="shared" si="50"/>
        <v>41.126178267034064</v>
      </c>
      <c r="G112">
        <f t="shared" si="51"/>
        <v>41.904276892486322</v>
      </c>
      <c r="H112">
        <f t="shared" si="53"/>
        <v>0.88306995795263155</v>
      </c>
      <c r="I112">
        <f t="shared" si="54"/>
        <v>1.4972567709512212</v>
      </c>
      <c r="J112">
        <f t="shared" si="55"/>
        <v>1110.3774036318291</v>
      </c>
      <c r="K112">
        <f t="shared" si="56"/>
        <v>0.20034333896362028</v>
      </c>
      <c r="L112" s="3">
        <v>0.41666666666666702</v>
      </c>
      <c r="M112">
        <f>J112*EXP(-1*K112*I112)*(H112+(0.1)*((1+COS(RADIANS(22)))/2))</f>
        <v>805.69434230390027</v>
      </c>
      <c r="O112">
        <f t="shared" si="35"/>
        <v>805.69434230390027</v>
      </c>
    </row>
    <row r="113" spans="1:15" x14ac:dyDescent="0.25">
      <c r="C113" s="4">
        <v>1</v>
      </c>
      <c r="D113">
        <f t="shared" si="52"/>
        <v>15</v>
      </c>
      <c r="E113" t="s">
        <v>23</v>
      </c>
      <c r="F113">
        <f t="shared" si="50"/>
        <v>22.750186125822193</v>
      </c>
      <c r="G113">
        <f t="shared" si="51"/>
        <v>49.061880825370388</v>
      </c>
      <c r="H113">
        <f t="shared" si="53"/>
        <v>0.89579707530628461</v>
      </c>
      <c r="I113">
        <f t="shared" si="54"/>
        <v>1.3237709424156732</v>
      </c>
      <c r="J113">
        <f t="shared" si="55"/>
        <v>1110.3774036318291</v>
      </c>
      <c r="K113">
        <f t="shared" si="56"/>
        <v>0.20034333896362028</v>
      </c>
      <c r="L113" s="3">
        <v>0.45833333333333298</v>
      </c>
      <c r="M113">
        <f>J113*EXP(-1*K113*I113)*(H113+(0.1)*((1+COS(RADIANS(22)))/2))</f>
        <v>845.02980026479725</v>
      </c>
      <c r="O113">
        <f t="shared" si="35"/>
        <v>845.02980026479725</v>
      </c>
    </row>
    <row r="114" spans="1:15" x14ac:dyDescent="0.25">
      <c r="C114" s="4">
        <v>0</v>
      </c>
      <c r="D114">
        <f t="shared" si="52"/>
        <v>0</v>
      </c>
      <c r="E114" t="s">
        <v>23</v>
      </c>
      <c r="F114">
        <f t="shared" si="50"/>
        <v>0</v>
      </c>
      <c r="G114">
        <f t="shared" si="51"/>
        <v>51.745880000000007</v>
      </c>
      <c r="H114">
        <f t="shared" si="53"/>
        <v>0.84406081564299318</v>
      </c>
      <c r="I114">
        <f t="shared" si="54"/>
        <v>1.2734434389835554</v>
      </c>
      <c r="J114">
        <f t="shared" si="55"/>
        <v>1110.3774036318291</v>
      </c>
      <c r="K114">
        <f t="shared" si="56"/>
        <v>0.20034333896362028</v>
      </c>
      <c r="L114" s="3">
        <v>0.5</v>
      </c>
      <c r="M114">
        <f>J114*EXP(-1*K114*I114)*(H114+(0.1)*((1+COS(RADIANS(22)))/2))</f>
        <v>809.08230059244067</v>
      </c>
      <c r="O114">
        <f t="shared" si="35"/>
        <v>809.08230059244067</v>
      </c>
    </row>
    <row r="115" spans="1:15" x14ac:dyDescent="0.25">
      <c r="C115" s="4">
        <v>-1</v>
      </c>
      <c r="D115">
        <f t="shared" si="52"/>
        <v>-15</v>
      </c>
      <c r="E115" t="s">
        <v>23</v>
      </c>
      <c r="F115">
        <f t="shared" si="50"/>
        <v>-22.750186125822193</v>
      </c>
      <c r="G115">
        <f t="shared" si="51"/>
        <v>49.061880825370388</v>
      </c>
      <c r="H115">
        <f t="shared" si="53"/>
        <v>0.73138691955715485</v>
      </c>
      <c r="I115">
        <f t="shared" si="54"/>
        <v>1.3237709424156732</v>
      </c>
      <c r="J115">
        <f t="shared" si="55"/>
        <v>1110.3774036318291</v>
      </c>
      <c r="K115">
        <f t="shared" si="56"/>
        <v>0.20034333896362028</v>
      </c>
      <c r="L115" s="3">
        <v>0.54166666666666696</v>
      </c>
      <c r="M115">
        <f>J115*EXP(-1*K115*I115)*(H115+(0.1)*((1+COS(RADIANS(22)))/2))</f>
        <v>704.9999626774154</v>
      </c>
      <c r="O115">
        <f t="shared" si="35"/>
        <v>704.9999626774154</v>
      </c>
    </row>
    <row r="116" spans="1:15" x14ac:dyDescent="0.25">
      <c r="C116" s="4">
        <v>-2</v>
      </c>
      <c r="D116">
        <f t="shared" si="52"/>
        <v>-30</v>
      </c>
      <c r="E116" t="s">
        <v>23</v>
      </c>
      <c r="F116">
        <f t="shared" si="50"/>
        <v>-41.126178267034071</v>
      </c>
      <c r="G116">
        <f t="shared" si="51"/>
        <v>41.904276892486322</v>
      </c>
      <c r="H116">
        <f t="shared" si="53"/>
        <v>0.56545392686804641</v>
      </c>
      <c r="I116">
        <f t="shared" si="54"/>
        <v>1.4972567709512212</v>
      </c>
      <c r="J116">
        <f t="shared" si="55"/>
        <v>1110.3774036318291</v>
      </c>
      <c r="K116">
        <f t="shared" si="56"/>
        <v>0.20034333896362028</v>
      </c>
      <c r="L116" s="3">
        <v>0.58333333333333304</v>
      </c>
      <c r="M116">
        <f>J116*EXP(-1*K116*I116)*(H116+(0.1)*((1+COS(RADIANS(22)))/2))</f>
        <v>544.41823152860991</v>
      </c>
      <c r="O116">
        <f t="shared" si="35"/>
        <v>544.41823152860991</v>
      </c>
    </row>
    <row r="117" spans="1:15" x14ac:dyDescent="0.25">
      <c r="C117" s="4">
        <v>-3</v>
      </c>
      <c r="D117">
        <f t="shared" si="52"/>
        <v>-45</v>
      </c>
      <c r="E117" t="s">
        <v>23</v>
      </c>
      <c r="F117">
        <f t="shared" si="50"/>
        <v>-54.642628750083787</v>
      </c>
      <c r="G117">
        <f t="shared" si="51"/>
        <v>31.91419491679731</v>
      </c>
      <c r="H117">
        <f t="shared" si="53"/>
        <v>0.35756989682236107</v>
      </c>
      <c r="I117">
        <f t="shared" si="54"/>
        <v>1.8916155386248579</v>
      </c>
      <c r="J117">
        <f t="shared" si="55"/>
        <v>1110.3774036318291</v>
      </c>
      <c r="K117">
        <f t="shared" si="56"/>
        <v>0.20034333896362028</v>
      </c>
      <c r="L117" s="3">
        <v>0.625</v>
      </c>
      <c r="M117">
        <f>J117*EXP(-1*K117*I117)*(H117+(0.1)*((1+COS(RADIANS(22)))/2))</f>
        <v>345.04277097574283</v>
      </c>
      <c r="O117">
        <f t="shared" si="35"/>
        <v>345.04277097574283</v>
      </c>
    </row>
    <row r="118" spans="1:15" x14ac:dyDescent="0.25">
      <c r="C118" s="4">
        <v>-4</v>
      </c>
      <c r="D118">
        <f t="shared" si="52"/>
        <v>-60</v>
      </c>
      <c r="E118" t="s">
        <v>23</v>
      </c>
      <c r="F118">
        <f t="shared" si="50"/>
        <v>-64.70301048297803</v>
      </c>
      <c r="G118">
        <f t="shared" si="51"/>
        <v>20.315431888675317</v>
      </c>
      <c r="H118">
        <f t="shared" si="53"/>
        <v>0.1219017825518002</v>
      </c>
      <c r="I118">
        <f t="shared" si="54"/>
        <v>2.8802818281012752</v>
      </c>
      <c r="J118">
        <f t="shared" si="55"/>
        <v>1110.3774036318291</v>
      </c>
      <c r="K118">
        <f t="shared" si="56"/>
        <v>0.20034333896362028</v>
      </c>
      <c r="L118" s="3">
        <v>0.66666666666666696</v>
      </c>
      <c r="M118">
        <f>J118*EXP(-1*K118*I118)*(H118+(0.1)*((1+COS(RADIANS(22)))/2))</f>
        <v>136.09404625341165</v>
      </c>
      <c r="O118">
        <f t="shared" si="35"/>
        <v>136.09404625341165</v>
      </c>
    </row>
    <row r="119" spans="1:15" x14ac:dyDescent="0.25">
      <c r="C119" s="4">
        <v>-5</v>
      </c>
      <c r="D119">
        <f t="shared" si="52"/>
        <v>-75</v>
      </c>
      <c r="E119" t="s">
        <v>23</v>
      </c>
      <c r="F119">
        <f t="shared" si="50"/>
        <v>-72.654274591418471</v>
      </c>
      <c r="G119">
        <f t="shared" si="51"/>
        <v>7.8091119872929902</v>
      </c>
      <c r="H119">
        <f t="shared" si="53"/>
        <v>-0.12549002334415146</v>
      </c>
      <c r="I119">
        <f t="shared" si="54"/>
        <v>7.3598067133143203</v>
      </c>
      <c r="J119">
        <f t="shared" si="55"/>
        <v>1110.3774036318291</v>
      </c>
      <c r="K119">
        <f t="shared" si="56"/>
        <v>0.20034333896362028</v>
      </c>
      <c r="L119" s="3">
        <v>0.70833333333333304</v>
      </c>
      <c r="M119">
        <v>0</v>
      </c>
      <c r="O119">
        <f t="shared" si="35"/>
        <v>0</v>
      </c>
    </row>
    <row r="120" spans="1:15" x14ac:dyDescent="0.25">
      <c r="C120" s="4">
        <f>-C108</f>
        <v>-5.6030186669999997</v>
      </c>
      <c r="D120">
        <f t="shared" si="52"/>
        <v>-84.045280004999995</v>
      </c>
      <c r="E120" t="s">
        <v>23</v>
      </c>
      <c r="F120">
        <f t="shared" si="50"/>
        <v>-76.842536434299916</v>
      </c>
      <c r="G120">
        <f t="shared" si="51"/>
        <v>-2.6235794013182882E-6</v>
      </c>
      <c r="L120" s="3">
        <f>Sheet1!G10</f>
        <v>0.73345910199902387</v>
      </c>
      <c r="M120">
        <v>0</v>
      </c>
      <c r="O120">
        <f t="shared" si="35"/>
        <v>0</v>
      </c>
    </row>
    <row r="121" spans="1:15" x14ac:dyDescent="0.25">
      <c r="O121" s="1">
        <f>SUM(O108:O120)</f>
        <v>5055.0322271146724</v>
      </c>
    </row>
    <row r="122" spans="1:15" x14ac:dyDescent="0.25">
      <c r="A122" t="s">
        <v>32</v>
      </c>
      <c r="B122">
        <v>-0.2018340770397338</v>
      </c>
      <c r="C122">
        <v>6.0067086669999998</v>
      </c>
      <c r="D122">
        <v>90.100631226678587</v>
      </c>
      <c r="E122" t="s">
        <v>22</v>
      </c>
      <c r="F122">
        <f>180 - DEGREES(ASIN((COS(RADIANS(-0.201834))*SIN(RADIANS(D122)))/COS(RADIANS(G122))))</f>
        <v>90.225529522340707</v>
      </c>
      <c r="G122">
        <f>DEGREES(ASIN(COS(RADIANS(-26.5))*COS(RADIANS(-0.20183))*COS(RADIANS(D122))+SIN(RADIANS(-26.5))*SIN(RADIANS(-0.20183))))</f>
        <v>-1.8191774990632142E-6</v>
      </c>
      <c r="L122" s="3">
        <f>Sheet1!F11</f>
        <v>0.24972046881478172</v>
      </c>
      <c r="M122">
        <v>0</v>
      </c>
      <c r="O122">
        <f t="shared" si="35"/>
        <v>0</v>
      </c>
    </row>
    <row r="123" spans="1:15" x14ac:dyDescent="0.25">
      <c r="C123" s="4">
        <v>6</v>
      </c>
      <c r="D123">
        <f t="shared" ref="D123:D152" si="57">C123*15</f>
        <v>90</v>
      </c>
      <c r="E123" t="s">
        <v>22</v>
      </c>
      <c r="F123">
        <f>180 - DEGREES(ASIN((COS(RADIANS(-0.201834))*SIN(RADIANS(D123)))/COS(RADIANS(G123))))</f>
        <v>90.180629220535266</v>
      </c>
      <c r="G123">
        <f t="shared" ref="G123:G136" si="58">DEGREES(ASIN(COS(RADIANS(-26.5))*COS(RADIANS(-0.20183))*COS(RADIANS(D123))+SIN(RADIANS(-26.5))*SIN(RADIANS(-0.20183))))</f>
        <v>9.0055955453674522E-2</v>
      </c>
      <c r="H123">
        <f>COS(RADIANS(G123))*COS(RADIANS(F123-60))*SIN(RADIANS(22))+SIN(RADIANS(G123))*COS(RADIANS(22))</f>
        <v>0.32528364941268839</v>
      </c>
      <c r="I123">
        <f xml:space="preserve"> 1/SIN(RADIANS(G123))</f>
        <v>636.22447639028974</v>
      </c>
      <c r="J123">
        <f>1160+75*SIN(RADIANS((360/365)*(264-275)))</f>
        <v>1145.8829967617567</v>
      </c>
      <c r="K123">
        <f>0.174+0.035*SIN(RADIANS((360/365)*(264-100)))</f>
        <v>0.18495874643275392</v>
      </c>
      <c r="L123" s="3">
        <v>0.25</v>
      </c>
      <c r="M123">
        <f>J123*EXP(-1*K123*I123)*(H123+(0.1)*((1+COS(RADIANS(22)))/2))</f>
        <v>3.78756025562453E-49</v>
      </c>
      <c r="O123">
        <f t="shared" si="35"/>
        <v>3.78756025562453E-49</v>
      </c>
    </row>
    <row r="124" spans="1:15" x14ac:dyDescent="0.25">
      <c r="C124" s="4">
        <v>5</v>
      </c>
      <c r="D124">
        <f t="shared" si="57"/>
        <v>75</v>
      </c>
      <c r="E124" t="s">
        <v>23</v>
      </c>
      <c r="F124">
        <f t="shared" ref="F124:F134" si="59">DEGREES(ASIN((COS(RADIANS(-0.201834))*SIN(RADIANS(D124)))/COS(RADIANS(G124))))</f>
        <v>83.366605723639196</v>
      </c>
      <c r="G124">
        <f t="shared" si="58"/>
        <v>13.485330076183043</v>
      </c>
      <c r="H124">
        <f t="shared" ref="H124:H135" si="60">COS(RADIANS(G124))*COS(RADIANS(F124-60))*SIN(RADIANS(22))+SIN(RADIANS(G124))*COS(RADIANS(22))</f>
        <v>0.55061852921124377</v>
      </c>
      <c r="I124">
        <f t="shared" ref="I124:I135" si="61" xml:space="preserve"> 1/SIN(RADIANS(G124))</f>
        <v>4.2882310099271654</v>
      </c>
      <c r="J124">
        <f t="shared" ref="J124:J135" si="62">1160+75*SIN(RADIANS((360/365)*(264-275)))</f>
        <v>1145.8829967617567</v>
      </c>
      <c r="K124">
        <f t="shared" ref="K124:K135" si="63">0.174+0.035*SIN(RADIANS((360/365)*(264-100)))</f>
        <v>0.18495874643275392</v>
      </c>
      <c r="L124" s="3">
        <v>0.29166666666666702</v>
      </c>
      <c r="M124">
        <f>J124*EXP(-1*K124*I124)*(H124+(0.1)*((1+COS(RADIANS(22)))/2))</f>
        <v>335.40593517772891</v>
      </c>
      <c r="O124">
        <f t="shared" si="35"/>
        <v>335.40593517772891</v>
      </c>
    </row>
    <row r="125" spans="1:15" x14ac:dyDescent="0.25">
      <c r="C125" s="4">
        <v>4</v>
      </c>
      <c r="D125">
        <f t="shared" si="57"/>
        <v>60</v>
      </c>
      <c r="E125" t="s">
        <v>23</v>
      </c>
      <c r="F125">
        <f t="shared" si="59"/>
        <v>75.749753460415747</v>
      </c>
      <c r="G125">
        <f t="shared" si="58"/>
        <v>26.681862857620938</v>
      </c>
      <c r="H125">
        <f t="shared" si="60"/>
        <v>0.7384887254257767</v>
      </c>
      <c r="I125">
        <f t="shared" si="61"/>
        <v>2.2269920589010086</v>
      </c>
      <c r="J125">
        <f t="shared" si="62"/>
        <v>1145.8829967617567</v>
      </c>
      <c r="K125">
        <f t="shared" si="63"/>
        <v>0.18495874643275392</v>
      </c>
      <c r="L125" s="3">
        <v>0.33333333333333298</v>
      </c>
      <c r="M125">
        <f>J125*EXP(-1*K125*I125)*(H125+(0.1)*((1+COS(RADIANS(22)))/2))</f>
        <v>633.66690554554623</v>
      </c>
      <c r="O125">
        <f t="shared" si="35"/>
        <v>633.66690554554623</v>
      </c>
    </row>
    <row r="126" spans="1:15" x14ac:dyDescent="0.25">
      <c r="C126" s="4">
        <v>3</v>
      </c>
      <c r="D126">
        <f t="shared" si="57"/>
        <v>45</v>
      </c>
      <c r="E126" t="s">
        <v>23</v>
      </c>
      <c r="F126">
        <f t="shared" si="59"/>
        <v>66.167058946989243</v>
      </c>
      <c r="G126">
        <f t="shared" si="58"/>
        <v>39.374163759811545</v>
      </c>
      <c r="H126">
        <f t="shared" si="60"/>
        <v>0.87609121000063372</v>
      </c>
      <c r="I126">
        <f t="shared" si="61"/>
        <v>1.5763372810233276</v>
      </c>
      <c r="J126">
        <f t="shared" si="62"/>
        <v>1145.8829967617567</v>
      </c>
      <c r="K126">
        <f t="shared" si="63"/>
        <v>0.18495874643275392</v>
      </c>
      <c r="L126" s="3">
        <v>0.375</v>
      </c>
      <c r="M126">
        <f>J126*EXP(-1*K126*I126)*(H126+(0.1)*((1+COS(RADIANS(22)))/2))</f>
        <v>832.50333095020699</v>
      </c>
      <c r="O126">
        <f t="shared" si="35"/>
        <v>832.50333095020699</v>
      </c>
    </row>
    <row r="127" spans="1:15" x14ac:dyDescent="0.25">
      <c r="C127" s="4">
        <v>2</v>
      </c>
      <c r="D127">
        <f t="shared" si="57"/>
        <v>30</v>
      </c>
      <c r="E127" t="s">
        <v>23</v>
      </c>
      <c r="F127">
        <f t="shared" si="59"/>
        <v>52.528670565135748</v>
      </c>
      <c r="G127">
        <f t="shared" si="58"/>
        <v>50.950579838250036</v>
      </c>
      <c r="H127">
        <f t="shared" si="60"/>
        <v>0.95404860090268118</v>
      </c>
      <c r="I127">
        <f t="shared" si="61"/>
        <v>1.2876594424463252</v>
      </c>
      <c r="J127">
        <f t="shared" si="62"/>
        <v>1145.8829967617567</v>
      </c>
      <c r="K127">
        <f t="shared" si="63"/>
        <v>0.18495874643275392</v>
      </c>
      <c r="L127" s="3">
        <v>0.41666666666666702</v>
      </c>
      <c r="M127">
        <f>J127*EXP(-1*K127*I127)*(H127+(0.1)*((1+COS(RADIANS(22)))/2))</f>
        <v>948.56031985166067</v>
      </c>
      <c r="O127">
        <f t="shared" si="35"/>
        <v>948.56031985166067</v>
      </c>
    </row>
    <row r="128" spans="1:15" x14ac:dyDescent="0.25">
      <c r="C128" s="4">
        <v>1</v>
      </c>
      <c r="D128">
        <f t="shared" si="57"/>
        <v>15</v>
      </c>
      <c r="E128" t="s">
        <v>23</v>
      </c>
      <c r="F128">
        <f t="shared" si="59"/>
        <v>31.171482069008491</v>
      </c>
      <c r="G128">
        <f t="shared" si="58"/>
        <v>59.997847802671366</v>
      </c>
      <c r="H128">
        <f t="shared" si="60"/>
        <v>0.967048230750853</v>
      </c>
      <c r="I128">
        <f t="shared" si="61"/>
        <v>1.1547255816900277</v>
      </c>
      <c r="J128">
        <f t="shared" si="62"/>
        <v>1145.8829967617567</v>
      </c>
      <c r="K128">
        <f t="shared" si="63"/>
        <v>0.18495874643275392</v>
      </c>
      <c r="L128" s="3">
        <v>0.45833333333333298</v>
      </c>
      <c r="M128">
        <f>J128*EXP(-1*K128*I128)*(H128+(0.1)*((1+COS(RADIANS(22)))/2))</f>
        <v>984.2033201602593</v>
      </c>
      <c r="O128">
        <f t="shared" si="35"/>
        <v>984.2033201602593</v>
      </c>
    </row>
    <row r="129" spans="1:15" x14ac:dyDescent="0.25">
      <c r="C129" s="4">
        <v>0</v>
      </c>
      <c r="D129">
        <f t="shared" si="57"/>
        <v>0</v>
      </c>
      <c r="E129" t="s">
        <v>23</v>
      </c>
      <c r="F129">
        <f t="shared" si="59"/>
        <v>0</v>
      </c>
      <c r="G129">
        <f t="shared" si="58"/>
        <v>63.701830000000015</v>
      </c>
      <c r="H129">
        <f t="shared" si="60"/>
        <v>0.91420419624711258</v>
      </c>
      <c r="I129">
        <f t="shared" si="61"/>
        <v>1.1154482448048944</v>
      </c>
      <c r="J129">
        <f t="shared" si="62"/>
        <v>1145.8829967617567</v>
      </c>
      <c r="K129">
        <f t="shared" si="63"/>
        <v>0.18495874643275392</v>
      </c>
      <c r="L129" s="3">
        <v>0.5</v>
      </c>
      <c r="M129">
        <f>J129*EXP(-1*K129*I129)*(H129+(0.1)*((1+COS(RADIANS(22)))/2))</f>
        <v>942.11455185761145</v>
      </c>
      <c r="O129">
        <f t="shared" si="35"/>
        <v>942.11455185761145</v>
      </c>
    </row>
    <row r="130" spans="1:15" x14ac:dyDescent="0.25">
      <c r="C130" s="4">
        <v>-1</v>
      </c>
      <c r="D130">
        <f t="shared" si="57"/>
        <v>-15</v>
      </c>
      <c r="E130" t="s">
        <v>23</v>
      </c>
      <c r="F130">
        <f t="shared" si="59"/>
        <v>-31.171482069008491</v>
      </c>
      <c r="G130">
        <f t="shared" si="58"/>
        <v>59.997847802671366</v>
      </c>
      <c r="H130">
        <f t="shared" si="60"/>
        <v>0.79911773101230399</v>
      </c>
      <c r="I130">
        <f t="shared" si="61"/>
        <v>1.1547255816900277</v>
      </c>
      <c r="J130">
        <f t="shared" si="62"/>
        <v>1145.8829967617567</v>
      </c>
      <c r="K130">
        <f t="shared" si="63"/>
        <v>0.18495874643275392</v>
      </c>
      <c r="L130" s="3">
        <v>0.54166666666666696</v>
      </c>
      <c r="M130">
        <f>J130*EXP(-1*K130*I130)*(H130+(0.1)*((1+COS(RADIANS(22)))/2))</f>
        <v>828.7805238268412</v>
      </c>
      <c r="O130">
        <f t="shared" si="35"/>
        <v>828.7805238268412</v>
      </c>
    </row>
    <row r="131" spans="1:15" x14ac:dyDescent="0.25">
      <c r="C131" s="4">
        <v>-2</v>
      </c>
      <c r="D131">
        <f t="shared" si="57"/>
        <v>-30</v>
      </c>
      <c r="E131" t="s">
        <v>23</v>
      </c>
      <c r="F131">
        <f t="shared" si="59"/>
        <v>-52.528670565135741</v>
      </c>
      <c r="G131">
        <f t="shared" si="58"/>
        <v>50.950579838250036</v>
      </c>
      <c r="H131">
        <f t="shared" si="60"/>
        <v>0.62963178746449289</v>
      </c>
      <c r="I131">
        <f t="shared" si="61"/>
        <v>1.2876594424463252</v>
      </c>
      <c r="J131">
        <f t="shared" si="62"/>
        <v>1145.8829967617567</v>
      </c>
      <c r="K131">
        <f t="shared" si="63"/>
        <v>0.18495874643275392</v>
      </c>
      <c r="L131" s="3">
        <v>0.58333333333333304</v>
      </c>
      <c r="M131">
        <f>J131*EXP(-1*K131*I131)*(H131+(0.1)*((1+COS(RADIANS(22)))/2))</f>
        <v>655.59894029407417</v>
      </c>
      <c r="O131">
        <f t="shared" si="35"/>
        <v>655.59894029407417</v>
      </c>
    </row>
    <row r="132" spans="1:15" x14ac:dyDescent="0.25">
      <c r="C132" s="4">
        <v>-3</v>
      </c>
      <c r="D132">
        <f t="shared" si="57"/>
        <v>-45</v>
      </c>
      <c r="E132" t="s">
        <v>23</v>
      </c>
      <c r="F132">
        <f t="shared" si="59"/>
        <v>-66.167058946989258</v>
      </c>
      <c r="G132">
        <f t="shared" si="58"/>
        <v>39.374163759811545</v>
      </c>
      <c r="H132">
        <f t="shared" si="60"/>
        <v>0.4172965525744855</v>
      </c>
      <c r="I132">
        <f t="shared" si="61"/>
        <v>1.5763372810233276</v>
      </c>
      <c r="J132">
        <f t="shared" si="62"/>
        <v>1145.8829967617567</v>
      </c>
      <c r="K132">
        <f t="shared" si="63"/>
        <v>0.18495874643275392</v>
      </c>
      <c r="L132" s="3">
        <v>0.625</v>
      </c>
      <c r="M132">
        <f>J132*EXP(-1*K132*I132)*(H132+(0.1)*((1+COS(RADIANS(22)))/2))</f>
        <v>439.73463091412054</v>
      </c>
      <c r="O132">
        <f t="shared" si="35"/>
        <v>439.73463091412054</v>
      </c>
    </row>
    <row r="133" spans="1:15" x14ac:dyDescent="0.25">
      <c r="C133" s="4">
        <v>-4</v>
      </c>
      <c r="D133">
        <f t="shared" si="57"/>
        <v>-60</v>
      </c>
      <c r="E133" t="s">
        <v>23</v>
      </c>
      <c r="F133">
        <f t="shared" si="59"/>
        <v>-75.749753460415747</v>
      </c>
      <c r="G133">
        <f t="shared" si="58"/>
        <v>26.681862857620938</v>
      </c>
      <c r="H133">
        <f t="shared" si="60"/>
        <v>0.17658232172124091</v>
      </c>
      <c r="I133">
        <f t="shared" si="61"/>
        <v>2.2269920589010086</v>
      </c>
      <c r="J133">
        <f t="shared" si="62"/>
        <v>1145.8829967617567</v>
      </c>
      <c r="K133">
        <f t="shared" si="63"/>
        <v>0.18495874643275392</v>
      </c>
      <c r="L133" s="3">
        <v>0.66666666666666696</v>
      </c>
      <c r="M133">
        <f>J133*EXP(-1*K133*I133)*(H133+(0.1)*((1+COS(RADIANS(22)))/2))</f>
        <v>207.16827711397917</v>
      </c>
      <c r="O133">
        <f t="shared" ref="O133:O184" si="64">M133 - N133</f>
        <v>207.16827711397917</v>
      </c>
    </row>
    <row r="134" spans="1:15" x14ac:dyDescent="0.25">
      <c r="C134" s="4">
        <v>-5</v>
      </c>
      <c r="D134">
        <f t="shared" si="57"/>
        <v>-75</v>
      </c>
      <c r="E134" t="s">
        <v>23</v>
      </c>
      <c r="F134">
        <f t="shared" si="59"/>
        <v>-83.366605723639125</v>
      </c>
      <c r="G134">
        <f t="shared" si="58"/>
        <v>13.485330076183043</v>
      </c>
      <c r="H134">
        <f t="shared" si="60"/>
        <v>-7.610662795345316E-2</v>
      </c>
      <c r="I134">
        <f t="shared" si="61"/>
        <v>4.2882310099271654</v>
      </c>
      <c r="J134">
        <f t="shared" si="62"/>
        <v>1145.8829967617567</v>
      </c>
      <c r="K134">
        <f t="shared" si="63"/>
        <v>0.18495874643275392</v>
      </c>
      <c r="L134" s="3">
        <v>0.70833333333333304</v>
      </c>
      <c r="M134">
        <f>J134*EXP(-1*K134*I134)*(H134+(0.1)*((1+COS(RADIANS(22)))/2))</f>
        <v>10.499326634777971</v>
      </c>
      <c r="O134">
        <f t="shared" si="64"/>
        <v>10.499326634777971</v>
      </c>
    </row>
    <row r="135" spans="1:15" x14ac:dyDescent="0.25">
      <c r="C135" s="4">
        <v>-6</v>
      </c>
      <c r="D135">
        <f t="shared" si="57"/>
        <v>-90</v>
      </c>
      <c r="E135" t="s">
        <v>22</v>
      </c>
      <c r="F135">
        <f>-180 - DEGREES(ASIN((COS(RADIANS(-0.201834))*SIN(RADIANS(D135)))/COS(RADIANS(G135))))</f>
        <v>-90.180629220537284</v>
      </c>
      <c r="G135">
        <f t="shared" si="58"/>
        <v>9.0055955453674522E-2</v>
      </c>
      <c r="H135">
        <f t="shared" si="60"/>
        <v>-0.3235499774636949</v>
      </c>
      <c r="I135">
        <f t="shared" si="61"/>
        <v>636.22447639028974</v>
      </c>
      <c r="J135">
        <f t="shared" si="62"/>
        <v>1145.8829967617567</v>
      </c>
      <c r="K135">
        <f t="shared" si="63"/>
        <v>0.18495874643275392</v>
      </c>
      <c r="L135" s="3">
        <v>0.75</v>
      </c>
      <c r="M135">
        <v>0</v>
      </c>
      <c r="O135">
        <f t="shared" si="64"/>
        <v>0</v>
      </c>
    </row>
    <row r="136" spans="1:15" x14ac:dyDescent="0.25">
      <c r="C136">
        <f>-C122</f>
        <v>-6.0067086669999998</v>
      </c>
      <c r="D136">
        <f t="shared" si="57"/>
        <v>-90.100630004999999</v>
      </c>
      <c r="E136" t="s">
        <v>22</v>
      </c>
      <c r="F136">
        <f>-180 - DEGREES(ASIN((COS(RADIANS(-0.201834))*SIN(RADIANS(D136)))/COS(RADIANS(G136))))</f>
        <v>-90.225528977240288</v>
      </c>
      <c r="G136">
        <f t="shared" si="58"/>
        <v>-7.2586382500907127E-7</v>
      </c>
      <c r="L136" s="3">
        <f>Sheet1!G11</f>
        <v>0.75027953118521828</v>
      </c>
      <c r="M136">
        <v>0</v>
      </c>
      <c r="O136">
        <f t="shared" si="64"/>
        <v>0</v>
      </c>
    </row>
    <row r="137" spans="1:15" x14ac:dyDescent="0.25">
      <c r="O137" s="1">
        <f>SUM(O122:O136)</f>
        <v>6818.2360623268069</v>
      </c>
    </row>
    <row r="138" spans="1:15" x14ac:dyDescent="0.25">
      <c r="A138" t="s">
        <v>33</v>
      </c>
      <c r="B138">
        <v>-11.754120525303437</v>
      </c>
      <c r="C138">
        <v>6.3969813330000003</v>
      </c>
      <c r="D138">
        <v>95.954723280351374</v>
      </c>
      <c r="E138" t="s">
        <v>22</v>
      </c>
      <c r="F138">
        <f>180 - DEGREES(ASIN((COS(RADIANS(-11.7541205253034))*SIN(RADIANS(D138)))/COS(RADIANS(G138))))</f>
        <v>103.15746503161658</v>
      </c>
      <c r="G138">
        <f>DEGREES(ASIN(COS(RADIANS(-26.5))*COS(RADIANS(-11.7541205253034))*COS(RADIANS(D138))+SIN(RADIANS(-26.5))*SIN(RADIANS(-11.7541205253034))))</f>
        <v>-1.2722218725854067E-14</v>
      </c>
      <c r="L138" s="3">
        <f>Sheet1!F12</f>
        <v>0.23345910199902398</v>
      </c>
      <c r="M138">
        <v>0</v>
      </c>
      <c r="O138">
        <f t="shared" si="64"/>
        <v>0</v>
      </c>
    </row>
    <row r="139" spans="1:15" x14ac:dyDescent="0.25">
      <c r="C139" s="4">
        <v>6</v>
      </c>
      <c r="D139">
        <f t="shared" si="57"/>
        <v>90</v>
      </c>
      <c r="E139" t="s">
        <v>22</v>
      </c>
      <c r="F139">
        <f t="shared" ref="F139:F140" si="65">180 - DEGREES(ASIN((COS(RADIANS(-11.7541205253034))*SIN(RADIANS(D139)))/COS(RADIANS(G139))))</f>
        <v>100.54844555199035</v>
      </c>
      <c r="G139">
        <f t="shared" ref="G139:G152" si="66">DEGREES(ASIN(COS(RADIANS(-26.5))*COS(RADIANS(-11.7541205253034))*COS(RADIANS(D139))+SIN(RADIANS(-26.5))*SIN(RADIANS(-11.7541205253034))))</f>
        <v>5.2151508220219815</v>
      </c>
      <c r="H139">
        <f t="shared" ref="H139:H151" si="67">COS(RADIANS(G139))*COS(RADIANS(F139-60))*SIN(RADIANS(22))+SIN(RADIANS(G139))*COS(RADIANS(22))</f>
        <v>0.36774618197794406</v>
      </c>
      <c r="I139">
        <f t="shared" ref="I139:I151" si="68" xml:space="preserve"> 1/SIN(RADIANS(G139))</f>
        <v>11.001593855360147</v>
      </c>
      <c r="J139">
        <f>1160+75*SIN(RADIANS((360/365)*(294-275)))</f>
        <v>1184.0952246269273</v>
      </c>
      <c r="K139">
        <f>0.174+0.035*SIN(RADIANS((360/365)*(294-100)))</f>
        <v>0.16711644885722482</v>
      </c>
      <c r="L139" s="3">
        <v>0.25</v>
      </c>
      <c r="M139">
        <f>J139*EXP(-1*K139*I139)*(H139+(0.1)*((1+COS(RADIANS(22)))/2))</f>
        <v>87.404195912264953</v>
      </c>
      <c r="O139">
        <f t="shared" si="64"/>
        <v>87.404195912264953</v>
      </c>
    </row>
    <row r="140" spans="1:15" x14ac:dyDescent="0.25">
      <c r="C140" s="4">
        <v>5</v>
      </c>
      <c r="D140">
        <f t="shared" si="57"/>
        <v>75</v>
      </c>
      <c r="E140" t="s">
        <v>22</v>
      </c>
      <c r="F140">
        <f t="shared" si="65"/>
        <v>94.187970585917512</v>
      </c>
      <c r="G140">
        <f t="shared" si="66"/>
        <v>18.521770794448173</v>
      </c>
      <c r="H140">
        <f t="shared" si="67"/>
        <v>0.58835732924643402</v>
      </c>
      <c r="I140">
        <f t="shared" si="68"/>
        <v>3.1479706437285997</v>
      </c>
      <c r="J140">
        <f t="shared" ref="J140:J151" si="69">1160+75*SIN(RADIANS((360/365)*(294-275)))</f>
        <v>1184.0952246269273</v>
      </c>
      <c r="K140">
        <f t="shared" ref="K140:K151" si="70">0.174+0.035*SIN(RADIANS((360/365)*(294-100)))</f>
        <v>0.16711644885722482</v>
      </c>
      <c r="L140" s="3">
        <v>0.29166666666666702</v>
      </c>
      <c r="M140">
        <f>J140*EXP(-1*K140*I140)*(H140+(0.1)*((1+COS(RADIANS(22)))/2))</f>
        <v>479.09849396697325</v>
      </c>
      <c r="O140">
        <f t="shared" si="64"/>
        <v>479.09849396697325</v>
      </c>
    </row>
    <row r="141" spans="1:15" x14ac:dyDescent="0.25">
      <c r="C141" s="4">
        <v>4</v>
      </c>
      <c r="D141">
        <f t="shared" si="57"/>
        <v>60</v>
      </c>
      <c r="E141" t="s">
        <v>23</v>
      </c>
      <c r="F141">
        <f t="shared" ref="F141:F149" si="71">DEGREES(ASIN((COS(RADIANS(-11.7541205253034))*SIN(RADIANS(D141)))/COS(RADIANS(G141))))</f>
        <v>87.561172405906547</v>
      </c>
      <c r="G141">
        <f t="shared" si="66"/>
        <v>31.936569049791913</v>
      </c>
      <c r="H141">
        <f t="shared" si="67"/>
        <v>0.7722891837726289</v>
      </c>
      <c r="I141">
        <f t="shared" si="68"/>
        <v>1.8904303416709296</v>
      </c>
      <c r="J141">
        <f t="shared" si="69"/>
        <v>1184.0952246269273</v>
      </c>
      <c r="K141">
        <f t="shared" si="70"/>
        <v>0.16711644885722482</v>
      </c>
      <c r="L141" s="3">
        <v>0.33333333333333298</v>
      </c>
      <c r="M141">
        <f>J141*EXP(-1*K141*I141)*(H141+(0.1)*((1+COS(RADIANS(22)))/2))</f>
        <v>749.94162282538673</v>
      </c>
      <c r="O141">
        <f t="shared" si="64"/>
        <v>749.94162282538673</v>
      </c>
    </row>
    <row r="142" spans="1:15" x14ac:dyDescent="0.25">
      <c r="C142" s="4">
        <v>3</v>
      </c>
      <c r="D142">
        <f t="shared" si="57"/>
        <v>45</v>
      </c>
      <c r="E142" t="s">
        <v>23</v>
      </c>
      <c r="F142">
        <f t="shared" si="71"/>
        <v>79.637837866878087</v>
      </c>
      <c r="G142">
        <f t="shared" si="66"/>
        <v>45.270765731388835</v>
      </c>
      <c r="H142">
        <f t="shared" si="67"/>
        <v>0.90700709363233056</v>
      </c>
      <c r="I142">
        <f t="shared" si="68"/>
        <v>1.4075774406012265</v>
      </c>
      <c r="J142">
        <f t="shared" si="69"/>
        <v>1184.0952246269273</v>
      </c>
      <c r="K142">
        <f t="shared" si="70"/>
        <v>0.16711644885722482</v>
      </c>
      <c r="L142" s="3">
        <v>0.375</v>
      </c>
      <c r="M142">
        <f>J142*EXP(-1*K142*I142)*(H142+(0.1)*((1+COS(RADIANS(22)))/2))</f>
        <v>939.04699713468074</v>
      </c>
      <c r="O142">
        <f t="shared" si="64"/>
        <v>939.04699713468074</v>
      </c>
    </row>
    <row r="143" spans="1:15" x14ac:dyDescent="0.25">
      <c r="C143" s="4">
        <v>2</v>
      </c>
      <c r="D143">
        <f t="shared" si="57"/>
        <v>30</v>
      </c>
      <c r="E143" t="s">
        <v>23</v>
      </c>
      <c r="F143">
        <f t="shared" si="71"/>
        <v>68.178354125972859</v>
      </c>
      <c r="G143">
        <f t="shared" si="66"/>
        <v>58.176875905335095</v>
      </c>
      <c r="H143">
        <f t="shared" si="67"/>
        <v>0.98333025590047274</v>
      </c>
      <c r="I143">
        <f t="shared" si="68"/>
        <v>1.1769137324654499</v>
      </c>
      <c r="J143">
        <f t="shared" si="69"/>
        <v>1184.0952246269273</v>
      </c>
      <c r="K143">
        <f t="shared" si="70"/>
        <v>0.16711644885722482</v>
      </c>
      <c r="L143" s="3">
        <v>0.41666666666666702</v>
      </c>
      <c r="M143">
        <f>J143*EXP(-1*K143*I143)*(H143+(0.1)*((1+COS(RADIANS(22)))/2))</f>
        <v>1050.1896512236158</v>
      </c>
      <c r="O143">
        <f t="shared" si="64"/>
        <v>1050.1896512236158</v>
      </c>
    </row>
    <row r="144" spans="1:15" x14ac:dyDescent="0.25">
      <c r="C144" s="4">
        <v>1</v>
      </c>
      <c r="D144">
        <f t="shared" si="57"/>
        <v>15</v>
      </c>
      <c r="E144" t="s">
        <v>23</v>
      </c>
      <c r="F144">
        <f t="shared" si="71"/>
        <v>46.596818383456231</v>
      </c>
      <c r="G144">
        <f t="shared" si="66"/>
        <v>69.58809374407852</v>
      </c>
      <c r="H144">
        <f t="shared" si="67"/>
        <v>0.99605737319847065</v>
      </c>
      <c r="I144">
        <f t="shared" si="68"/>
        <v>1.0669972539305093</v>
      </c>
      <c r="J144">
        <f t="shared" si="69"/>
        <v>1184.0952246269273</v>
      </c>
      <c r="K144">
        <f t="shared" si="70"/>
        <v>0.16711644885722482</v>
      </c>
      <c r="L144" s="3">
        <v>0.45833333333333298</v>
      </c>
      <c r="M144">
        <f>J144*EXP(-1*K144*I144)*(H144+(0.1)*((1+COS(RADIANS(22)))/2))</f>
        <v>1082.2675707808885</v>
      </c>
      <c r="O144">
        <f t="shared" si="64"/>
        <v>1082.2675707808885</v>
      </c>
    </row>
    <row r="145" spans="1:15" x14ac:dyDescent="0.25">
      <c r="C145" s="4">
        <v>0</v>
      </c>
      <c r="D145">
        <f t="shared" si="57"/>
        <v>0</v>
      </c>
      <c r="E145" t="s">
        <v>23</v>
      </c>
      <c r="F145">
        <f t="shared" si="71"/>
        <v>0</v>
      </c>
      <c r="G145">
        <f t="shared" si="66"/>
        <v>75.254120525303392</v>
      </c>
      <c r="H145">
        <f t="shared" si="67"/>
        <v>0.94432111351502157</v>
      </c>
      <c r="I145">
        <f t="shared" si="68"/>
        <v>1.0340574616048428</v>
      </c>
      <c r="J145">
        <f t="shared" si="69"/>
        <v>1184.0952246269273</v>
      </c>
      <c r="K145">
        <f t="shared" si="70"/>
        <v>0.16711644885722482</v>
      </c>
      <c r="L145" s="3">
        <v>0.5</v>
      </c>
      <c r="M145">
        <f>J145*EXP(-1*K145*I145)*(H145+(0.1)*((1+COS(RADIANS(22)))/2))</f>
        <v>1036.703107101863</v>
      </c>
      <c r="O145">
        <f t="shared" si="64"/>
        <v>1036.703107101863</v>
      </c>
    </row>
    <row r="146" spans="1:15" x14ac:dyDescent="0.25">
      <c r="C146" s="4">
        <v>-1</v>
      </c>
      <c r="D146">
        <f t="shared" si="57"/>
        <v>-15</v>
      </c>
      <c r="E146" t="s">
        <v>23</v>
      </c>
      <c r="F146">
        <f t="shared" si="71"/>
        <v>-46.596818383456245</v>
      </c>
      <c r="G146">
        <f t="shared" si="66"/>
        <v>69.58809374407852</v>
      </c>
      <c r="H146">
        <f t="shared" si="67"/>
        <v>0.83164721744934089</v>
      </c>
      <c r="I146">
        <f t="shared" si="68"/>
        <v>1.0669972539305093</v>
      </c>
      <c r="J146">
        <f t="shared" si="69"/>
        <v>1184.0952246269273</v>
      </c>
      <c r="K146">
        <f t="shared" si="70"/>
        <v>0.16711644885722482</v>
      </c>
      <c r="L146" s="3">
        <v>0.54166666666666696</v>
      </c>
      <c r="M146">
        <f>J146*EXP(-1*K146*I146)*(H146+(0.1)*((1+COS(RADIANS(22)))/2))</f>
        <v>919.38485238915769</v>
      </c>
      <c r="O146">
        <f t="shared" si="64"/>
        <v>919.38485238915769</v>
      </c>
    </row>
    <row r="147" spans="1:15" x14ac:dyDescent="0.25">
      <c r="C147" s="4">
        <v>-2</v>
      </c>
      <c r="D147">
        <f t="shared" si="57"/>
        <v>-30</v>
      </c>
      <c r="E147" t="s">
        <v>23</v>
      </c>
      <c r="F147">
        <f t="shared" si="71"/>
        <v>-68.178354125972874</v>
      </c>
      <c r="G147">
        <f t="shared" si="66"/>
        <v>58.176875905335095</v>
      </c>
      <c r="H147">
        <f t="shared" si="67"/>
        <v>0.6657142248158876</v>
      </c>
      <c r="I147">
        <f t="shared" si="68"/>
        <v>1.1769137324654499</v>
      </c>
      <c r="J147">
        <f t="shared" si="69"/>
        <v>1184.0952246269273</v>
      </c>
      <c r="K147">
        <f t="shared" si="70"/>
        <v>0.16711644885722482</v>
      </c>
      <c r="L147" s="3">
        <v>0.58333333333333304</v>
      </c>
      <c r="M147">
        <f>J147*EXP(-1*K147*I147)*(H147+(0.1)*((1+COS(RADIANS(22)))/2))</f>
        <v>741.25167898413383</v>
      </c>
      <c r="O147">
        <f t="shared" si="64"/>
        <v>741.25167898413383</v>
      </c>
    </row>
    <row r="148" spans="1:15" x14ac:dyDescent="0.25">
      <c r="C148" s="4">
        <v>-3</v>
      </c>
      <c r="D148">
        <f t="shared" si="57"/>
        <v>-45</v>
      </c>
      <c r="E148" t="s">
        <v>23</v>
      </c>
      <c r="F148">
        <f t="shared" si="71"/>
        <v>-79.637837866878044</v>
      </c>
      <c r="G148">
        <f t="shared" si="66"/>
        <v>45.270765731388835</v>
      </c>
      <c r="H148">
        <f t="shared" si="67"/>
        <v>0.457830194845396</v>
      </c>
      <c r="I148">
        <f t="shared" si="68"/>
        <v>1.4075774406012265</v>
      </c>
      <c r="J148">
        <f t="shared" si="69"/>
        <v>1184.0952246269273</v>
      </c>
      <c r="K148">
        <f t="shared" si="70"/>
        <v>0.16711644885722482</v>
      </c>
      <c r="L148" s="3">
        <v>0.625</v>
      </c>
      <c r="M148">
        <f>J148*EXP(-1*K148*I148)*(H148+(0.1)*((1+COS(RADIANS(22)))/2))</f>
        <v>518.66390900237741</v>
      </c>
      <c r="O148">
        <f t="shared" si="64"/>
        <v>518.66390900237741</v>
      </c>
    </row>
    <row r="149" spans="1:15" x14ac:dyDescent="0.25">
      <c r="C149" s="4">
        <v>-4</v>
      </c>
      <c r="D149">
        <f t="shared" si="57"/>
        <v>-60</v>
      </c>
      <c r="E149" t="s">
        <v>23</v>
      </c>
      <c r="F149">
        <f t="shared" si="71"/>
        <v>-87.561172405906547</v>
      </c>
      <c r="G149">
        <f t="shared" si="66"/>
        <v>31.936569049791913</v>
      </c>
      <c r="H149">
        <f t="shared" si="67"/>
        <v>0.22216208063575177</v>
      </c>
      <c r="I149">
        <f t="shared" si="68"/>
        <v>1.8904303416709296</v>
      </c>
      <c r="J149">
        <f t="shared" si="69"/>
        <v>1184.0952246269273</v>
      </c>
      <c r="K149">
        <f t="shared" si="70"/>
        <v>0.16711644885722482</v>
      </c>
      <c r="L149" s="3">
        <v>0.66666666666666696</v>
      </c>
      <c r="M149">
        <f>J149*EXP(-1*K149*I149)*(H149+(0.1)*((1+COS(RADIANS(22)))/2))</f>
        <v>274.99315846681822</v>
      </c>
      <c r="O149">
        <f t="shared" si="64"/>
        <v>274.99315846681822</v>
      </c>
    </row>
    <row r="150" spans="1:15" x14ac:dyDescent="0.25">
      <c r="C150" s="4">
        <v>-5</v>
      </c>
      <c r="D150">
        <f t="shared" si="57"/>
        <v>-75</v>
      </c>
      <c r="E150" t="s">
        <v>22</v>
      </c>
      <c r="F150">
        <f>-180 - DEGREES(ASIN((COS(RADIANS(-11.7541205253034))*SIN(RADIANS(D150)))/COS(RADIANS(G150))))</f>
        <v>-94.187970585917512</v>
      </c>
      <c r="G150">
        <f t="shared" si="66"/>
        <v>18.521770794448173</v>
      </c>
      <c r="H150">
        <f t="shared" si="67"/>
        <v>-2.5229725289630522E-2</v>
      </c>
      <c r="I150">
        <f t="shared" si="68"/>
        <v>3.1479706437285997</v>
      </c>
      <c r="J150">
        <f t="shared" si="69"/>
        <v>1184.0952246269273</v>
      </c>
      <c r="K150">
        <f t="shared" si="70"/>
        <v>0.16711644885722482</v>
      </c>
      <c r="L150" s="3">
        <v>0.70833333333333304</v>
      </c>
      <c r="M150">
        <f>J150*EXP(-1*K150*I150)*(H150+(0.1)*((1+COS(RADIANS(22)))/2))</f>
        <v>49.769531817743676</v>
      </c>
      <c r="O150">
        <f t="shared" si="64"/>
        <v>49.769531817743676</v>
      </c>
    </row>
    <row r="151" spans="1:15" x14ac:dyDescent="0.25">
      <c r="C151" s="4">
        <v>-6</v>
      </c>
      <c r="D151">
        <f t="shared" si="57"/>
        <v>-90</v>
      </c>
      <c r="E151" t="s">
        <v>22</v>
      </c>
      <c r="F151">
        <f t="shared" ref="F151:F152" si="72">-180 - DEGREES(ASIN((COS(RADIANS(-11.7541205253034))*SIN(RADIANS(D151)))/COS(RADIANS(G151))))</f>
        <v>-100.54844555199035</v>
      </c>
      <c r="G151">
        <f t="shared" si="66"/>
        <v>5.2151508220219815</v>
      </c>
      <c r="H151">
        <f t="shared" si="67"/>
        <v>-0.26748588019122616</v>
      </c>
      <c r="I151">
        <f t="shared" si="68"/>
        <v>11.001593855360147</v>
      </c>
      <c r="J151">
        <f t="shared" si="69"/>
        <v>1184.0952246269273</v>
      </c>
      <c r="K151">
        <f t="shared" si="70"/>
        <v>0.16711644885722482</v>
      </c>
      <c r="L151" s="3">
        <v>0.75</v>
      </c>
      <c r="M151">
        <v>0</v>
      </c>
      <c r="O151">
        <f t="shared" si="64"/>
        <v>0</v>
      </c>
    </row>
    <row r="152" spans="1:15" x14ac:dyDescent="0.25">
      <c r="C152">
        <f>-C138</f>
        <v>-6.3969813330000003</v>
      </c>
      <c r="D152">
        <f t="shared" si="57"/>
        <v>-95.954719995000005</v>
      </c>
      <c r="E152" t="s">
        <v>22</v>
      </c>
      <c r="F152">
        <f t="shared" si="72"/>
        <v>-103.15746356569997</v>
      </c>
      <c r="G152">
        <f t="shared" si="66"/>
        <v>2.8629888485784364E-6</v>
      </c>
      <c r="L152" s="3">
        <f>Sheet1!G12</f>
        <v>0.76654089800097613</v>
      </c>
      <c r="M152">
        <v>0</v>
      </c>
      <c r="O152">
        <f t="shared" si="64"/>
        <v>0</v>
      </c>
    </row>
    <row r="153" spans="1:15" x14ac:dyDescent="0.25">
      <c r="O153" s="1">
        <f>SUM(O138:O152)</f>
        <v>7928.7147696059037</v>
      </c>
    </row>
    <row r="154" spans="1:15" x14ac:dyDescent="0.25">
      <c r="A154" t="s">
        <v>34</v>
      </c>
      <c r="B154">
        <v>-20.441513173733593</v>
      </c>
      <c r="C154">
        <v>6.7139800000000003</v>
      </c>
      <c r="D154">
        <v>100.70965267294574</v>
      </c>
      <c r="E154" t="s">
        <v>22</v>
      </c>
      <c r="F154">
        <f>180-DEGREES(ASIN((COS(RADIANS(-20.4415131737336))*SIN(RADIANS(D154)))/COS(RADIANS(G154))))</f>
        <v>112.97025913192432</v>
      </c>
      <c r="G154">
        <f>DEGREES(ASIN(COS(RADIANS(-26.5))*COS(RADIANS(-20.4415131737336))*COS(RADIANS(D154))+SIN(RADIANS(-26.5))*SIN(RADIANS(-20.4415131737336))))</f>
        <v>1.1131941385122309E-14</v>
      </c>
      <c r="L154" s="3">
        <f>Sheet1!F13</f>
        <v>0.22025096479737294</v>
      </c>
      <c r="M154">
        <v>0</v>
      </c>
      <c r="O154">
        <f t="shared" si="64"/>
        <v>0</v>
      </c>
    </row>
    <row r="155" spans="1:15" x14ac:dyDescent="0.25">
      <c r="C155" s="4">
        <v>6</v>
      </c>
      <c r="D155">
        <f t="shared" ref="D155:D168" si="73">C155*15</f>
        <v>90</v>
      </c>
      <c r="E155" t="s">
        <v>22</v>
      </c>
      <c r="F155">
        <f t="shared" ref="F155:F158" si="74">180-DEGREES(ASIN((COS(RADIANS(-20.4415131737336))*SIN(RADIANS(D155)))/COS(RADIANS(G155))))</f>
        <v>108.44670868418775</v>
      </c>
      <c r="G155">
        <f t="shared" ref="G155:G168" si="75">DEGREES(ASIN(COS(RADIANS(-26.5))*COS(RADIANS(-20.4415131737336))*COS(RADIANS(D155))+SIN(RADIANS(-26.5))*SIN(RADIANS(-20.4415131737336))))</f>
        <v>8.9652300330178676</v>
      </c>
      <c r="H155">
        <f>COS(RADIANS(G155))*COS(RADIANS(F155-60))*SIN(RADIANS(22))+SIN(RADIANS(G155))*COS(RADIANS(22))</f>
        <v>0.38993474508959014</v>
      </c>
      <c r="I155">
        <f xml:space="preserve"> 1/SIN(RADIANS(G155))</f>
        <v>6.4170413124519232</v>
      </c>
      <c r="J155">
        <f>1160+75*SIN(RADIANS((360/365)*(325-275)))</f>
        <v>1216.8729356358922</v>
      </c>
      <c r="K155">
        <f>0.174+0.035*SIN(RADIANS((360/365)*(325-100)))</f>
        <v>0.15061776475252633</v>
      </c>
      <c r="L155" s="3">
        <v>0.25</v>
      </c>
      <c r="M155">
        <f>J155*EXP(-1*K155*I155)*(H155+(0.1)*((1+COS(RADIANS(22)))/2))</f>
        <v>225.10731257743936</v>
      </c>
      <c r="O155">
        <f t="shared" si="64"/>
        <v>225.10731257743936</v>
      </c>
    </row>
    <row r="156" spans="1:15" x14ac:dyDescent="0.25">
      <c r="C156" s="4">
        <v>5</v>
      </c>
      <c r="D156">
        <f t="shared" si="73"/>
        <v>75</v>
      </c>
      <c r="E156" t="s">
        <v>22</v>
      </c>
      <c r="F156">
        <f t="shared" si="74"/>
        <v>102.72235926464697</v>
      </c>
      <c r="G156">
        <f t="shared" si="75"/>
        <v>21.893062375090555</v>
      </c>
      <c r="H156">
        <f t="shared" ref="H156:H167" si="76">COS(RADIANS(G156))*COS(RADIANS(F156-60))*SIN(RADIANS(22))+SIN(RADIANS(G156))*COS(RADIANS(22))</f>
        <v>0.60108140063521431</v>
      </c>
      <c r="I156">
        <f t="shared" ref="I156:I167" si="77" xml:space="preserve"> 1/SIN(RADIANS(G156))</f>
        <v>2.6818607785974011</v>
      </c>
      <c r="J156">
        <f t="shared" ref="J156:J167" si="78">1160+75*SIN(RADIANS((360/365)*(325-275)))</f>
        <v>1216.8729356358922</v>
      </c>
      <c r="K156">
        <f t="shared" ref="K156:K167" si="79">0.174+0.035*SIN(RADIANS((360/365)*(325-100)))</f>
        <v>0.15061776475252633</v>
      </c>
      <c r="L156" s="3">
        <v>0.29166666666666702</v>
      </c>
      <c r="M156">
        <f>J156*EXP(-1*K156*I156)*(H156+(0.1)*((1+COS(RADIANS(22)))/2))</f>
        <v>566.66361955694094</v>
      </c>
      <c r="O156">
        <f t="shared" si="64"/>
        <v>566.66361955694094</v>
      </c>
    </row>
    <row r="157" spans="1:15" x14ac:dyDescent="0.25">
      <c r="C157" s="4">
        <v>4</v>
      </c>
      <c r="D157">
        <f t="shared" si="73"/>
        <v>60</v>
      </c>
      <c r="E157" t="s">
        <v>22</v>
      </c>
      <c r="F157">
        <f t="shared" si="74"/>
        <v>97.268889615272556</v>
      </c>
      <c r="G157">
        <f t="shared" si="75"/>
        <v>35.108377143711699</v>
      </c>
      <c r="H157">
        <f t="shared" si="76"/>
        <v>0.77712235057073709</v>
      </c>
      <c r="I157">
        <f t="shared" si="77"/>
        <v>1.7387528486172041</v>
      </c>
      <c r="J157">
        <f t="shared" si="78"/>
        <v>1216.8729356358922</v>
      </c>
      <c r="K157">
        <f t="shared" si="79"/>
        <v>0.15061776475252633</v>
      </c>
      <c r="L157" s="3">
        <v>0.33333333333333298</v>
      </c>
      <c r="M157">
        <f>J157*EXP(-1*K157*I157)*(H157+(0.1)*((1+COS(RADIANS(22)))/2))</f>
        <v>818.01799319863449</v>
      </c>
      <c r="O157">
        <f t="shared" si="64"/>
        <v>818.01799319863449</v>
      </c>
    </row>
    <row r="158" spans="1:15" x14ac:dyDescent="0.25">
      <c r="C158" s="4">
        <v>3</v>
      </c>
      <c r="D158">
        <f t="shared" si="73"/>
        <v>45</v>
      </c>
      <c r="E158" t="s">
        <v>22</v>
      </c>
      <c r="F158">
        <f t="shared" si="74"/>
        <v>91.462400421766418</v>
      </c>
      <c r="G158">
        <f t="shared" si="75"/>
        <v>48.486570738100092</v>
      </c>
      <c r="H158">
        <f t="shared" si="76"/>
        <v>0.90606069507947706</v>
      </c>
      <c r="I158">
        <f t="shared" si="77"/>
        <v>1.3354693861205327</v>
      </c>
      <c r="J158">
        <f t="shared" si="78"/>
        <v>1216.8729356358922</v>
      </c>
      <c r="K158">
        <f t="shared" si="79"/>
        <v>0.15061776475252633</v>
      </c>
      <c r="L158" s="3">
        <v>0.375</v>
      </c>
      <c r="M158">
        <f>J158*EXP(-1*K158*I158)*(H158+(0.1)*((1+COS(RADIANS(22)))/2))</f>
        <v>997.55893571203785</v>
      </c>
      <c r="O158">
        <f t="shared" si="64"/>
        <v>997.55893571203785</v>
      </c>
    </row>
    <row r="159" spans="1:15" x14ac:dyDescent="0.25">
      <c r="C159" s="4">
        <v>2</v>
      </c>
      <c r="D159">
        <f t="shared" si="73"/>
        <v>30</v>
      </c>
      <c r="E159" t="s">
        <v>23</v>
      </c>
      <c r="F159">
        <f t="shared" ref="F159:F163" si="80">DEGREES(ASIN((COS(RADIANS(-20.4415131737336))*SIN(RADIANS(D159)))/COS(RADIANS(G159))))</f>
        <v>83.965419930467888</v>
      </c>
      <c r="G159">
        <f t="shared" si="75"/>
        <v>61.892634616801843</v>
      </c>
      <c r="H159">
        <f t="shared" si="76"/>
        <v>0.97910949906385258</v>
      </c>
      <c r="I159">
        <f t="shared" si="77"/>
        <v>1.1337016147096046</v>
      </c>
      <c r="J159">
        <f t="shared" si="78"/>
        <v>1216.8729356358922</v>
      </c>
      <c r="K159">
        <f t="shared" si="79"/>
        <v>0.15061776475252633</v>
      </c>
      <c r="L159" s="3">
        <v>0.41666666666666702</v>
      </c>
      <c r="M159">
        <f>J159*EXP(-1*K159*I159)*(H159+(0.1)*((1+COS(RADIANS(22)))/2))</f>
        <v>1103.2775676402316</v>
      </c>
      <c r="O159">
        <f t="shared" si="64"/>
        <v>1103.2775676402316</v>
      </c>
    </row>
    <row r="160" spans="1:15" x14ac:dyDescent="0.25">
      <c r="C160" s="4">
        <v>1</v>
      </c>
      <c r="D160">
        <f t="shared" si="73"/>
        <v>15</v>
      </c>
      <c r="E160" t="s">
        <v>23</v>
      </c>
      <c r="F160">
        <f t="shared" si="80"/>
        <v>69.371122381585764</v>
      </c>
      <c r="G160">
        <f t="shared" si="75"/>
        <v>74.981181908432646</v>
      </c>
      <c r="H160">
        <f t="shared" si="76"/>
        <v>0.99129060725118545</v>
      </c>
      <c r="I160">
        <f t="shared" si="77"/>
        <v>1.0353673533465118</v>
      </c>
      <c r="J160">
        <f t="shared" si="78"/>
        <v>1216.8729356358922</v>
      </c>
      <c r="K160">
        <f t="shared" si="79"/>
        <v>0.15061776475252633</v>
      </c>
      <c r="L160" s="3">
        <v>0.45833333333333298</v>
      </c>
      <c r="M160">
        <f>J160*EXP(-1*K160*I160)*(H160+(0.1)*((1+COS(RADIANS(22)))/2))</f>
        <v>1132.422231023261</v>
      </c>
      <c r="O160">
        <f t="shared" si="64"/>
        <v>1132.422231023261</v>
      </c>
    </row>
    <row r="161" spans="1:15" x14ac:dyDescent="0.25">
      <c r="C161" s="4">
        <v>0</v>
      </c>
      <c r="D161">
        <f t="shared" si="73"/>
        <v>0</v>
      </c>
      <c r="E161" t="s">
        <v>23</v>
      </c>
      <c r="F161">
        <f t="shared" si="80"/>
        <v>0</v>
      </c>
      <c r="G161">
        <f t="shared" si="75"/>
        <v>83.941513173733611</v>
      </c>
      <c r="H161">
        <f t="shared" si="76"/>
        <v>0.94177389724874183</v>
      </c>
      <c r="I161">
        <f t="shared" si="77"/>
        <v>1.0056166951942804</v>
      </c>
      <c r="J161">
        <f t="shared" si="78"/>
        <v>1216.8729356358922</v>
      </c>
      <c r="K161">
        <f t="shared" si="79"/>
        <v>0.15061776475252633</v>
      </c>
      <c r="L161" s="3">
        <v>0.5</v>
      </c>
      <c r="M161">
        <f>J161*EXP(-1*K161*I161)*(H161+(0.1)*((1+COS(RADIANS(22)))/2))</f>
        <v>1085.7214056995074</v>
      </c>
      <c r="O161">
        <f t="shared" si="64"/>
        <v>1085.7214056995074</v>
      </c>
    </row>
    <row r="162" spans="1:15" x14ac:dyDescent="0.25">
      <c r="C162" s="4">
        <v>-1</v>
      </c>
      <c r="D162">
        <f t="shared" si="73"/>
        <v>-15</v>
      </c>
      <c r="E162" t="s">
        <v>23</v>
      </c>
      <c r="F162">
        <f t="shared" si="80"/>
        <v>-69.371122381585764</v>
      </c>
      <c r="G162">
        <f t="shared" si="75"/>
        <v>74.981181908432646</v>
      </c>
      <c r="H162">
        <f t="shared" si="76"/>
        <v>0.83393385101295592</v>
      </c>
      <c r="I162">
        <f t="shared" si="77"/>
        <v>1.0353673533465118</v>
      </c>
      <c r="J162">
        <f t="shared" si="78"/>
        <v>1216.8729356358922</v>
      </c>
      <c r="K162">
        <f t="shared" si="79"/>
        <v>0.15061776475252633</v>
      </c>
      <c r="L162" s="3">
        <v>0.54166666666666696</v>
      </c>
      <c r="M162">
        <f>J162*EXP(-1*K162*I162)*(H162+(0.1)*((1+COS(RADIANS(22)))/2))</f>
        <v>968.58798127740181</v>
      </c>
      <c r="O162">
        <f t="shared" si="64"/>
        <v>968.58798127740181</v>
      </c>
    </row>
    <row r="163" spans="1:15" x14ac:dyDescent="0.25">
      <c r="C163" s="4">
        <v>-2</v>
      </c>
      <c r="D163">
        <f t="shared" si="73"/>
        <v>-30</v>
      </c>
      <c r="E163" t="s">
        <v>23</v>
      </c>
      <c r="F163">
        <f t="shared" si="80"/>
        <v>-83.965419930467888</v>
      </c>
      <c r="G163">
        <f t="shared" si="75"/>
        <v>61.892634616801843</v>
      </c>
      <c r="H163">
        <f t="shared" si="76"/>
        <v>0.67511958948069384</v>
      </c>
      <c r="I163">
        <f t="shared" si="77"/>
        <v>1.1337016147096046</v>
      </c>
      <c r="J163">
        <f t="shared" si="78"/>
        <v>1216.8729356358922</v>
      </c>
      <c r="K163">
        <f t="shared" si="79"/>
        <v>0.15061776475252633</v>
      </c>
      <c r="L163" s="3">
        <v>0.58333333333333304</v>
      </c>
      <c r="M163">
        <f>J163*EXP(-1*K163*I163)*(H163+(0.1)*((1+COS(RADIANS(22)))/2))</f>
        <v>791.4272547564733</v>
      </c>
      <c r="O163">
        <f t="shared" si="64"/>
        <v>791.4272547564733</v>
      </c>
    </row>
    <row r="164" spans="1:15" x14ac:dyDescent="0.25">
      <c r="C164" s="4">
        <v>-3</v>
      </c>
      <c r="D164">
        <f t="shared" si="73"/>
        <v>-45</v>
      </c>
      <c r="E164" t="s">
        <v>22</v>
      </c>
      <c r="F164">
        <f>-180-DEGREES(ASIN((COS(RADIANS(-20.4415131737336))*SIN(RADIANS(D164)))/COS(RADIANS(G164))))</f>
        <v>-91.462400421766176</v>
      </c>
      <c r="G164">
        <f t="shared" si="75"/>
        <v>48.486570738100092</v>
      </c>
      <c r="H164">
        <f t="shared" si="76"/>
        <v>0.47615404212240353</v>
      </c>
      <c r="I164">
        <f t="shared" si="77"/>
        <v>1.3354693861205327</v>
      </c>
      <c r="J164">
        <f t="shared" si="78"/>
        <v>1216.8729356358922</v>
      </c>
      <c r="K164">
        <f t="shared" si="79"/>
        <v>0.15061776475252633</v>
      </c>
      <c r="L164" s="3">
        <v>0.625</v>
      </c>
      <c r="M164">
        <f>J164*EXP(-1*K164*I164)*(H164+(0.1)*((1+COS(RADIANS(22)))/2))</f>
        <v>569.73699363420576</v>
      </c>
      <c r="O164">
        <f t="shared" si="64"/>
        <v>569.73699363420576</v>
      </c>
    </row>
    <row r="165" spans="1:15" x14ac:dyDescent="0.25">
      <c r="C165" s="4">
        <v>-4</v>
      </c>
      <c r="D165">
        <f t="shared" si="73"/>
        <v>-60</v>
      </c>
      <c r="E165" t="s">
        <v>22</v>
      </c>
      <c r="F165">
        <f t="shared" ref="F165:F168" si="81">-180-DEGREES(ASIN((COS(RADIANS(-20.4415131737336))*SIN(RADIANS(D165)))/COS(RADIANS(G165))))</f>
        <v>-97.268889615272499</v>
      </c>
      <c r="G165">
        <f t="shared" si="75"/>
        <v>35.108377143711699</v>
      </c>
      <c r="H165">
        <f t="shared" si="76"/>
        <v>0.25059638218443697</v>
      </c>
      <c r="I165">
        <f t="shared" si="77"/>
        <v>1.7387528486172041</v>
      </c>
      <c r="J165">
        <f t="shared" si="78"/>
        <v>1216.8729356358922</v>
      </c>
      <c r="K165">
        <f t="shared" si="79"/>
        <v>0.15061776475252633</v>
      </c>
      <c r="L165" s="3">
        <v>0.66666666666666696</v>
      </c>
      <c r="M165">
        <f>J165*EXP(-1*K165*I165)*(H165+(0.1)*((1+COS(RADIANS(22)))/2))</f>
        <v>324.92490001251281</v>
      </c>
      <c r="O165">
        <f t="shared" si="64"/>
        <v>324.92490001251281</v>
      </c>
    </row>
    <row r="166" spans="1:15" x14ac:dyDescent="0.25">
      <c r="C166" s="4">
        <v>-5</v>
      </c>
      <c r="D166">
        <f t="shared" si="73"/>
        <v>-75</v>
      </c>
      <c r="E166" t="s">
        <v>22</v>
      </c>
      <c r="F166">
        <f t="shared" si="81"/>
        <v>-102.722359264647</v>
      </c>
      <c r="G166">
        <f t="shared" si="75"/>
        <v>21.893062375090555</v>
      </c>
      <c r="H166">
        <f t="shared" si="76"/>
        <v>1.3817991439910471E-2</v>
      </c>
      <c r="I166">
        <f t="shared" si="77"/>
        <v>2.6818607785974011</v>
      </c>
      <c r="J166">
        <f t="shared" si="78"/>
        <v>1216.8729356358922</v>
      </c>
      <c r="K166">
        <f t="shared" si="79"/>
        <v>0.15061776475252633</v>
      </c>
      <c r="L166" s="3">
        <v>0.70833333333333304</v>
      </c>
      <c r="M166">
        <f>J166*EXP(-1*K166*I166)*(H166+(0.1)*((1+COS(RADIANS(22)))/2))</f>
        <v>89.517878034993558</v>
      </c>
      <c r="O166">
        <f t="shared" si="64"/>
        <v>89.517878034993558</v>
      </c>
    </row>
    <row r="167" spans="1:15" x14ac:dyDescent="0.25">
      <c r="C167" s="4">
        <v>-6</v>
      </c>
      <c r="D167">
        <f t="shared" si="73"/>
        <v>-90</v>
      </c>
      <c r="E167" t="s">
        <v>22</v>
      </c>
      <c r="F167">
        <f t="shared" si="81"/>
        <v>-108.44670868418773</v>
      </c>
      <c r="G167">
        <f t="shared" si="75"/>
        <v>8.9652300330178676</v>
      </c>
      <c r="H167">
        <f t="shared" si="76"/>
        <v>-0.21804507407672749</v>
      </c>
      <c r="I167">
        <f t="shared" si="77"/>
        <v>6.4170413124519232</v>
      </c>
      <c r="J167">
        <f t="shared" si="78"/>
        <v>1216.8729356358922</v>
      </c>
      <c r="K167">
        <f t="shared" si="79"/>
        <v>0.15061776475252633</v>
      </c>
      <c r="L167" s="3">
        <v>0.75</v>
      </c>
      <c r="M167">
        <v>0</v>
      </c>
      <c r="O167">
        <f t="shared" si="64"/>
        <v>0</v>
      </c>
    </row>
    <row r="168" spans="1:15" x14ac:dyDescent="0.25">
      <c r="C168">
        <f>-C154</f>
        <v>-6.7139800000000003</v>
      </c>
      <c r="D168">
        <f t="shared" si="73"/>
        <v>-100.7097</v>
      </c>
      <c r="E168" t="s">
        <v>22</v>
      </c>
      <c r="F168">
        <f t="shared" si="81"/>
        <v>-112.97028024915808</v>
      </c>
      <c r="G168">
        <f t="shared" si="75"/>
        <v>-3.8996203417947021E-5</v>
      </c>
      <c r="L168" s="3">
        <f>Sheet1!G13</f>
        <v>0.77974903520262695</v>
      </c>
      <c r="M168">
        <v>0</v>
      </c>
      <c r="O168">
        <f t="shared" si="64"/>
        <v>0</v>
      </c>
    </row>
    <row r="169" spans="1:15" x14ac:dyDescent="0.25">
      <c r="O169" s="1">
        <f>SUM(O154:O168)</f>
        <v>8672.9640731236414</v>
      </c>
    </row>
    <row r="170" spans="1:15" x14ac:dyDescent="0.25">
      <c r="A170" t="s">
        <v>35</v>
      </c>
      <c r="B170">
        <v>-23.449782846813658</v>
      </c>
      <c r="C170">
        <v>6.8326666669999998</v>
      </c>
      <c r="D170">
        <v>102.49004899474221</v>
      </c>
      <c r="E170" t="s">
        <v>22</v>
      </c>
      <c r="F170">
        <f>180- DEGREES(ASIN((COS(RADIANS(-23.4497828468137))*SIN(RADIANS(D170)))/COS(RADIANS(G170))))</f>
        <v>116.40184797241967</v>
      </c>
      <c r="G170">
        <f>DEGREES(ASIN(COS(RADIANS(-26.5))*COS(RADIANS(-23.4497828468137))*COS(RADIANS(D170))+SIN(RADIANS(-26.5))*SIN(RADIANS(-23.4497828468137))))</f>
        <v>2.3854160110976374E-14</v>
      </c>
      <c r="H170">
        <f>COS(RADIANS(G170))*COS(RADIANS(F170-60))*SIN(RADIANS(22))+SIN(RADIANS(G170))*COS(RADIANS(22))</f>
        <v>0.2072940594062396</v>
      </c>
      <c r="I170">
        <f xml:space="preserve"> 1/SIN(RADIANS(G170))</f>
        <v>2401919801264264.5</v>
      </c>
      <c r="J170">
        <f>1160+75*SIN(RADIANS((360/365)*(355-275)))</f>
        <v>1233.5979852703706</v>
      </c>
      <c r="K170">
        <f>0.174+0.035*SIN(RADIANS((360/365)*(355-100)))</f>
        <v>0.14080734469957398</v>
      </c>
      <c r="L170" s="3">
        <f>Sheet1!F14</f>
        <v>0.21530541945904944</v>
      </c>
      <c r="M170">
        <v>0</v>
      </c>
      <c r="O170">
        <f t="shared" si="64"/>
        <v>0</v>
      </c>
    </row>
    <row r="171" spans="1:15" x14ac:dyDescent="0.25">
      <c r="C171" s="4">
        <v>6</v>
      </c>
      <c r="D171">
        <f t="shared" ref="D171:D184" si="82">C171*15</f>
        <v>90</v>
      </c>
      <c r="E171" t="s">
        <v>22</v>
      </c>
      <c r="F171">
        <f t="shared" ref="F171:F175" si="83">180- DEGREES(ASIN((COS(RADIANS(-23.4497828468137))*SIN(RADIANS(D171)))/COS(RADIANS(G171))))</f>
        <v>111.21602434080282</v>
      </c>
      <c r="G171">
        <f t="shared" ref="G171:G184" si="84">DEGREES(ASIN(COS(RADIANS(-26.5))*COS(RADIANS(-23.4497828468137))*COS(RADIANS(D171))+SIN(RADIANS(-26.5))*SIN(RADIANS(-23.4497828468137))))</f>
        <v>10.227800285918835</v>
      </c>
      <c r="H171">
        <f t="shared" ref="H171:H183" si="85">COS(RADIANS(G171))*COS(RADIANS(F171-60))*SIN(RADIANS(22))+SIN(RADIANS(G171))*COS(RADIANS(22))</f>
        <v>0.39555245606873912</v>
      </c>
      <c r="I171">
        <f t="shared" ref="I171:I183" si="86" xml:space="preserve"> 1/SIN(RADIANS(G171))</f>
        <v>5.6318274705840823</v>
      </c>
      <c r="J171">
        <f t="shared" ref="J171:J183" si="87">1160+75*SIN(RADIANS((360/365)*(355-275)))</f>
        <v>1233.5979852703706</v>
      </c>
      <c r="K171">
        <f t="shared" ref="K171:K183" si="88">0.174+0.035*SIN(RADIANS((360/365)*(355-100)))</f>
        <v>0.14080734469957398</v>
      </c>
      <c r="L171" s="3">
        <v>0.25</v>
      </c>
      <c r="M171">
        <f>J171*EXP(-1*K171*I171)*(H171+(0.1)*((1+COS(RADIANS(22)))/2))</f>
        <v>274.5769483229264</v>
      </c>
      <c r="O171">
        <f t="shared" si="64"/>
        <v>274.5769483229264</v>
      </c>
    </row>
    <row r="172" spans="1:15" x14ac:dyDescent="0.25">
      <c r="C172" s="4">
        <v>5</v>
      </c>
      <c r="D172">
        <f t="shared" si="82"/>
        <v>75</v>
      </c>
      <c r="E172" t="s">
        <v>22</v>
      </c>
      <c r="F172">
        <f t="shared" si="83"/>
        <v>105.76606932473837</v>
      </c>
      <c r="G172">
        <f t="shared" si="84"/>
        <v>22.958116772469044</v>
      </c>
      <c r="H172">
        <f t="shared" si="85"/>
        <v>0.60227801842552764</v>
      </c>
      <c r="I172">
        <f t="shared" si="86"/>
        <v>2.5637204060692755</v>
      </c>
      <c r="J172">
        <f t="shared" si="87"/>
        <v>1233.5979852703706</v>
      </c>
      <c r="K172">
        <f t="shared" si="88"/>
        <v>0.14080734469957398</v>
      </c>
      <c r="L172" s="3">
        <v>0.29166666666666702</v>
      </c>
      <c r="M172">
        <f>J172*EXP(-1*K172*I172)*(H172+(0.1)*((1+COS(RADIANS(22)))/2))</f>
        <v>600.68821564509267</v>
      </c>
      <c r="O172">
        <f t="shared" si="64"/>
        <v>600.68821564509267</v>
      </c>
    </row>
    <row r="173" spans="1:15" x14ac:dyDescent="0.25">
      <c r="C173" s="4">
        <v>4</v>
      </c>
      <c r="D173">
        <f t="shared" si="82"/>
        <v>60</v>
      </c>
      <c r="E173" t="s">
        <v>22</v>
      </c>
      <c r="F173">
        <f t="shared" si="83"/>
        <v>100.79324204456951</v>
      </c>
      <c r="G173">
        <f t="shared" si="84"/>
        <v>36.020365012704048</v>
      </c>
      <c r="H173">
        <f t="shared" si="85"/>
        <v>0.77463293581317527</v>
      </c>
      <c r="I173">
        <f t="shared" si="86"/>
        <v>1.7004698264002225</v>
      </c>
      <c r="J173">
        <f t="shared" si="87"/>
        <v>1233.5979852703706</v>
      </c>
      <c r="K173">
        <f t="shared" si="88"/>
        <v>0.14080734469957398</v>
      </c>
      <c r="L173" s="3">
        <v>0.33333333333333298</v>
      </c>
      <c r="M173">
        <f>J173*EXP(-1*K173*I173)*(H173+(0.1)*((1+COS(RADIANS(22)))/2))</f>
        <v>845.6701493251295</v>
      </c>
      <c r="O173">
        <f t="shared" si="64"/>
        <v>845.6701493251295</v>
      </c>
    </row>
    <row r="174" spans="1:15" x14ac:dyDescent="0.25">
      <c r="C174" s="4">
        <v>3</v>
      </c>
      <c r="D174">
        <f t="shared" si="82"/>
        <v>45</v>
      </c>
      <c r="E174" t="s">
        <v>22</v>
      </c>
      <c r="F174">
        <f t="shared" si="83"/>
        <v>95.86907980102464</v>
      </c>
      <c r="G174">
        <f t="shared" si="84"/>
        <v>49.298019118965122</v>
      </c>
      <c r="H174">
        <f t="shared" si="85"/>
        <v>0.90087150544168204</v>
      </c>
      <c r="I174">
        <f t="shared" si="86"/>
        <v>1.3190666760716874</v>
      </c>
      <c r="J174">
        <f t="shared" si="87"/>
        <v>1233.5979852703706</v>
      </c>
      <c r="K174">
        <f t="shared" si="88"/>
        <v>0.14080734469957398</v>
      </c>
      <c r="L174" s="3">
        <v>0.375</v>
      </c>
      <c r="M174">
        <f>J174*EXP(-1*K174*I174)*(H174+(0.1)*((1+COS(RADIANS(22)))/2))</f>
        <v>1021.6588921341549</v>
      </c>
      <c r="O174">
        <f t="shared" si="64"/>
        <v>1021.6588921341549</v>
      </c>
    </row>
    <row r="175" spans="1:15" x14ac:dyDescent="0.25">
      <c r="C175" s="4">
        <v>2</v>
      </c>
      <c r="D175">
        <f t="shared" si="82"/>
        <v>30</v>
      </c>
      <c r="E175" t="s">
        <v>22</v>
      </c>
      <c r="F175">
        <f t="shared" si="83"/>
        <v>90.203695413541567</v>
      </c>
      <c r="G175">
        <f t="shared" si="84"/>
        <v>62.696263588367628</v>
      </c>
      <c r="H175">
        <f t="shared" si="85"/>
        <v>0.97239077740998558</v>
      </c>
      <c r="I175">
        <f t="shared" si="86"/>
        <v>1.1253818013952903</v>
      </c>
      <c r="J175">
        <f t="shared" si="87"/>
        <v>1233.5979852703706</v>
      </c>
      <c r="K175">
        <f t="shared" si="88"/>
        <v>0.14080734469957398</v>
      </c>
      <c r="L175" s="3">
        <v>0.41666666666666702</v>
      </c>
      <c r="M175">
        <f>J175*EXP(-1*K175*I175)*(H175+(0.1)*((1+COS(RADIANS(22)))/2))</f>
        <v>1125.2022313649331</v>
      </c>
      <c r="O175">
        <f t="shared" si="64"/>
        <v>1125.2022313649331</v>
      </c>
    </row>
    <row r="176" spans="1:15" x14ac:dyDescent="0.25">
      <c r="C176" s="4">
        <v>1</v>
      </c>
      <c r="D176">
        <f t="shared" si="82"/>
        <v>15</v>
      </c>
      <c r="E176" t="s">
        <v>23</v>
      </c>
      <c r="F176">
        <f t="shared" ref="F176:F178" si="89">DEGREES(ASIN((COS(RADIANS(-23.4497828468137))*SIN(RADIANS(D176)))/COS(RADIANS(G176))))</f>
        <v>80.610655323279644</v>
      </c>
      <c r="G176">
        <f t="shared" si="84"/>
        <v>76.074071069347511</v>
      </c>
      <c r="H176">
        <f t="shared" si="85"/>
        <v>0.98431683152457061</v>
      </c>
      <c r="I176">
        <f t="shared" si="86"/>
        <v>1.0302824022861239</v>
      </c>
      <c r="J176">
        <f t="shared" si="87"/>
        <v>1233.5979852703706</v>
      </c>
      <c r="K176">
        <f t="shared" si="88"/>
        <v>0.14080734469957398</v>
      </c>
      <c r="L176" s="3">
        <v>0.45833333333333298</v>
      </c>
      <c r="M176">
        <f>J176*EXP(-1*K176*I176)*(H176+(0.1)*((1+COS(RADIANS(22)))/2))</f>
        <v>1153.0960646575584</v>
      </c>
      <c r="O176">
        <f t="shared" si="64"/>
        <v>1153.0960646575584</v>
      </c>
    </row>
    <row r="177" spans="3:15" x14ac:dyDescent="0.25">
      <c r="C177" s="4">
        <v>0</v>
      </c>
      <c r="D177">
        <f t="shared" si="82"/>
        <v>0</v>
      </c>
      <c r="E177" t="s">
        <v>23</v>
      </c>
      <c r="F177">
        <f t="shared" si="89"/>
        <v>0</v>
      </c>
      <c r="G177">
        <f t="shared" si="84"/>
        <v>86.949782846813875</v>
      </c>
      <c r="H177">
        <f t="shared" si="85"/>
        <v>0.93583692690632625</v>
      </c>
      <c r="I177">
        <f t="shared" si="86"/>
        <v>1.0014187288324292</v>
      </c>
      <c r="J177">
        <f t="shared" si="87"/>
        <v>1233.5979852703706</v>
      </c>
      <c r="K177">
        <f t="shared" si="88"/>
        <v>0.14080734469957398</v>
      </c>
      <c r="L177" s="3">
        <v>0.5</v>
      </c>
      <c r="M177">
        <f>J177*EXP(-1*K177*I177)*(H177+(0.1)*((1+COS(RADIANS(22)))/2))</f>
        <v>1105.8526494564294</v>
      </c>
      <c r="O177">
        <f t="shared" si="64"/>
        <v>1105.8526494564294</v>
      </c>
    </row>
    <row r="178" spans="3:15" x14ac:dyDescent="0.25">
      <c r="C178" s="4">
        <v>-1</v>
      </c>
      <c r="D178">
        <f t="shared" si="82"/>
        <v>-15</v>
      </c>
      <c r="E178" t="s">
        <v>23</v>
      </c>
      <c r="F178">
        <f t="shared" si="89"/>
        <v>-80.610655323279687</v>
      </c>
      <c r="G178">
        <f t="shared" si="84"/>
        <v>76.074071069347511</v>
      </c>
      <c r="H178">
        <f t="shared" si="85"/>
        <v>0.83025488893813382</v>
      </c>
      <c r="I178">
        <f t="shared" si="86"/>
        <v>1.0302824022861239</v>
      </c>
      <c r="J178">
        <f t="shared" si="87"/>
        <v>1233.5979852703706</v>
      </c>
      <c r="K178">
        <f t="shared" si="88"/>
        <v>0.14080734469957398</v>
      </c>
      <c r="L178" s="3">
        <v>0.54166666666666696</v>
      </c>
      <c r="M178">
        <f>J178*EXP(-1*K178*I178)*(H178+(0.1)*((1+COS(RADIANS(22)))/2))</f>
        <v>988.70986960642813</v>
      </c>
      <c r="O178">
        <f t="shared" si="64"/>
        <v>988.70986960642813</v>
      </c>
    </row>
    <row r="179" spans="3:15" x14ac:dyDescent="0.25">
      <c r="C179" s="4">
        <v>-2</v>
      </c>
      <c r="D179">
        <f t="shared" si="82"/>
        <v>-30</v>
      </c>
      <c r="E179" t="s">
        <v>22</v>
      </c>
      <c r="F179">
        <f>-180-DEGREES(ASIN((COS(RADIANS(-23.4497828468137))*SIN(RADIANS(D179)))/COS(RADIANS(G179))))</f>
        <v>-90.203695413541567</v>
      </c>
      <c r="G179">
        <f t="shared" si="84"/>
        <v>62.696263588367628</v>
      </c>
      <c r="H179">
        <f t="shared" si="85"/>
        <v>0.67476595902497993</v>
      </c>
      <c r="I179">
        <f t="shared" si="86"/>
        <v>1.1253818013952903</v>
      </c>
      <c r="J179">
        <f t="shared" si="87"/>
        <v>1233.5979852703706</v>
      </c>
      <c r="K179">
        <f t="shared" si="88"/>
        <v>0.14080734469957398</v>
      </c>
      <c r="L179" s="3">
        <v>0.58333333333333304</v>
      </c>
      <c r="M179">
        <f>J179*EXP(-1*K179*I179)*(H179+(0.1)*((1+COS(RADIANS(22)))/2))</f>
        <v>811.85662283776026</v>
      </c>
      <c r="O179">
        <f t="shared" si="64"/>
        <v>811.85662283776026</v>
      </c>
    </row>
    <row r="180" spans="3:15" x14ac:dyDescent="0.25">
      <c r="C180" s="4">
        <v>-3</v>
      </c>
      <c r="D180">
        <f t="shared" si="82"/>
        <v>-45</v>
      </c>
      <c r="E180" t="s">
        <v>22</v>
      </c>
      <c r="F180">
        <f t="shared" ref="F180:F184" si="90">-180-DEGREES(ASIN((COS(RADIANS(-23.4497828468137))*SIN(RADIANS(D180)))/COS(RADIANS(G180))))</f>
        <v>-95.869079801024583</v>
      </c>
      <c r="G180">
        <f t="shared" si="84"/>
        <v>49.298019118965122</v>
      </c>
      <c r="H180">
        <f t="shared" si="85"/>
        <v>0.47996645078277772</v>
      </c>
      <c r="I180">
        <f t="shared" si="86"/>
        <v>1.3190666760716874</v>
      </c>
      <c r="J180">
        <f t="shared" si="87"/>
        <v>1233.5979852703706</v>
      </c>
      <c r="K180">
        <f t="shared" si="88"/>
        <v>0.14080734469957398</v>
      </c>
      <c r="L180" s="3">
        <v>0.625</v>
      </c>
      <c r="M180">
        <f>J180*EXP(-1*K180*I180)*(H180+(0.1)*((1+COS(RADIANS(22)))/2))</f>
        <v>590.44333426414812</v>
      </c>
      <c r="O180">
        <f t="shared" si="64"/>
        <v>590.44333426414812</v>
      </c>
    </row>
    <row r="181" spans="3:15" x14ac:dyDescent="0.25">
      <c r="C181" s="4">
        <v>-4</v>
      </c>
      <c r="D181">
        <f t="shared" si="82"/>
        <v>-60</v>
      </c>
      <c r="E181" t="s">
        <v>22</v>
      </c>
      <c r="F181">
        <f t="shared" si="90"/>
        <v>-100.79324204456954</v>
      </c>
      <c r="G181">
        <f t="shared" si="84"/>
        <v>36.020365012704048</v>
      </c>
      <c r="H181">
        <f t="shared" si="85"/>
        <v>0.25913162877688556</v>
      </c>
      <c r="I181">
        <f t="shared" si="86"/>
        <v>1.7004698264002225</v>
      </c>
      <c r="J181">
        <f t="shared" si="87"/>
        <v>1233.5979852703706</v>
      </c>
      <c r="K181">
        <f t="shared" si="88"/>
        <v>0.14080734469957398</v>
      </c>
      <c r="L181" s="3">
        <v>0.66666666666666696</v>
      </c>
      <c r="M181">
        <f>J181*EXP(-1*K181*I181)*(H181+(0.1)*((1+COS(RADIANS(22)))/2))</f>
        <v>345.15578988003165</v>
      </c>
      <c r="O181">
        <f t="shared" si="64"/>
        <v>345.15578988003165</v>
      </c>
    </row>
    <row r="182" spans="3:15" x14ac:dyDescent="0.25">
      <c r="C182" s="4">
        <v>-5</v>
      </c>
      <c r="D182">
        <f t="shared" si="82"/>
        <v>-75</v>
      </c>
      <c r="E182" t="s">
        <v>22</v>
      </c>
      <c r="F182">
        <f t="shared" si="90"/>
        <v>-105.76606932473838</v>
      </c>
      <c r="G182">
        <f t="shared" si="84"/>
        <v>22.958116772469044</v>
      </c>
      <c r="H182">
        <f t="shared" si="85"/>
        <v>2.7311021180186412E-2</v>
      </c>
      <c r="I182">
        <f t="shared" si="86"/>
        <v>2.5637204060692755</v>
      </c>
      <c r="J182">
        <f t="shared" si="87"/>
        <v>1233.5979852703706</v>
      </c>
      <c r="K182">
        <f t="shared" si="88"/>
        <v>0.14080734469957398</v>
      </c>
      <c r="L182" s="3">
        <v>0.70833333333333304</v>
      </c>
      <c r="M182">
        <f>J182*EXP(-1*K182*I182)*(H182+(0.1)*((1+COS(RADIANS(22)))/2))</f>
        <v>106.33163956220812</v>
      </c>
      <c r="O182">
        <f t="shared" si="64"/>
        <v>106.33163956220812</v>
      </c>
    </row>
    <row r="183" spans="3:15" x14ac:dyDescent="0.25">
      <c r="C183" s="4">
        <v>-6</v>
      </c>
      <c r="D183">
        <f t="shared" si="82"/>
        <v>-90</v>
      </c>
      <c r="E183" t="s">
        <v>22</v>
      </c>
      <c r="F183">
        <f t="shared" si="90"/>
        <v>-111.21602434080282</v>
      </c>
      <c r="G183">
        <f t="shared" si="84"/>
        <v>10.227800285918835</v>
      </c>
      <c r="H183">
        <f t="shared" si="85"/>
        <v>-0.19969718070127232</v>
      </c>
      <c r="I183">
        <f t="shared" si="86"/>
        <v>5.6318274705840823</v>
      </c>
      <c r="J183">
        <f t="shared" si="87"/>
        <v>1233.5979852703706</v>
      </c>
      <c r="K183">
        <f t="shared" si="88"/>
        <v>0.14080734469957398</v>
      </c>
      <c r="L183" s="3">
        <v>0.75</v>
      </c>
      <c r="M183">
        <v>0</v>
      </c>
      <c r="O183">
        <f t="shared" si="64"/>
        <v>0</v>
      </c>
    </row>
    <row r="184" spans="3:15" x14ac:dyDescent="0.25">
      <c r="C184">
        <f>-C170</f>
        <v>-6.8326666669999998</v>
      </c>
      <c r="D184">
        <f t="shared" si="82"/>
        <v>-102.490000005</v>
      </c>
      <c r="E184" t="s">
        <v>22</v>
      </c>
      <c r="F184">
        <f t="shared" si="90"/>
        <v>-116.40182611331051</v>
      </c>
      <c r="G184">
        <f t="shared" si="84"/>
        <v>3.9269710693440505E-5</v>
      </c>
      <c r="L184" s="3">
        <f>Sheet1!G14</f>
        <v>0.78469458054095054</v>
      </c>
      <c r="M184">
        <v>0</v>
      </c>
      <c r="O184">
        <f t="shared" si="64"/>
        <v>0</v>
      </c>
    </row>
    <row r="185" spans="3:15" x14ac:dyDescent="0.25">
      <c r="O185" s="1">
        <f>SUM(O170:O184)</f>
        <v>8969.2424070567995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54D9-A7FC-451D-B94C-5D1999A8DA51}">
  <dimension ref="B2:C28"/>
  <sheetViews>
    <sheetView tabSelected="1" workbookViewId="0">
      <selection activeCell="N15" sqref="N15"/>
    </sheetView>
  </sheetViews>
  <sheetFormatPr defaultRowHeight="15" x14ac:dyDescent="0.25"/>
  <sheetData>
    <row r="2" spans="2:3" x14ac:dyDescent="0.25">
      <c r="B2" s="1" t="s">
        <v>50</v>
      </c>
      <c r="C2" s="1" t="s">
        <v>51</v>
      </c>
    </row>
    <row r="3" spans="2:3" x14ac:dyDescent="0.25">
      <c r="B3">
        <v>0</v>
      </c>
      <c r="C3">
        <v>-12477</v>
      </c>
    </row>
    <row r="4" spans="2:3" x14ac:dyDescent="0.25">
      <c r="B4">
        <v>1</v>
      </c>
      <c r="C4">
        <f>C3 + 1940.97</f>
        <v>-10536.03</v>
      </c>
    </row>
    <row r="5" spans="2:3" x14ac:dyDescent="0.25">
      <c r="B5">
        <v>2</v>
      </c>
      <c r="C5">
        <f t="shared" ref="C5:C28" si="0">C4 + 1940.97</f>
        <v>-8595.0600000000013</v>
      </c>
    </row>
    <row r="6" spans="2:3" x14ac:dyDescent="0.25">
      <c r="B6">
        <v>3</v>
      </c>
      <c r="C6">
        <f t="shared" si="0"/>
        <v>-6654.0900000000011</v>
      </c>
    </row>
    <row r="7" spans="2:3" x14ac:dyDescent="0.25">
      <c r="B7">
        <v>4</v>
      </c>
      <c r="C7">
        <f t="shared" si="0"/>
        <v>-4713.1200000000008</v>
      </c>
    </row>
    <row r="8" spans="2:3" x14ac:dyDescent="0.25">
      <c r="B8">
        <v>5</v>
      </c>
      <c r="C8">
        <f t="shared" si="0"/>
        <v>-2772.1500000000005</v>
      </c>
    </row>
    <row r="9" spans="2:3" x14ac:dyDescent="0.25">
      <c r="B9">
        <v>6</v>
      </c>
      <c r="C9">
        <f t="shared" si="0"/>
        <v>-831.18000000000052</v>
      </c>
    </row>
    <row r="10" spans="2:3" x14ac:dyDescent="0.25">
      <c r="B10">
        <v>7</v>
      </c>
      <c r="C10">
        <f t="shared" si="0"/>
        <v>1109.7899999999995</v>
      </c>
    </row>
    <row r="11" spans="2:3" x14ac:dyDescent="0.25">
      <c r="B11">
        <v>8</v>
      </c>
      <c r="C11">
        <f t="shared" si="0"/>
        <v>3050.7599999999993</v>
      </c>
    </row>
    <row r="12" spans="2:3" x14ac:dyDescent="0.25">
      <c r="B12">
        <v>9</v>
      </c>
      <c r="C12">
        <f t="shared" si="0"/>
        <v>4991.7299999999996</v>
      </c>
    </row>
    <row r="13" spans="2:3" x14ac:dyDescent="0.25">
      <c r="B13">
        <v>10</v>
      </c>
      <c r="C13">
        <f t="shared" si="0"/>
        <v>6932.7</v>
      </c>
    </row>
    <row r="14" spans="2:3" x14ac:dyDescent="0.25">
      <c r="B14">
        <v>11</v>
      </c>
      <c r="C14">
        <f t="shared" si="0"/>
        <v>8873.67</v>
      </c>
    </row>
    <row r="15" spans="2:3" x14ac:dyDescent="0.25">
      <c r="B15">
        <v>12</v>
      </c>
      <c r="C15">
        <f t="shared" si="0"/>
        <v>10814.64</v>
      </c>
    </row>
    <row r="16" spans="2:3" x14ac:dyDescent="0.25">
      <c r="B16">
        <v>13</v>
      </c>
      <c r="C16">
        <f t="shared" si="0"/>
        <v>12755.609999999999</v>
      </c>
    </row>
    <row r="17" spans="2:3" x14ac:dyDescent="0.25">
      <c r="B17">
        <v>14</v>
      </c>
      <c r="C17">
        <f t="shared" si="0"/>
        <v>14696.579999999998</v>
      </c>
    </row>
    <row r="18" spans="2:3" x14ac:dyDescent="0.25">
      <c r="B18">
        <v>15</v>
      </c>
      <c r="C18">
        <f t="shared" si="0"/>
        <v>16637.55</v>
      </c>
    </row>
    <row r="19" spans="2:3" x14ac:dyDescent="0.25">
      <c r="B19">
        <v>16</v>
      </c>
      <c r="C19">
        <f t="shared" si="0"/>
        <v>18578.52</v>
      </c>
    </row>
    <row r="20" spans="2:3" x14ac:dyDescent="0.25">
      <c r="B20">
        <v>17</v>
      </c>
      <c r="C20">
        <f t="shared" si="0"/>
        <v>20519.490000000002</v>
      </c>
    </row>
    <row r="21" spans="2:3" x14ac:dyDescent="0.25">
      <c r="B21">
        <v>18</v>
      </c>
      <c r="C21">
        <f t="shared" si="0"/>
        <v>22460.460000000003</v>
      </c>
    </row>
    <row r="22" spans="2:3" x14ac:dyDescent="0.25">
      <c r="B22">
        <v>19</v>
      </c>
      <c r="C22">
        <f t="shared" si="0"/>
        <v>24401.430000000004</v>
      </c>
    </row>
    <row r="23" spans="2:3" x14ac:dyDescent="0.25">
      <c r="B23">
        <v>20</v>
      </c>
      <c r="C23">
        <f t="shared" si="0"/>
        <v>26342.400000000005</v>
      </c>
    </row>
    <row r="24" spans="2:3" x14ac:dyDescent="0.25">
      <c r="B24">
        <v>21</v>
      </c>
      <c r="C24">
        <f t="shared" si="0"/>
        <v>28283.370000000006</v>
      </c>
    </row>
    <row r="25" spans="2:3" x14ac:dyDescent="0.25">
      <c r="B25">
        <v>22</v>
      </c>
      <c r="C25">
        <f t="shared" si="0"/>
        <v>30224.340000000007</v>
      </c>
    </row>
    <row r="26" spans="2:3" x14ac:dyDescent="0.25">
      <c r="B26">
        <v>23</v>
      </c>
      <c r="C26">
        <f t="shared" si="0"/>
        <v>32165.310000000009</v>
      </c>
    </row>
    <row r="27" spans="2:3" x14ac:dyDescent="0.25">
      <c r="B27">
        <v>24</v>
      </c>
      <c r="C27">
        <f t="shared" si="0"/>
        <v>34106.280000000006</v>
      </c>
    </row>
    <row r="28" spans="2:3" x14ac:dyDescent="0.25">
      <c r="B28">
        <v>25</v>
      </c>
      <c r="C28">
        <f t="shared" si="0"/>
        <v>36047.250000000007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2022-04-11T07:02:20Z</dcterms:created>
  <dcterms:modified xsi:type="dcterms:W3CDTF">2022-04-14T08:43:39Z</dcterms:modified>
</cp:coreProperties>
</file>