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lambert_648_buckeyemail_osu_edu/Documents/OSU_Courses_3_22_24/EEOB_6999/Data/"/>
    </mc:Choice>
  </mc:AlternateContent>
  <xr:revisionPtr revIDLastSave="1565" documentId="8_{5E175B53-0BFB-4E42-ABED-8E866F719017}" xr6:coauthVersionLast="47" xr6:coauthVersionMax="47" xr10:uidLastSave="{90F725AC-3D68-2C4E-BEB1-C62C88DF19DE}"/>
  <bookViews>
    <workbookView xWindow="5320" yWindow="940" windowWidth="20460" windowHeight="16000" xr2:uid="{8DC0A65D-B315-EB46-B9CE-B91628998B79}"/>
  </bookViews>
  <sheets>
    <sheet name="Locality_Data" sheetId="1" r:id="rId1"/>
    <sheet name="C_Gorge_Apr_18_24" sheetId="6" r:id="rId2"/>
    <sheet name="Raw_Morpho_Data" sheetId="3" r:id="rId3"/>
    <sheet name="pH" sheetId="5" r:id="rId4"/>
    <sheet name="Cleaned_Data" sheetId="2" r:id="rId5"/>
    <sheet name="All_Character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9" i="3" l="1"/>
  <c r="F176" i="2"/>
  <c r="E176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6" i="2"/>
  <c r="E156" i="2"/>
  <c r="F155" i="2"/>
  <c r="E155" i="2"/>
  <c r="F154" i="2"/>
  <c r="F153" i="2"/>
  <c r="E153" i="2"/>
  <c r="F152" i="2"/>
  <c r="E152" i="2"/>
  <c r="F151" i="2"/>
  <c r="E151" i="2"/>
  <c r="F150" i="2"/>
  <c r="E150" i="2"/>
  <c r="F149" i="2"/>
  <c r="F148" i="2"/>
  <c r="E148" i="2"/>
  <c r="F147" i="2"/>
  <c r="E147" i="2"/>
  <c r="F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F138" i="2"/>
  <c r="F137" i="2"/>
  <c r="E137" i="2"/>
  <c r="F136" i="2"/>
  <c r="E136" i="2"/>
  <c r="F135" i="2"/>
  <c r="F133" i="2"/>
  <c r="E133" i="2"/>
  <c r="F132" i="2"/>
  <c r="E132" i="2"/>
  <c r="F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F111" i="2"/>
  <c r="E111" i="2"/>
  <c r="F110" i="2"/>
  <c r="E110" i="2"/>
  <c r="F109" i="2"/>
  <c r="E109" i="2"/>
  <c r="F108" i="2"/>
  <c r="E108" i="2"/>
  <c r="F107" i="2"/>
  <c r="E107" i="2"/>
  <c r="F106" i="2"/>
  <c r="F105" i="2"/>
  <c r="E105" i="2"/>
  <c r="F104" i="2"/>
  <c r="E104" i="2"/>
  <c r="F100" i="2"/>
  <c r="E100" i="2"/>
  <c r="F99" i="2"/>
  <c r="E99" i="2"/>
  <c r="F98" i="2"/>
  <c r="E98" i="2"/>
  <c r="F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F86" i="2"/>
  <c r="E86" i="2"/>
  <c r="F85" i="2"/>
  <c r="F84" i="2"/>
  <c r="E84" i="2"/>
  <c r="F83" i="2"/>
  <c r="E83" i="2"/>
  <c r="F82" i="2"/>
  <c r="E82" i="2"/>
  <c r="F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F64" i="2"/>
  <c r="E64" i="2"/>
  <c r="F63" i="2"/>
  <c r="F62" i="2"/>
  <c r="E62" i="2"/>
  <c r="F61" i="2"/>
  <c r="E61" i="2"/>
  <c r="F60" i="2"/>
  <c r="E60" i="2"/>
  <c r="F59" i="2"/>
  <c r="F58" i="2"/>
  <c r="F57" i="2"/>
  <c r="E57" i="2"/>
  <c r="F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F45" i="2"/>
  <c r="E45" i="2"/>
  <c r="F44" i="2"/>
  <c r="E44" i="2"/>
  <c r="F43" i="2"/>
  <c r="E43" i="2"/>
  <c r="F42" i="2"/>
  <c r="E42" i="2"/>
  <c r="F41" i="2"/>
  <c r="E41" i="2"/>
  <c r="F40" i="2"/>
  <c r="F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5" i="2"/>
  <c r="E5" i="2"/>
  <c r="F4" i="2"/>
  <c r="E4" i="2"/>
  <c r="F3" i="2"/>
  <c r="E3" i="2"/>
  <c r="F2" i="2"/>
  <c r="E2" i="2"/>
  <c r="G2" i="3"/>
  <c r="F2" i="3"/>
  <c r="G3" i="3"/>
  <c r="F3" i="3"/>
  <c r="G4" i="3"/>
  <c r="F4" i="3"/>
  <c r="G5" i="3"/>
  <c r="F5" i="3"/>
  <c r="G8" i="3"/>
  <c r="F8" i="3"/>
  <c r="G9" i="3"/>
  <c r="F9" i="3"/>
  <c r="G10" i="3"/>
  <c r="F10" i="3"/>
  <c r="G11" i="3"/>
  <c r="F11" i="3"/>
  <c r="G12" i="3"/>
  <c r="F12" i="3"/>
  <c r="G13" i="3"/>
  <c r="F13" i="3"/>
  <c r="G14" i="3"/>
  <c r="F14" i="3"/>
  <c r="G15" i="3"/>
  <c r="F15" i="3"/>
  <c r="G16" i="3"/>
  <c r="F16" i="3"/>
  <c r="G17" i="3"/>
  <c r="F17" i="3"/>
  <c r="G18" i="3"/>
  <c r="F18" i="3"/>
  <c r="G19" i="3"/>
  <c r="F19" i="3"/>
  <c r="G20" i="3"/>
  <c r="F20" i="3"/>
  <c r="G21" i="3"/>
  <c r="F21" i="3"/>
  <c r="G22" i="3"/>
  <c r="F22" i="3"/>
  <c r="G23" i="3"/>
  <c r="F23" i="3"/>
  <c r="G24" i="3"/>
  <c r="F24" i="3"/>
  <c r="G25" i="3"/>
  <c r="F25" i="3"/>
  <c r="G26" i="3"/>
  <c r="F26" i="3"/>
  <c r="G27" i="3"/>
  <c r="F27" i="3"/>
  <c r="G28" i="3"/>
  <c r="F28" i="3"/>
  <c r="G29" i="3"/>
  <c r="G30" i="3"/>
  <c r="F29" i="3"/>
  <c r="F30" i="3"/>
  <c r="G31" i="3"/>
  <c r="G32" i="3"/>
  <c r="F32" i="3"/>
  <c r="G33" i="3"/>
  <c r="F33" i="3"/>
  <c r="G34" i="3"/>
  <c r="F34" i="3"/>
  <c r="G35" i="3"/>
  <c r="F35" i="3"/>
  <c r="G36" i="3"/>
  <c r="F36" i="3"/>
  <c r="G38" i="3"/>
  <c r="G37" i="3"/>
  <c r="F37" i="3"/>
  <c r="F38" i="3"/>
  <c r="G39" i="3"/>
  <c r="G40" i="3"/>
  <c r="G41" i="3"/>
  <c r="F41" i="3"/>
  <c r="G42" i="3"/>
  <c r="F42" i="3"/>
  <c r="G43" i="3"/>
  <c r="F43" i="3"/>
  <c r="G44" i="3"/>
  <c r="F44" i="3"/>
  <c r="G45" i="3"/>
  <c r="F45" i="3"/>
  <c r="G46" i="3"/>
  <c r="G47" i="3"/>
  <c r="F47" i="3"/>
  <c r="G48" i="3"/>
  <c r="F48" i="3"/>
  <c r="G49" i="3"/>
  <c r="F49" i="3"/>
  <c r="G50" i="3"/>
  <c r="F50" i="3"/>
  <c r="G51" i="3"/>
  <c r="F51" i="3"/>
  <c r="G52" i="3"/>
  <c r="F52" i="3"/>
  <c r="G53" i="3"/>
  <c r="F53" i="3"/>
  <c r="G54" i="3"/>
  <c r="F54" i="3"/>
  <c r="G55" i="3"/>
  <c r="F55" i="3"/>
  <c r="G56" i="3"/>
  <c r="G57" i="3"/>
  <c r="F57" i="3"/>
  <c r="G58" i="3"/>
  <c r="G59" i="3"/>
  <c r="G60" i="3"/>
  <c r="F60" i="3"/>
  <c r="G61" i="3"/>
  <c r="F61" i="3"/>
  <c r="G62" i="3"/>
  <c r="F62" i="3"/>
  <c r="G63" i="3"/>
  <c r="G64" i="3"/>
  <c r="F64" i="3"/>
  <c r="G65" i="3"/>
  <c r="G66" i="3"/>
  <c r="F66" i="3"/>
  <c r="G67" i="3"/>
  <c r="F67" i="3"/>
  <c r="G68" i="3"/>
  <c r="F68" i="3"/>
  <c r="G69" i="3"/>
  <c r="F69" i="3"/>
  <c r="G70" i="3"/>
  <c r="F70" i="3"/>
  <c r="G71" i="3"/>
  <c r="F71" i="3"/>
  <c r="G72" i="3"/>
  <c r="F72" i="3"/>
  <c r="G73" i="3"/>
  <c r="G74" i="3"/>
  <c r="F74" i="3"/>
  <c r="G75" i="3"/>
  <c r="F75" i="3"/>
  <c r="G76" i="3"/>
  <c r="F76" i="3"/>
  <c r="G77" i="3"/>
  <c r="F77" i="3"/>
  <c r="G78" i="3"/>
  <c r="F78" i="3"/>
  <c r="G79" i="3"/>
  <c r="F79" i="3"/>
  <c r="G80" i="3"/>
  <c r="F80" i="3"/>
  <c r="G81" i="3"/>
  <c r="G82" i="3"/>
  <c r="F82" i="3"/>
  <c r="G83" i="3"/>
  <c r="F83" i="3"/>
  <c r="G84" i="3"/>
  <c r="F84" i="3"/>
  <c r="G85" i="3"/>
  <c r="G86" i="3"/>
  <c r="F86" i="3"/>
  <c r="G87" i="3"/>
  <c r="G88" i="3"/>
  <c r="F88" i="3"/>
  <c r="G89" i="3"/>
  <c r="F89" i="3"/>
  <c r="G90" i="3"/>
  <c r="F90" i="3"/>
  <c r="G91" i="3"/>
  <c r="F91" i="3"/>
  <c r="G92" i="3"/>
  <c r="F92" i="3"/>
  <c r="G93" i="3"/>
  <c r="F93" i="3"/>
  <c r="G94" i="3"/>
  <c r="F94" i="3"/>
  <c r="G95" i="3"/>
  <c r="F95" i="3"/>
  <c r="G96" i="3"/>
  <c r="F96" i="3"/>
  <c r="G97" i="3"/>
  <c r="G98" i="3"/>
  <c r="F98" i="3"/>
  <c r="G99" i="3"/>
  <c r="F99" i="3"/>
  <c r="G100" i="3"/>
  <c r="F100" i="3"/>
  <c r="G104" i="3"/>
  <c r="F104" i="3"/>
  <c r="G105" i="3"/>
  <c r="F105" i="3"/>
  <c r="G106" i="3"/>
  <c r="G107" i="3"/>
  <c r="F107" i="3"/>
  <c r="G108" i="3"/>
  <c r="F108" i="3"/>
  <c r="G109" i="3"/>
  <c r="F109" i="3"/>
  <c r="G110" i="3"/>
  <c r="F110" i="3"/>
  <c r="G111" i="3"/>
  <c r="F111" i="3"/>
  <c r="G112" i="3"/>
  <c r="G113" i="3"/>
  <c r="G114" i="3"/>
  <c r="F113" i="3"/>
  <c r="F114" i="3"/>
  <c r="G115" i="3"/>
  <c r="F115" i="3"/>
  <c r="G116" i="3"/>
  <c r="F116" i="3"/>
  <c r="G117" i="3"/>
  <c r="F117" i="3"/>
  <c r="G118" i="3"/>
  <c r="F118" i="3"/>
  <c r="G119" i="3"/>
  <c r="F119" i="3"/>
  <c r="G120" i="3"/>
  <c r="F120" i="3"/>
  <c r="G121" i="3"/>
  <c r="G122" i="3"/>
  <c r="F122" i="3"/>
  <c r="G123" i="3"/>
  <c r="F123" i="3"/>
  <c r="G124" i="3"/>
  <c r="F124" i="3"/>
  <c r="G125" i="3"/>
  <c r="F125" i="3"/>
  <c r="G126" i="3"/>
  <c r="F126" i="3"/>
  <c r="G127" i="3"/>
  <c r="F127" i="3"/>
  <c r="G128" i="3"/>
  <c r="F128" i="3"/>
  <c r="G129" i="3"/>
  <c r="F129" i="3"/>
  <c r="G130" i="3"/>
  <c r="F130" i="3"/>
  <c r="G131" i="3"/>
  <c r="G132" i="3"/>
  <c r="F132" i="3"/>
  <c r="G133" i="3"/>
  <c r="F133" i="3"/>
  <c r="G135" i="3"/>
  <c r="G136" i="3"/>
  <c r="F136" i="3"/>
  <c r="G137" i="3"/>
  <c r="F137" i="3"/>
  <c r="G138" i="3"/>
  <c r="G139" i="3"/>
  <c r="G140" i="3"/>
  <c r="F140" i="3"/>
  <c r="G141" i="3"/>
  <c r="F141" i="3"/>
  <c r="G142" i="3"/>
  <c r="F142" i="3"/>
  <c r="G143" i="3"/>
  <c r="F143" i="3"/>
  <c r="G144" i="3"/>
  <c r="F144" i="3"/>
  <c r="G145" i="3"/>
  <c r="F145" i="3"/>
  <c r="G146" i="3"/>
  <c r="G147" i="3"/>
  <c r="F147" i="3"/>
  <c r="G148" i="3"/>
  <c r="F148" i="3"/>
  <c r="G149" i="3"/>
  <c r="G150" i="3"/>
  <c r="F150" i="3"/>
  <c r="G151" i="3"/>
  <c r="F151" i="3"/>
  <c r="G152" i="3"/>
  <c r="F152" i="3"/>
  <c r="F153" i="3"/>
  <c r="G153" i="3"/>
  <c r="G154" i="3"/>
  <c r="G155" i="3"/>
  <c r="F155" i="3"/>
  <c r="G156" i="3"/>
  <c r="F156" i="3"/>
  <c r="G160" i="3"/>
  <c r="F160" i="3"/>
  <c r="G161" i="3"/>
  <c r="F161" i="3"/>
  <c r="G162" i="3"/>
  <c r="F162" i="3"/>
  <c r="G163" i="3"/>
  <c r="F163" i="3"/>
  <c r="G164" i="3"/>
  <c r="F164" i="3"/>
  <c r="G165" i="3"/>
  <c r="F165" i="3"/>
  <c r="G166" i="3"/>
  <c r="F166" i="3"/>
  <c r="G168" i="3"/>
  <c r="F168" i="3"/>
  <c r="G169" i="3"/>
  <c r="F169" i="3"/>
  <c r="G170" i="3"/>
  <c r="F170" i="3"/>
  <c r="G171" i="3"/>
  <c r="F171" i="3"/>
  <c r="G172" i="3"/>
  <c r="F172" i="3"/>
  <c r="G173" i="3"/>
  <c r="F173" i="3"/>
  <c r="G176" i="3"/>
  <c r="F176" i="3"/>
  <c r="F57" i="1"/>
</calcChain>
</file>

<file path=xl/sharedStrings.xml><?xml version="1.0" encoding="utf-8"?>
<sst xmlns="http://schemas.openxmlformats.org/spreadsheetml/2006/main" count="6328" uniqueCount="798">
  <si>
    <t>Population number</t>
  </si>
  <si>
    <t>Number Collected and Description</t>
  </si>
  <si>
    <t>Putative Species</t>
  </si>
  <si>
    <t>State</t>
  </si>
  <si>
    <t>Latitude</t>
  </si>
  <si>
    <t>Longitude</t>
  </si>
  <si>
    <t>Locality Notes</t>
  </si>
  <si>
    <t>Date</t>
  </si>
  <si>
    <t>Collection #</t>
  </si>
  <si>
    <t>Live, 3 individuals</t>
  </si>
  <si>
    <t>reflexum</t>
  </si>
  <si>
    <t>MS</t>
  </si>
  <si>
    <t>Mac Alford Collection</t>
  </si>
  <si>
    <t>Live, Voucher, 3 individuals</t>
  </si>
  <si>
    <t>OH</t>
  </si>
  <si>
    <t> </t>
  </si>
  <si>
    <t>OCLC</t>
  </si>
  <si>
    <t>BL-0063</t>
  </si>
  <si>
    <t>canadense</t>
  </si>
  <si>
    <t>KY</t>
  </si>
  <si>
    <t>Red River Gorge (John Collection)</t>
  </si>
  <si>
    <t>JVF 3153</t>
  </si>
  <si>
    <t>JVF 3154</t>
  </si>
  <si>
    <t>Voucher, 3 individuals</t>
  </si>
  <si>
    <t>TN</t>
  </si>
  <si>
    <t>Shawn Collection</t>
  </si>
  <si>
    <t>Shawn Krosnick 1</t>
  </si>
  <si>
    <t>Live, Voucher, 4 individuals</t>
  </si>
  <si>
    <t>acuminatum</t>
  </si>
  <si>
    <t>Clifton Gorge (John Collection)</t>
  </si>
  <si>
    <t>JVF 3156</t>
  </si>
  <si>
    <t>Live, Voucher, 2 individuals</t>
  </si>
  <si>
    <t>JVF 3158</t>
  </si>
  <si>
    <t>JVF 3157</t>
  </si>
  <si>
    <t>Ash Collection</t>
  </si>
  <si>
    <t>JVF 3159</t>
  </si>
  <si>
    <t>Pop 10</t>
  </si>
  <si>
    <t>SC</t>
  </si>
  <si>
    <t>Congaree Heritage Preserve</t>
  </si>
  <si>
    <t>BL-0064</t>
  </si>
  <si>
    <t>Pop 11</t>
  </si>
  <si>
    <t>40 Acre Rock Heritage Preserve</t>
  </si>
  <si>
    <t>BL-0065</t>
  </si>
  <si>
    <t>Pop 12</t>
  </si>
  <si>
    <t>Sumter NF</t>
  </si>
  <si>
    <t>BL-0066</t>
  </si>
  <si>
    <t>Pop 13</t>
  </si>
  <si>
    <t>NC</t>
  </si>
  <si>
    <t>Tryon, NC</t>
  </si>
  <si>
    <t>BL-0067</t>
  </si>
  <si>
    <t>Pop 14</t>
  </si>
  <si>
    <t>Blue Ridge Pkwy</t>
  </si>
  <si>
    <t>BL-0068</t>
  </si>
  <si>
    <t>Pop 15</t>
  </si>
  <si>
    <t>Grandfather State Park</t>
  </si>
  <si>
    <t>BL-0069</t>
  </si>
  <si>
    <t>Pop 16</t>
  </si>
  <si>
    <t>Pisgah NF behind residence</t>
  </si>
  <si>
    <t>BL-0070</t>
  </si>
  <si>
    <t>Pop 17</t>
  </si>
  <si>
    <t>Beginning of road at Appalachian Trail</t>
  </si>
  <si>
    <t>BL-0071</t>
  </si>
  <si>
    <t>Pop 18</t>
  </si>
  <si>
    <t>Off road near Roan State Park</t>
  </si>
  <si>
    <t>BL-0072</t>
  </si>
  <si>
    <t>Pop 19</t>
  </si>
  <si>
    <t>At beginning of Black Mountain Crest Trail</t>
  </si>
  <si>
    <t>BL-0073</t>
  </si>
  <si>
    <t>Pop 20</t>
  </si>
  <si>
    <t>Off road near Bear Path Trl along Cane Creek</t>
  </si>
  <si>
    <t>BL-0074</t>
  </si>
  <si>
    <t>Pop 21</t>
  </si>
  <si>
    <t>Swinging Vine Trail near High Falls Trailhead</t>
  </si>
  <si>
    <t>BL-0075</t>
  </si>
  <si>
    <t>Pop 22</t>
  </si>
  <si>
    <t>Junction of 1740 and Happy Face Alley</t>
  </si>
  <si>
    <t>BL-0076</t>
  </si>
  <si>
    <t>Pop 23</t>
  </si>
  <si>
    <t>Sugar Loaf Rd near W Cote Rd</t>
  </si>
  <si>
    <t>BL-0077</t>
  </si>
  <si>
    <t>Pop 24</t>
  </si>
  <si>
    <t>0.6 mi on Huskey Gap Trail</t>
  </si>
  <si>
    <t>BL-0078</t>
  </si>
  <si>
    <t>Pop 25</t>
  </si>
  <si>
    <t>0.1 mi on Little River Trail</t>
  </si>
  <si>
    <t>BL-0079</t>
  </si>
  <si>
    <t>Pop 26</t>
  </si>
  <si>
    <t>0.3 mi on Meigs Creek Trail @ the Falls</t>
  </si>
  <si>
    <t>BL-0080</t>
  </si>
  <si>
    <t>Pop 27</t>
  </si>
  <si>
    <t>0.4 mi on Middle Prong Trail</t>
  </si>
  <si>
    <t>BL-0081</t>
  </si>
  <si>
    <t>Pop 28</t>
  </si>
  <si>
    <t>0.6 mi on Indian Fort Mtn Trail Berea College Forest</t>
  </si>
  <si>
    <t>BL-0082</t>
  </si>
  <si>
    <t>Pop 29</t>
  </si>
  <si>
    <t>0.15 mi into Morgan Hollow off 421</t>
  </si>
  <si>
    <t>BL-0083</t>
  </si>
  <si>
    <t>Pop 30</t>
  </si>
  <si>
    <t>Cedar Lodge in Batelle Darby MP</t>
  </si>
  <si>
    <t>BL-0084</t>
  </si>
  <si>
    <t>Pop 31</t>
  </si>
  <si>
    <t>Dry Creek Bed 6 mi N of Whipple State Nature Preserve</t>
  </si>
  <si>
    <t>BL-0085</t>
  </si>
  <si>
    <t>Pop 32</t>
  </si>
  <si>
    <t>Whipple State Nature Preserve</t>
  </si>
  <si>
    <t>BL-0086</t>
  </si>
  <si>
    <t>Pop 33</t>
  </si>
  <si>
    <t>OK</t>
  </si>
  <si>
    <t>Cherokee Co.</t>
  </si>
  <si>
    <t>Lynn Michael</t>
  </si>
  <si>
    <t>Pop 34</t>
  </si>
  <si>
    <t>MI</t>
  </si>
  <si>
    <t>Washtenaw Co.</t>
  </si>
  <si>
    <t>Keesling Collection</t>
  </si>
  <si>
    <t>Pop 35</t>
  </si>
  <si>
    <t>WV</t>
  </si>
  <si>
    <t>Monongalia Co.</t>
  </si>
  <si>
    <t>JVF 3163 WV?</t>
  </si>
  <si>
    <t>Pop 36</t>
  </si>
  <si>
    <t>JVF 3164 WV?</t>
  </si>
  <si>
    <t>Pop 37</t>
  </si>
  <si>
    <t>Meigs Co.</t>
  </si>
  <si>
    <t>JVF 3165 WV?</t>
  </si>
  <si>
    <t>Pop 38</t>
  </si>
  <si>
    <t>NY</t>
  </si>
  <si>
    <t>Delaware Co.</t>
  </si>
  <si>
    <t>Ding 8906 N.Y.</t>
  </si>
  <si>
    <t>Pop 39</t>
  </si>
  <si>
    <t>Cole collection OH</t>
  </si>
  <si>
    <t>Pop 40</t>
  </si>
  <si>
    <t>Sugar Creek Metro Park</t>
  </si>
  <si>
    <t>BL-0087</t>
  </si>
  <si>
    <t>Pop 41</t>
  </si>
  <si>
    <t>IN</t>
  </si>
  <si>
    <t>Holiday Park Nature Center</t>
  </si>
  <si>
    <t>BL-0088</t>
  </si>
  <si>
    <t>Pop 42</t>
  </si>
  <si>
    <t>Fort Harrison State Park</t>
  </si>
  <si>
    <t>BL-0089</t>
  </si>
  <si>
    <t>Pop 43</t>
  </si>
  <si>
    <t>Eagle Creek Park</t>
  </si>
  <si>
    <t>BL-0090</t>
  </si>
  <si>
    <t>Pop 44</t>
  </si>
  <si>
    <t>McCormick Creek State Park</t>
  </si>
  <si>
    <t>BL-0091</t>
  </si>
  <si>
    <t>Pop 45</t>
  </si>
  <si>
    <t>BL-0092</t>
  </si>
  <si>
    <t>Pop 46</t>
  </si>
  <si>
    <t>MO</t>
  </si>
  <si>
    <t>Ennemmger Nature Park</t>
  </si>
  <si>
    <t>BL-0093</t>
  </si>
  <si>
    <t>Pop 47</t>
  </si>
  <si>
    <t>Castlewood State Park</t>
  </si>
  <si>
    <t>BL-0094</t>
  </si>
  <si>
    <t>Pop 48</t>
  </si>
  <si>
    <t>Davisonville Campground</t>
  </si>
  <si>
    <t>BL-0095</t>
  </si>
  <si>
    <t>Pop 49</t>
  </si>
  <si>
    <t>Johnson's Shut Ins State Park</t>
  </si>
  <si>
    <t>BL-0096</t>
  </si>
  <si>
    <t>Pop 50</t>
  </si>
  <si>
    <t>voucher, 3 individuals</t>
  </si>
  <si>
    <t>Castor River Shut Ins</t>
  </si>
  <si>
    <t>BL-0097</t>
  </si>
  <si>
    <t>Pop 51</t>
  </si>
  <si>
    <t>River Road, AR</t>
  </si>
  <si>
    <t>AR</t>
  </si>
  <si>
    <t>Pop 52</t>
  </si>
  <si>
    <t>Maple Woods Conservation Area</t>
  </si>
  <si>
    <t>Pop 53</t>
  </si>
  <si>
    <t>River Bluff Park</t>
  </si>
  <si>
    <t>Pop 54</t>
  </si>
  <si>
    <t>Pop 55</t>
  </si>
  <si>
    <t>Pop 56</t>
  </si>
  <si>
    <t>Pop 57</t>
  </si>
  <si>
    <t>Voucher, 2 individuals</t>
  </si>
  <si>
    <t>Prairie Oaks Metro Park</t>
  </si>
  <si>
    <t>BL-0098</t>
  </si>
  <si>
    <t>Pop 58</t>
  </si>
  <si>
    <t>Charleston Falls Preserve</t>
  </si>
  <si>
    <t>BL-0099</t>
  </si>
  <si>
    <t>Pop 59</t>
  </si>
  <si>
    <t>Englewood Metro Park</t>
  </si>
  <si>
    <t>BL-0100</t>
  </si>
  <si>
    <t>Pop 60</t>
  </si>
  <si>
    <t>Paul Ruster Park</t>
  </si>
  <si>
    <t>BL-0101</t>
  </si>
  <si>
    <t>Pop 61</t>
  </si>
  <si>
    <t>Voucher, 1 individual</t>
  </si>
  <si>
    <t>Marrot Woods Nature Preserve</t>
  </si>
  <si>
    <t>BL-0102</t>
  </si>
  <si>
    <t>Pop 62</t>
  </si>
  <si>
    <t>Shades State Park</t>
  </si>
  <si>
    <t>BL-0103</t>
  </si>
  <si>
    <t>Pop 63</t>
  </si>
  <si>
    <t>Turkey Run State Park</t>
  </si>
  <si>
    <t>BL-0104</t>
  </si>
  <si>
    <t>Pop 64</t>
  </si>
  <si>
    <t>Happy Hollow Park</t>
  </si>
  <si>
    <t>BL-0105</t>
  </si>
  <si>
    <t>Pop 65</t>
  </si>
  <si>
    <t>IL</t>
  </si>
  <si>
    <t>Kankake River Trail</t>
  </si>
  <si>
    <t>BL-0106</t>
  </si>
  <si>
    <t>Pop 66</t>
  </si>
  <si>
    <t>Starved Rock State Park</t>
  </si>
  <si>
    <t>BL-0107</t>
  </si>
  <si>
    <t>Pop 67</t>
  </si>
  <si>
    <t>Atwood Park</t>
  </si>
  <si>
    <t>BL-0108</t>
  </si>
  <si>
    <t>Pop 68</t>
  </si>
  <si>
    <t>Funderburg Forest Preserve</t>
  </si>
  <si>
    <t>BL-0109</t>
  </si>
  <si>
    <t>Pop 69</t>
  </si>
  <si>
    <t>Reuben Aldee Park</t>
  </si>
  <si>
    <t>BL-0110</t>
  </si>
  <si>
    <t>Pop 70</t>
  </si>
  <si>
    <t>Towering Pines Loop Trail</t>
  </si>
  <si>
    <t>BL-0111</t>
  </si>
  <si>
    <t>Pop 71</t>
  </si>
  <si>
    <t>Carver-Rohl Park</t>
  </si>
  <si>
    <t>BL-0112</t>
  </si>
  <si>
    <t>Pop 72</t>
  </si>
  <si>
    <t>WI</t>
  </si>
  <si>
    <t>Owen Conservation Park</t>
  </si>
  <si>
    <t>BL-0113</t>
  </si>
  <si>
    <t>Pop 73</t>
  </si>
  <si>
    <t>Cross Plains State Park</t>
  </si>
  <si>
    <t>BL-0114</t>
  </si>
  <si>
    <t>Pop 74</t>
  </si>
  <si>
    <t>Ice Cave Trail- Wildcat Mountain State Park</t>
  </si>
  <si>
    <t>BL-0115</t>
  </si>
  <si>
    <t>Pop 75</t>
  </si>
  <si>
    <t>MN</t>
  </si>
  <si>
    <t>Woodlawn Cemetery</t>
  </si>
  <si>
    <t>BL-0116</t>
  </si>
  <si>
    <t>Pop 76</t>
  </si>
  <si>
    <t>White Water State Park</t>
  </si>
  <si>
    <t>BL-0117</t>
  </si>
  <si>
    <t>Pop 77</t>
  </si>
  <si>
    <t>Quarry Hill Trail</t>
  </si>
  <si>
    <t>BL-0118</t>
  </si>
  <si>
    <t>Pop 78</t>
  </si>
  <si>
    <t>Pop#_Type_Species</t>
  </si>
  <si>
    <t>putative species</t>
  </si>
  <si>
    <t>Collection_Label</t>
  </si>
  <si>
    <t>Locality_Notes</t>
  </si>
  <si>
    <t>Sepal Length(Avg)</t>
  </si>
  <si>
    <t>Sepal angle(deg)</t>
  </si>
  <si>
    <t>Sepal lobe shape</t>
  </si>
  <si>
    <t>Calyx adaxial vestiture (Y/N)</t>
  </si>
  <si>
    <t>Calyx abaxial vestiture (Y/N)</t>
  </si>
  <si>
    <t>Calyx abaxial glandular trichomes (Y/N)</t>
  </si>
  <si>
    <t>Leaf Shape</t>
  </si>
  <si>
    <t>Adaxial lf pub</t>
  </si>
  <si>
    <t>Abaxial lf pub</t>
  </si>
  <si>
    <t>Leaf width (avg. cm)</t>
  </si>
  <si>
    <t>leaf length (avg. cm)</t>
  </si>
  <si>
    <t>Tube_Color</t>
  </si>
  <si>
    <t>Rudimentary_Petals (Y/N)</t>
  </si>
  <si>
    <t>Stamen_Length</t>
  </si>
  <si>
    <t>Stamen_Width</t>
  </si>
  <si>
    <t>Tube_Length?</t>
  </si>
  <si>
    <t>Col_1_Ind_1</t>
  </si>
  <si>
    <t>Upper Level</t>
  </si>
  <si>
    <t>Curved inward significantly, longer than typical lobes, folding in on themselves</t>
  </si>
  <si>
    <t>Y(very small purple hairs; no white; purple hairs taper off at ends of sepals)</t>
  </si>
  <si>
    <t>Y (dense, long hairs)</t>
  </si>
  <si>
    <t>Chordate</t>
  </si>
  <si>
    <t>Y (evenly across top of leaf)</t>
  </si>
  <si>
    <t>Y (light pub entire coverage)</t>
  </si>
  <si>
    <t>Just Below Tube</t>
  </si>
  <si>
    <t>Col_2_Ind1</t>
  </si>
  <si>
    <t>Slope</t>
  </si>
  <si>
    <t>Slight Refelex</t>
  </si>
  <si>
    <t>Y(very small purple hairs; no white)</t>
  </si>
  <si>
    <t>Reniform</t>
  </si>
  <si>
    <t>Col_3_Ind_1</t>
  </si>
  <si>
    <t>Lower Slope</t>
  </si>
  <si>
    <t>Highly Reflexed</t>
  </si>
  <si>
    <t>Col_4_Ind_1</t>
  </si>
  <si>
    <t>intermediate</t>
  </si>
  <si>
    <t>Strange morphology: leaves reniform but have deep vein impression like acumintatum found here. Flowers intermediate in length, resembling canadense somewhat, but sepals ranged from reflexed to incurved. Strongly suspect this is a hybrid of the two putative segregatees found in Clifton Gorge</t>
  </si>
  <si>
    <t>Col_5_Ind_1</t>
  </si>
  <si>
    <t>Curved inward slightly</t>
  </si>
  <si>
    <t>These are two collections from same area but seems to be co-occurrence of two species.</t>
  </si>
  <si>
    <t>Col_5_Ind_2</t>
  </si>
  <si>
    <t>Col_6_Ind_1</t>
  </si>
  <si>
    <t>Curved inward tremendously, longer than typical lobes, folding in on themselves</t>
  </si>
  <si>
    <t>Col_7_Ind_1</t>
  </si>
  <si>
    <t>Flood Plain</t>
  </si>
  <si>
    <t>Col_7_Ind_2</t>
  </si>
  <si>
    <t>Col_7_Ind_3</t>
  </si>
  <si>
    <t>Col_8_Ind_1</t>
  </si>
  <si>
    <t>Flat</t>
  </si>
  <si>
    <t>Pop#_Ind#</t>
  </si>
  <si>
    <t>Putative_Species</t>
  </si>
  <si>
    <t>Anthesis_Position</t>
  </si>
  <si>
    <t>Avg_Sepal_Length (cm)</t>
  </si>
  <si>
    <t>Avg_Sepal_Width (cm)</t>
  </si>
  <si>
    <t>Avg_Sepal_Angle (degrees)</t>
  </si>
  <si>
    <t>Sepal_Lobe_Orientation</t>
  </si>
  <si>
    <t>Sepal_Tip_Shape</t>
  </si>
  <si>
    <t>Calyx_Adaxial_Vestiture (Y/N)</t>
  </si>
  <si>
    <t>Calyx_Abaxial_Vestiture (Y/N)</t>
  </si>
  <si>
    <t>Leaf_Shape</t>
  </si>
  <si>
    <t>Adaxial_Leaf_Pubescence</t>
  </si>
  <si>
    <t>Abaxial_Leaf_Pubescence</t>
  </si>
  <si>
    <t>Avg_Leaf_Width (cm)</t>
  </si>
  <si>
    <t>Avg_Leaf_Length (cm)</t>
  </si>
  <si>
    <t>Petiole_Width</t>
  </si>
  <si>
    <t>Petiole_Length</t>
  </si>
  <si>
    <t>Pedicle_Width</t>
  </si>
  <si>
    <t>Pedicle_Length</t>
  </si>
  <si>
    <t>Bract_Width</t>
  </si>
  <si>
    <t>Bract_Length</t>
  </si>
  <si>
    <t>Style_Tube_Shape</t>
  </si>
  <si>
    <t>Notes</t>
  </si>
  <si>
    <t>Pop1_Ind1</t>
  </si>
  <si>
    <t>Alford_Collection</t>
  </si>
  <si>
    <t>erect</t>
  </si>
  <si>
    <t>Intermediate (Some reflexed, others not)</t>
  </si>
  <si>
    <t>Y(short hairs)</t>
  </si>
  <si>
    <t>Y (mostly on margins)</t>
  </si>
  <si>
    <t>Pop1_Ind2</t>
  </si>
  <si>
    <t>Reflexed</t>
  </si>
  <si>
    <t>Reniform-chordate</t>
  </si>
  <si>
    <t>Pop1_Ind3</t>
  </si>
  <si>
    <t>Y (moderate pub entire coverage)</t>
  </si>
  <si>
    <t>Pop2_Ind1</t>
  </si>
  <si>
    <t>OCLC- Ohio</t>
  </si>
  <si>
    <t>Pop2_Ind2</t>
  </si>
  <si>
    <t>Pop2_Ind3</t>
  </si>
  <si>
    <t>Pop3_Ind1</t>
  </si>
  <si>
    <t>unknown</t>
  </si>
  <si>
    <t>Pop3_Ind2</t>
  </si>
  <si>
    <t>Pop3_Ind3</t>
  </si>
  <si>
    <t>Pop4_Ind1</t>
  </si>
  <si>
    <t>Y(very small purple hairs; no white, much less purple hairs than other pops)</t>
  </si>
  <si>
    <t>Y (less dense begininning at lobe division)</t>
  </si>
  <si>
    <t>Pop4_Ind2</t>
  </si>
  <si>
    <t>"petals" look very much like stamens/staminodes. Some may even have anthers</t>
  </si>
  <si>
    <t>Pop4_Ind3</t>
  </si>
  <si>
    <t>Pop5_Ind1</t>
  </si>
  <si>
    <t>Curved inward significantly</t>
  </si>
  <si>
    <t>Y(very small white hairs, no purple)</t>
  </si>
  <si>
    <t>Pop5_Ind2</t>
  </si>
  <si>
    <t>Intermediate</t>
  </si>
  <si>
    <t>Pop5_Ind3</t>
  </si>
  <si>
    <t>Pop6_Ind1</t>
  </si>
  <si>
    <t>Clifton Gorge- OH</t>
  </si>
  <si>
    <t>Y (densly uniform until start of tube)</t>
  </si>
  <si>
    <t>Pop6_Ind2</t>
  </si>
  <si>
    <t>Flat, long sepal lobes</t>
  </si>
  <si>
    <t>Pop6_Ind3</t>
  </si>
  <si>
    <t>Pop6_Ind4</t>
  </si>
  <si>
    <t>leaf apex eaten</t>
  </si>
  <si>
    <t>Pop7_Ind1</t>
  </si>
  <si>
    <t>Y(very small purple hairs; very few white)</t>
  </si>
  <si>
    <t>Reniform-Chordate</t>
  </si>
  <si>
    <t>Pop7_Ind2</t>
  </si>
  <si>
    <t>Pop8_Ind1</t>
  </si>
  <si>
    <t>Slight reflex</t>
  </si>
  <si>
    <t>Pop8_Ind2</t>
  </si>
  <si>
    <t>Pop8_Ind3</t>
  </si>
  <si>
    <t>Pop9_Ind1</t>
  </si>
  <si>
    <t>Pop9_Ind2</t>
  </si>
  <si>
    <t>Pop9_Ind3</t>
  </si>
  <si>
    <t>Pop10_Ind1</t>
  </si>
  <si>
    <t>Congaree HP-SC</t>
  </si>
  <si>
    <t xml:space="preserve">Very little calyx pubescence </t>
  </si>
  <si>
    <t>Just below tube</t>
  </si>
  <si>
    <t>Pop10_Ind2</t>
  </si>
  <si>
    <t>Pop10_Ind3</t>
  </si>
  <si>
    <t>Pop11_Ind1</t>
  </si>
  <si>
    <t>40 Acre (big leaves)-SC</t>
  </si>
  <si>
    <t>Pop11_Ind2</t>
  </si>
  <si>
    <t>Pop11_Ind3</t>
  </si>
  <si>
    <t>Pop12_Ind1</t>
  </si>
  <si>
    <t>Pop12_Ind2</t>
  </si>
  <si>
    <t>Pop12_Ind3</t>
  </si>
  <si>
    <t>Pop13_Ind1</t>
  </si>
  <si>
    <t>Tryon</t>
  </si>
  <si>
    <t>horizontal</t>
  </si>
  <si>
    <t>Y (only on veins)</t>
  </si>
  <si>
    <t>Pop13_Ind2</t>
  </si>
  <si>
    <t>Pop13_Ind3</t>
  </si>
  <si>
    <t>Pop14_Ind1</t>
  </si>
  <si>
    <t>Pop14_Ind2</t>
  </si>
  <si>
    <t>Pop14_Ind3</t>
  </si>
  <si>
    <t>Pop15_Ind1</t>
  </si>
  <si>
    <t>Grandfather SP</t>
  </si>
  <si>
    <t>Pop15_Ind2</t>
  </si>
  <si>
    <t>Pop15_Ind3</t>
  </si>
  <si>
    <t>Pop16_Ind1</t>
  </si>
  <si>
    <t>Pisgah</t>
  </si>
  <si>
    <t>Pop16_Ind2</t>
  </si>
  <si>
    <t xml:space="preserve">very little calyx pubescence </t>
  </si>
  <si>
    <t>Pop16_Ind3</t>
  </si>
  <si>
    <t>Pop17_Ind1</t>
  </si>
  <si>
    <t>App Trail</t>
  </si>
  <si>
    <t>Pop17_Ind2</t>
  </si>
  <si>
    <t>Pop17_Ind3</t>
  </si>
  <si>
    <t>Pop18_Ind1</t>
  </si>
  <si>
    <t>Roan Mtn SP</t>
  </si>
  <si>
    <t>Pop18_Ind2</t>
  </si>
  <si>
    <t>Pop18_Ind3</t>
  </si>
  <si>
    <t>Pop19_Ind1</t>
  </si>
  <si>
    <t>Black Mtn Trail</t>
  </si>
  <si>
    <t>Pop19_Ind2</t>
  </si>
  <si>
    <t>Pop19_Ind3</t>
  </si>
  <si>
    <t>Pop20_Ind1</t>
  </si>
  <si>
    <t>Bear Path Cane Creek</t>
  </si>
  <si>
    <t>Stamens eaten/fallen off</t>
  </si>
  <si>
    <t>Pop20_Ind2</t>
  </si>
  <si>
    <t>Pop20_Ind3</t>
  </si>
  <si>
    <t>Pop21_Ind1</t>
  </si>
  <si>
    <t>Swinging Vine Trail</t>
  </si>
  <si>
    <t>Pop21_Ind2</t>
  </si>
  <si>
    <t>Pop21_Ind3</t>
  </si>
  <si>
    <t>Pop22_Ind1</t>
  </si>
  <si>
    <t>Happy Face Alley</t>
  </si>
  <si>
    <t>Pop22_Ind2</t>
  </si>
  <si>
    <t>Pop22_Ind3</t>
  </si>
  <si>
    <t>Pop23_Ind1</t>
  </si>
  <si>
    <t>Sugar Loaf Rd</t>
  </si>
  <si>
    <t>Pop23_Ind2</t>
  </si>
  <si>
    <t>Pop23_Ind3</t>
  </si>
  <si>
    <t>Pop24_Ind1</t>
  </si>
  <si>
    <t>Huskey Gap Trail</t>
  </si>
  <si>
    <t>Pop24_Ind2</t>
  </si>
  <si>
    <t>Pop24_Ind3</t>
  </si>
  <si>
    <t>Pop25_Ind1</t>
  </si>
  <si>
    <t>Little Creek Trail</t>
  </si>
  <si>
    <t>Slightly further down tube</t>
  </si>
  <si>
    <t>Pop25_Ind2</t>
  </si>
  <si>
    <t>Pop25_Ind3</t>
  </si>
  <si>
    <t>Pop25_Ind4</t>
  </si>
  <si>
    <t>Pop26_Ind1</t>
  </si>
  <si>
    <t>Meigs Creek trail</t>
  </si>
  <si>
    <t>Pop26_Ind2</t>
  </si>
  <si>
    <t>Pop26_Ind3</t>
  </si>
  <si>
    <t>Pop27_Ind1</t>
  </si>
  <si>
    <t>Middle Prong Trail</t>
  </si>
  <si>
    <t>Pop27_Ind2</t>
  </si>
  <si>
    <t>Pop27_Ind3</t>
  </si>
  <si>
    <t>Pop28_Ind1</t>
  </si>
  <si>
    <t>Berea College</t>
  </si>
  <si>
    <t>Pop28_Ind2</t>
  </si>
  <si>
    <t>Pop28_Ind3</t>
  </si>
  <si>
    <t>1/3 down tube</t>
  </si>
  <si>
    <t>Pop29_Ind1</t>
  </si>
  <si>
    <t>Berea/Morgan Hollow</t>
  </si>
  <si>
    <t>Pop29_Ind2</t>
  </si>
  <si>
    <t>1/2 down tube</t>
  </si>
  <si>
    <t>Pop29_Ind3</t>
  </si>
  <si>
    <t>Pop30_Ind1</t>
  </si>
  <si>
    <t>Batelle Darby MP</t>
  </si>
  <si>
    <t>Pop30_Ind2</t>
  </si>
  <si>
    <t>Pop30_Ind3</t>
  </si>
  <si>
    <t>Pop31_Ind1</t>
  </si>
  <si>
    <t>6 mi N of Whipple State NP</t>
  </si>
  <si>
    <t>Pop doesn't fit reflexum very well</t>
  </si>
  <si>
    <t>Pop31_Ind2</t>
  </si>
  <si>
    <t>12.83*</t>
  </si>
  <si>
    <t>Pop doesn't fit reflexum very well; abnormal leaf development on individual (nearly English-ivy like leaf and one sagitate)</t>
  </si>
  <si>
    <t>Pop31_Ind3</t>
  </si>
  <si>
    <t>Pop31_Ind4</t>
  </si>
  <si>
    <t>Pop32_Ind1</t>
  </si>
  <si>
    <t>Pop32_Ind2</t>
  </si>
  <si>
    <t>Pop32_Ind3</t>
  </si>
  <si>
    <t>Pop33_Ind1</t>
  </si>
  <si>
    <t>Oklahoma (Inat?)</t>
  </si>
  <si>
    <t>Oklahoma</t>
  </si>
  <si>
    <t>Pop33_Ind2</t>
  </si>
  <si>
    <t>Pop doesn't fit reflexum very well, leaves sliightly abnormal one looks like english ivy</t>
  </si>
  <si>
    <t>Pop33_Ind3</t>
  </si>
  <si>
    <t>Pop doesn't fit reflexum very well, no flowers on ind</t>
  </si>
  <si>
    <t>Pop34_Ind1</t>
  </si>
  <si>
    <t>Ann Arbor, MI</t>
  </si>
  <si>
    <t>Only two sepals and high herbivory</t>
  </si>
  <si>
    <t>Pop34_Ind2</t>
  </si>
  <si>
    <t>Pop34_Ind3</t>
  </si>
  <si>
    <t>Pop35_Ind1</t>
  </si>
  <si>
    <t>Pop35_Ind2</t>
  </si>
  <si>
    <t>Pop35_Ind3</t>
  </si>
  <si>
    <t>Pop36_Ind1</t>
  </si>
  <si>
    <t>individual doesn’t fit reflexum well</t>
  </si>
  <si>
    <t>Pop36_Ind2</t>
  </si>
  <si>
    <t>Pop36_Ind3</t>
  </si>
  <si>
    <t>Pop36_Ind4</t>
  </si>
  <si>
    <t>Pop36_Ind5</t>
  </si>
  <si>
    <t>Pop36_Ind6</t>
  </si>
  <si>
    <t>Pop37_Ind1</t>
  </si>
  <si>
    <t>Pop37_Ind2</t>
  </si>
  <si>
    <t>Pop37_Ind3</t>
  </si>
  <si>
    <t>Pop37_Ind4</t>
  </si>
  <si>
    <t>Completely purple</t>
  </si>
  <si>
    <t>Pop38_Ind1</t>
  </si>
  <si>
    <t>Pop39_Ind1</t>
  </si>
  <si>
    <t>Pop39_Ind2</t>
  </si>
  <si>
    <t>Pop39_Ind3</t>
  </si>
  <si>
    <t>Pop40_Ind1</t>
  </si>
  <si>
    <t>Sugar Creek MP, Dayton, OH</t>
  </si>
  <si>
    <t>Pop40_Ind2</t>
  </si>
  <si>
    <t>Pop40_Ind3</t>
  </si>
  <si>
    <t>Pop41_Ind1</t>
  </si>
  <si>
    <t>Holiday Park</t>
  </si>
  <si>
    <t>Doesn't fit reflexum well; several closed flowers in pop</t>
  </si>
  <si>
    <t>Pop41_Ind2</t>
  </si>
  <si>
    <t>Pop41_Ind3</t>
  </si>
  <si>
    <t>Pop42_Ind1</t>
  </si>
  <si>
    <t>Harrison State Park- IN</t>
  </si>
  <si>
    <t>Pop42_Ind2</t>
  </si>
  <si>
    <t>Pop42_Ind3</t>
  </si>
  <si>
    <t>Pop43_Ind1</t>
  </si>
  <si>
    <t>Eagle Creek SP-IN</t>
  </si>
  <si>
    <t>Pop43_Ind2</t>
  </si>
  <si>
    <t>Pop43_Ind3</t>
  </si>
  <si>
    <t>Pop44_Ind1</t>
  </si>
  <si>
    <t>McCormick Creek State Park-IN (Acuminatum)</t>
  </si>
  <si>
    <t>Pop44_Ind2</t>
  </si>
  <si>
    <t>filaments with appendage/beak</t>
  </si>
  <si>
    <t>Pop44_Ind3</t>
  </si>
  <si>
    <t>Pop45_Ind1</t>
  </si>
  <si>
    <t>McCormick Creek State Park-IN (Reflexum?)</t>
  </si>
  <si>
    <t>individual doesn’t fit reflexum well; sepals a bit long;strange appendage on filaments (complete filaments?)</t>
  </si>
  <si>
    <t>Pop45_Ind2</t>
  </si>
  <si>
    <t>individual doesn’t fit reflexum well; strange appendage on filaments (complete filaments?)</t>
  </si>
  <si>
    <t>Pop45_Ind3</t>
  </si>
  <si>
    <t>individual doesn’t fit reflexum well; sepals a bit long; strange appendage on filaments (complete filaments?)</t>
  </si>
  <si>
    <t>Pop46_Ind1</t>
  </si>
  <si>
    <t>Pop46_Ind2</t>
  </si>
  <si>
    <t>Pop46_Ind3</t>
  </si>
  <si>
    <t>Closed</t>
  </si>
  <si>
    <t>individual doesn’t fit reflexum well; closed flower; strange appendage on filaments (complete filaments?)</t>
  </si>
  <si>
    <t>Pop46_Ind4</t>
  </si>
  <si>
    <t>Pop47_Ind1</t>
  </si>
  <si>
    <t>Pop47_Ind2</t>
  </si>
  <si>
    <t>Pop47_Ind3</t>
  </si>
  <si>
    <t>Pop48_Ind1</t>
  </si>
  <si>
    <t>Davisonville State Park</t>
  </si>
  <si>
    <t>Pop48_Ind2</t>
  </si>
  <si>
    <t>Pop48_Ind3</t>
  </si>
  <si>
    <t>Pop49_Ind1</t>
  </si>
  <si>
    <t>Johnson's Shut-Ins State Park</t>
  </si>
  <si>
    <t>Pop49_Ind2</t>
  </si>
  <si>
    <t>Pop49_Ind3</t>
  </si>
  <si>
    <t>Pop50_Ind1</t>
  </si>
  <si>
    <t>Castor River Shut ins</t>
  </si>
  <si>
    <t>Pop50_Ind2</t>
  </si>
  <si>
    <t>Pop50_Ind3</t>
  </si>
  <si>
    <t>Pop51_Ind1</t>
  </si>
  <si>
    <t>Arkansas collection</t>
  </si>
  <si>
    <t>No flowers</t>
  </si>
  <si>
    <t>Pop51_Ind2</t>
  </si>
  <si>
    <t>Pop51_Ind3</t>
  </si>
  <si>
    <t>Pop51_Ind4</t>
  </si>
  <si>
    <t>Pop52_Ind1</t>
  </si>
  <si>
    <t>Missouri collection 1</t>
  </si>
  <si>
    <t>Pop52_Ind2</t>
  </si>
  <si>
    <t>herbivory on one leaf making it a bit shorter</t>
  </si>
  <si>
    <t>Pop52_Ind3</t>
  </si>
  <si>
    <t>Pop53_Ind1</t>
  </si>
  <si>
    <t>Missouri collection 2</t>
  </si>
  <si>
    <t>Stamens strange (filaments wider in middle)</t>
  </si>
  <si>
    <t>Pop53_Ind2</t>
  </si>
  <si>
    <t>Pop53_Ind3</t>
  </si>
  <si>
    <t>Pop54_Voucher</t>
  </si>
  <si>
    <t>WI- Jeff Rose Collection</t>
  </si>
  <si>
    <t>Pop54_Ind1</t>
  </si>
  <si>
    <t>flowers only, leaves crushed in silica gel</t>
  </si>
  <si>
    <t>Pop54_Ind2</t>
  </si>
  <si>
    <t>Pop54_Ind3</t>
  </si>
  <si>
    <t>Pop55_Ind1</t>
  </si>
  <si>
    <t>MI- John Collection</t>
  </si>
  <si>
    <t xml:space="preserve">MI </t>
  </si>
  <si>
    <t>slight reflex</t>
  </si>
  <si>
    <t>Pop55_Ind2</t>
  </si>
  <si>
    <t>Pop55_Ind3</t>
  </si>
  <si>
    <t>Pop56_Ind1</t>
  </si>
  <si>
    <t>WI- John Collection 3169</t>
  </si>
  <si>
    <t>Pop56_Ind2</t>
  </si>
  <si>
    <t>WI- John Collection 3170</t>
  </si>
  <si>
    <t>Pop56_Ind3</t>
  </si>
  <si>
    <t>WI- John Collection 3171</t>
  </si>
  <si>
    <t>Pop57_Ind1</t>
  </si>
  <si>
    <t>Prairie Oaks MP</t>
  </si>
  <si>
    <t>Abrupt</t>
  </si>
  <si>
    <t>Fluted</t>
  </si>
  <si>
    <t>Pop57_Ind2</t>
  </si>
  <si>
    <t>Pop57_Ind3</t>
  </si>
  <si>
    <t>Pop58_Ind1</t>
  </si>
  <si>
    <t>Pop58_Ind2</t>
  </si>
  <si>
    <t>Pop58_Ind3</t>
  </si>
  <si>
    <t>Leaves leathery and large with prominent veination</t>
  </si>
  <si>
    <t>Pop59_Ind1</t>
  </si>
  <si>
    <t>Pop59_Ind2</t>
  </si>
  <si>
    <t>Pop59_Ind3</t>
  </si>
  <si>
    <t>Pop60_Ind1</t>
  </si>
  <si>
    <t>Pop60_Ind2</t>
  </si>
  <si>
    <t>Pop60_Ind3</t>
  </si>
  <si>
    <t>Pop61_Ind1</t>
  </si>
  <si>
    <t>Pop61_Ind2</t>
  </si>
  <si>
    <t>Pop62_Ind1</t>
  </si>
  <si>
    <t>Tapering</t>
  </si>
  <si>
    <t>Pop62_Ind2</t>
  </si>
  <si>
    <t>Pop62_Ind3</t>
  </si>
  <si>
    <t>Pop63_Ind1</t>
  </si>
  <si>
    <t>Pop63_Ind2</t>
  </si>
  <si>
    <t>Pop63_Ind3</t>
  </si>
  <si>
    <t>Pop64_Ind1</t>
  </si>
  <si>
    <t>Pop64_Ind2</t>
  </si>
  <si>
    <t>Pop65_Ind1</t>
  </si>
  <si>
    <t>Veins prominent</t>
  </si>
  <si>
    <t>Pop65_Ind2</t>
  </si>
  <si>
    <t>Pop65_Ind3</t>
  </si>
  <si>
    <t>Pop66_Ind1</t>
  </si>
  <si>
    <t>Pop66_Ind2</t>
  </si>
  <si>
    <t>Leaf tips eaten, veins prominent</t>
  </si>
  <si>
    <t>Pop66_Ind3</t>
  </si>
  <si>
    <t>Pop67_Ind1</t>
  </si>
  <si>
    <t>Pop67_Ind2</t>
  </si>
  <si>
    <t>Pop67_Ind3</t>
  </si>
  <si>
    <t>Pop68_Ind1</t>
  </si>
  <si>
    <t xml:space="preserve">Funderburg Forest Preserve </t>
  </si>
  <si>
    <t>Pop68_Ind2</t>
  </si>
  <si>
    <t>Pop68_Ind3</t>
  </si>
  <si>
    <t>Pop69_Ind1</t>
  </si>
  <si>
    <t>Rueben Aldee Park</t>
  </si>
  <si>
    <t>Pop69_Ind2</t>
  </si>
  <si>
    <t>Pop70_Ind1</t>
  </si>
  <si>
    <t>Pop70_Ind2</t>
  </si>
  <si>
    <t>Pop70_Ind3</t>
  </si>
  <si>
    <t>Pop71_Ind1</t>
  </si>
  <si>
    <t>Pop71_Ind2</t>
  </si>
  <si>
    <t>Pop71_Ind3</t>
  </si>
  <si>
    <t>Pop72_Ind1</t>
  </si>
  <si>
    <t>Pop72_Ind2</t>
  </si>
  <si>
    <t>Pop72_Ind3</t>
  </si>
  <si>
    <t>Pop73_Ind1</t>
  </si>
  <si>
    <t>Pop73_Ind2</t>
  </si>
  <si>
    <t>Pop73_Ind3</t>
  </si>
  <si>
    <t>Pop74_Ind1</t>
  </si>
  <si>
    <t>Pop74_Ind2</t>
  </si>
  <si>
    <t>Pop75_Ind1</t>
  </si>
  <si>
    <t>Pop75_Ind2</t>
  </si>
  <si>
    <t>Pop75_Ind3</t>
  </si>
  <si>
    <t>Pop76_Ind1</t>
  </si>
  <si>
    <t>Pop76_Ind2</t>
  </si>
  <si>
    <t>Pop76_Ind3</t>
  </si>
  <si>
    <t>Pop77_Ind1</t>
  </si>
  <si>
    <t>Pop77_Ind2</t>
  </si>
  <si>
    <t>Pop78_Ind1</t>
  </si>
  <si>
    <t>Mystery Cave State Park</t>
  </si>
  <si>
    <t>Pop78_Ind2</t>
  </si>
  <si>
    <t>Pop78_Ind3</t>
  </si>
  <si>
    <t>Population</t>
  </si>
  <si>
    <t>pH</t>
  </si>
  <si>
    <t>Pop_25</t>
  </si>
  <si>
    <t>Pop_24</t>
  </si>
  <si>
    <t>Tube_Diameter</t>
  </si>
  <si>
    <t>Characters to measure</t>
  </si>
  <si>
    <t>Typical</t>
  </si>
  <si>
    <t>Dense</t>
  </si>
  <si>
    <t>Margins</t>
  </si>
  <si>
    <t>Entire</t>
  </si>
  <si>
    <t>N</t>
  </si>
  <si>
    <t>Petiole length</t>
  </si>
  <si>
    <t>Petiole width</t>
  </si>
  <si>
    <t>Renifrom-chordate</t>
  </si>
  <si>
    <t>Throughout</t>
  </si>
  <si>
    <t>Pedicle length</t>
  </si>
  <si>
    <t>Pedicle width</t>
  </si>
  <si>
    <t>Internode length?</t>
  </si>
  <si>
    <t>Calyx pubescence length</t>
  </si>
  <si>
    <t>Incurved</t>
  </si>
  <si>
    <t>Abaxial leaf pub length</t>
  </si>
  <si>
    <t>Avg root length?</t>
  </si>
  <si>
    <t>Internode width?</t>
  </si>
  <si>
    <t>Scarce</t>
  </si>
  <si>
    <t>Lobes Dense</t>
  </si>
  <si>
    <t>Bract width</t>
  </si>
  <si>
    <t>Bract length</t>
  </si>
  <si>
    <t>Bract pub</t>
  </si>
  <si>
    <t>TN?</t>
  </si>
  <si>
    <t>Tube Dense</t>
  </si>
  <si>
    <t>Sparse</t>
  </si>
  <si>
    <t>At Tube</t>
  </si>
  <si>
    <t>Veins</t>
  </si>
  <si>
    <t>Entire Tube</t>
  </si>
  <si>
    <t>One-third</t>
  </si>
  <si>
    <t>Half Way</t>
  </si>
  <si>
    <t>WV?</t>
  </si>
  <si>
    <t>Y</t>
  </si>
  <si>
    <t xml:space="preserve">Intermediate = Sepal orientation differs on same flower; ie, two reflexed one incurved, etc. </t>
  </si>
  <si>
    <t>Typical = prominent minute purple hairs covering entirety of sepals</t>
  </si>
  <si>
    <t>Dense = dense all over; including on back of sepals</t>
  </si>
  <si>
    <t>Margins = Pub only on margins (and veins)</t>
  </si>
  <si>
    <t>Entie = Pub across entire bottom of leaf</t>
  </si>
  <si>
    <t>At Tube = Purple stops at beginning (top) of tube</t>
  </si>
  <si>
    <t>Not very confident in my recording of this character</t>
  </si>
  <si>
    <t>Incurved = Sepals curving inwards toward interior of tube</t>
  </si>
  <si>
    <t>Scarce = Low amount of purple pubescence, often giving greenish appearence to flowers</t>
  </si>
  <si>
    <t>Lobes Dense = dense pub until lobes begin to divide</t>
  </si>
  <si>
    <t>Throughout = All over leaf</t>
  </si>
  <si>
    <t>Veins = Pub only on veins</t>
  </si>
  <si>
    <t>Half Way = purple color protrudes 1/2 way down tube</t>
  </si>
  <si>
    <t>Reflexed = Sepals recurving away from interior of tube</t>
  </si>
  <si>
    <t>Tapering = Purple pubescence present, but tapers off towards end of sepals; usually seen in specimens with longer sepals</t>
  </si>
  <si>
    <t>Tube Dense = dense pub until start of tubes; back of sepals the only non-dense portion</t>
  </si>
  <si>
    <t>One-third = Purple color protrudes 1/3 way down tube</t>
  </si>
  <si>
    <t>Flat = Sepal orientation primarily horizontal ~ 180 degrees</t>
  </si>
  <si>
    <t>,</t>
  </si>
  <si>
    <t>Sparse = little calyx pub present</t>
  </si>
  <si>
    <t>#May specify extra states called "Entire reflex" and "Entire incurve" to capture more of variation</t>
  </si>
  <si>
    <t>Clifon Gorge</t>
  </si>
  <si>
    <t>Turville Point Conservation Park.</t>
  </si>
  <si>
    <t>Slight reflex (lobes longer than typical canadensebut not long like acumintaum)</t>
  </si>
  <si>
    <t>Strange morphology: leaves reniform but have deep vein impression like acumintatum found here. Flowers intermediate in length, resembling canadensesomewhat, but sepals ranged from reflexed to incurved. Strongly suspect this is a hybrid of the two putative segregatees found in Clifton Gorge</t>
  </si>
  <si>
    <t>Pop doesn't fit reflexumvery well</t>
  </si>
  <si>
    <t>Pop doesn't fit reflexumvery well; abnormal leaf development on individual (nearly English-ivy like leaf and one sagitate)</t>
  </si>
  <si>
    <t>Pop doesn't fit reflexumvery well, no flowers on ind</t>
  </si>
  <si>
    <t>individual doesn’t fit reflexumwell</t>
  </si>
  <si>
    <t>Doesn't fit reflexumwell; several closed flowers in pop</t>
  </si>
  <si>
    <t>McCormick Creek State Park-IN (reflexum)</t>
  </si>
  <si>
    <t>individual doesn’t fit reflexumwell; sepals a bit long;strange appendage on filaments (complete filaments?)</t>
  </si>
  <si>
    <t>individual doesn’t fit reflexumwell; strange appendage on filaments (complete filaments?)</t>
  </si>
  <si>
    <t>individual doesn’t fit reflexumwell; sepals a bit long; strange appendage on filaments (complete filaments?)</t>
  </si>
  <si>
    <t>individual doesn’t fit reflexumwell; closed flower; strange appendage on filaments (complete filaments?)</t>
  </si>
  <si>
    <t>Sepals curved inwards, leaves leathery and large with prominent veination, doesn't fit reflexum(or any) well</t>
  </si>
  <si>
    <t>McCormick Creek State Park-IN (acuminatum</t>
  </si>
  <si>
    <t>Sepals incurved, pop looks like acuminatumcanadense Large, leathery leaves</t>
  </si>
  <si>
    <t>Sepals long and incurved, pop looks like acuminatumcanadense Large, leathery leaves</t>
  </si>
  <si>
    <t>Longer sepals looking between acuminatumcanadense Prominent veins, white tinge to base of leaves. Large bract present</t>
  </si>
  <si>
    <t>Longer, sometimes reflexed sepals looking between acuminatumcanadense Prominent veins, white tinge to base of leaves. Large bract present</t>
  </si>
  <si>
    <t>Longer sepals bordering acuminatumtype</t>
  </si>
  <si>
    <t>Longer sepals bordering acuminatumtype, heavy pubescense making petioles look white</t>
  </si>
  <si>
    <t> 39.548702</t>
  </si>
  <si>
    <t>Foote Dam</t>
  </si>
  <si>
    <t>Milwaukee Co</t>
  </si>
  <si>
    <t>Clifton Gorge</t>
  </si>
  <si>
    <t>NY_JL</t>
  </si>
  <si>
    <t>NY_OP</t>
  </si>
  <si>
    <t>NY_Extra</t>
  </si>
  <si>
    <t>A_caudatum</t>
  </si>
  <si>
    <t>1 individual</t>
  </si>
  <si>
    <t>2 individual</t>
  </si>
  <si>
    <t>3 individual</t>
  </si>
  <si>
    <t>Oakwoods Park</t>
  </si>
  <si>
    <t>caudatam</t>
  </si>
  <si>
    <t>WA</t>
  </si>
  <si>
    <t>Beacon Rock State Park</t>
  </si>
  <si>
    <t>Gill</t>
  </si>
  <si>
    <t>Joralemon Disc Golf Course</t>
  </si>
  <si>
    <t>Beeles</t>
  </si>
  <si>
    <t>C_Gorge_1</t>
  </si>
  <si>
    <t>C_Gorge_2</t>
  </si>
  <si>
    <t>C_Gorge_3</t>
  </si>
  <si>
    <t>C_Gorge_4</t>
  </si>
  <si>
    <t>C_Gorge_5</t>
  </si>
  <si>
    <t>C_Gorge_6</t>
  </si>
  <si>
    <t>C_Gorge_7</t>
  </si>
  <si>
    <t>C_Gorge_8</t>
  </si>
  <si>
    <t>C_Gorge_9</t>
  </si>
  <si>
    <t>Pop 79</t>
  </si>
  <si>
    <t>Pop 80</t>
  </si>
  <si>
    <t>Pop 81</t>
  </si>
  <si>
    <t>Pop 82</t>
  </si>
  <si>
    <t>Pop 83</t>
  </si>
  <si>
    <t>Pop 84</t>
  </si>
  <si>
    <t>Pop 85</t>
  </si>
  <si>
    <t>Pop 86</t>
  </si>
  <si>
    <t>B_Verser</t>
  </si>
  <si>
    <t>R_Breeder</t>
  </si>
  <si>
    <t>J_Rose</t>
  </si>
  <si>
    <t>JVF 3163</t>
  </si>
  <si>
    <t>JVF 3164</t>
  </si>
  <si>
    <t>JVF 3165</t>
  </si>
  <si>
    <t>M_Alford</t>
  </si>
  <si>
    <t>Pedicle_Width (mm)</t>
  </si>
  <si>
    <t>Small flower with large anthers. Early in flowering with some stamens not curved toward stigmas yet</t>
  </si>
  <si>
    <t xml:space="preserve">leaf apex eaten; intermediate between canadense and acum in morpho with sepals ending abruptly like reflexum. Small flower not yet mature which may cause strange morph </t>
  </si>
  <si>
    <t>Pop doesn't fit reflexumvery well, leaves sliightly abnormal one looks like english ivy; no flowers</t>
  </si>
  <si>
    <t>Slight Reflex</t>
  </si>
  <si>
    <t>Slight Incurve</t>
  </si>
  <si>
    <t>JVF 3166</t>
  </si>
  <si>
    <t>JVF 3169</t>
  </si>
  <si>
    <t>Pop 09</t>
  </si>
  <si>
    <t>Pop 08</t>
  </si>
  <si>
    <t>Pop 07</t>
  </si>
  <si>
    <t>Pop 06</t>
  </si>
  <si>
    <t>Pop 05</t>
  </si>
  <si>
    <t>Pop 04</t>
  </si>
  <si>
    <t>Pop 03</t>
  </si>
  <si>
    <t>Pop 02</t>
  </si>
  <si>
    <t>Pop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</si>
</sst>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 (Body)"/>
    </font>
    <font>
      <b/>
      <sz val="12"/>
      <color rgb="FFFF0000"/>
      <name val="Calibri"/>
      <family val="2"/>
      <scheme val="minor"/>
    </font>
    <font>
      <sz val="12"/>
      <color theme="1"/>
      <name val="Courier New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6" fillId="0" borderId="0" xfId="0" applyFont="1"/>
    <xf numFmtId="0" fontId="3" fillId="2" borderId="0" xfId="0" applyFont="1" applyFill="1"/>
    <xf numFmtId="0" fontId="7" fillId="0" borderId="0" xfId="0" applyFont="1"/>
    <xf numFmtId="0" fontId="8" fillId="0" borderId="1" xfId="0" applyFont="1" applyBorder="1"/>
    <xf numFmtId="0" fontId="9" fillId="0" borderId="1" xfId="0" applyFont="1" applyBorder="1"/>
    <xf numFmtId="0" fontId="9" fillId="0" borderId="0" xfId="0" applyFont="1"/>
    <xf numFmtId="0" fontId="9" fillId="0" borderId="3" xfId="0" applyFont="1" applyBorder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1" fillId="3" borderId="0" xfId="0" applyFont="1" applyFill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4" fontId="8" fillId="0" borderId="1" xfId="0" applyNumberFormat="1" applyFont="1" applyBorder="1"/>
    <xf numFmtId="14" fontId="0" fillId="0" borderId="1" xfId="0" applyNumberFormat="1" applyBorder="1"/>
    <xf numFmtId="0" fontId="11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14" fontId="1" fillId="0" borderId="1" xfId="0" applyNumberFormat="1" applyFont="1" applyBorder="1"/>
    <xf numFmtId="14" fontId="0" fillId="0" borderId="0" xfId="0" applyNumberFormat="1"/>
    <xf numFmtId="0" fontId="6" fillId="0" borderId="2" xfId="0" applyFont="1" applyBorder="1"/>
    <xf numFmtId="0" fontId="13" fillId="0" borderId="0" xfId="0" applyFont="1"/>
    <xf numFmtId="0" fontId="14" fillId="0" borderId="0" xfId="0" applyFont="1"/>
    <xf numFmtId="0" fontId="0" fillId="0" borderId="1" xfId="0" applyFont="1" applyBorder="1"/>
    <xf numFmtId="14" fontId="0" fillId="0" borderId="0" xfId="0" applyNumberFormat="1" applyBorder="1"/>
    <xf numFmtId="0" fontId="15" fillId="0" borderId="0" xfId="0" applyFont="1"/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A7E0-E370-7A45-A7F2-1CEDA6316923}">
  <dimension ref="A1:K103"/>
  <sheetViews>
    <sheetView tabSelected="1" zoomScaleNormal="100" workbookViewId="0">
      <selection activeCell="D97" sqref="D97"/>
    </sheetView>
  </sheetViews>
  <sheetFormatPr baseColWidth="10" defaultColWidth="11" defaultRowHeight="16" x14ac:dyDescent="0.2"/>
  <cols>
    <col min="1" max="1" width="16.1640625" customWidth="1"/>
    <col min="2" max="2" width="20.5" customWidth="1"/>
    <col min="3" max="3" width="25.83203125" customWidth="1"/>
    <col min="4" max="4" width="22.1640625" customWidth="1"/>
    <col min="5" max="5" width="23.1640625" customWidth="1"/>
    <col min="6" max="6" width="20.83203125" customWidth="1"/>
    <col min="7" max="7" width="13.6640625" customWidth="1"/>
    <col min="8" max="8" width="11" style="29"/>
    <col min="9" max="10" width="10.83203125"/>
    <col min="11" max="11" width="17.8320312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8" t="s">
        <v>7</v>
      </c>
      <c r="I1" s="2" t="s">
        <v>8</v>
      </c>
      <c r="J1" s="1"/>
      <c r="K1" s="1"/>
    </row>
    <row r="2" spans="1:11" x14ac:dyDescent="0.2">
      <c r="A2" s="12" t="s">
        <v>746</v>
      </c>
      <c r="B2" s="3" t="s">
        <v>747</v>
      </c>
      <c r="C2" s="3" t="s">
        <v>751</v>
      </c>
      <c r="D2" s="3" t="s">
        <v>752</v>
      </c>
      <c r="E2" s="3">
        <v>45.640931999999999</v>
      </c>
      <c r="F2" s="3">
        <v>-122.03234</v>
      </c>
      <c r="G2" s="3" t="s">
        <v>753</v>
      </c>
      <c r="H2" s="23"/>
      <c r="I2" s="3" t="s">
        <v>754</v>
      </c>
    </row>
    <row r="3" spans="1:11" x14ac:dyDescent="0.2">
      <c r="A3" s="12" t="s">
        <v>745</v>
      </c>
      <c r="B3" s="3" t="s">
        <v>189</v>
      </c>
      <c r="C3" s="3" t="s">
        <v>18</v>
      </c>
      <c r="D3" s="3" t="s">
        <v>125</v>
      </c>
      <c r="E3">
        <v>42.645440000000001</v>
      </c>
      <c r="F3">
        <v>-73.749870000000001</v>
      </c>
      <c r="G3" s="3"/>
      <c r="H3" s="23"/>
      <c r="I3" s="3"/>
    </row>
    <row r="4" spans="1:11" x14ac:dyDescent="0.2">
      <c r="A4" s="12" t="s">
        <v>743</v>
      </c>
      <c r="B4" s="12" t="s">
        <v>748</v>
      </c>
      <c r="C4" s="3" t="s">
        <v>18</v>
      </c>
      <c r="D4" s="3" t="s">
        <v>125</v>
      </c>
      <c r="E4" s="3">
        <v>42.474899999999998</v>
      </c>
      <c r="F4" s="3">
        <v>-73.862908000000004</v>
      </c>
      <c r="G4" s="3" t="s">
        <v>755</v>
      </c>
      <c r="H4" s="23">
        <v>45461</v>
      </c>
      <c r="I4" s="3" t="s">
        <v>756</v>
      </c>
    </row>
    <row r="5" spans="1:11" x14ac:dyDescent="0.2">
      <c r="A5" s="12" t="s">
        <v>744</v>
      </c>
      <c r="B5" s="12" t="s">
        <v>749</v>
      </c>
      <c r="C5" s="3" t="s">
        <v>18</v>
      </c>
      <c r="D5" s="3" t="s">
        <v>125</v>
      </c>
      <c r="E5" s="3">
        <v>42.766826999999999</v>
      </c>
      <c r="F5" s="3">
        <v>-73.668957000000006</v>
      </c>
      <c r="G5" s="3" t="s">
        <v>750</v>
      </c>
      <c r="H5" s="23">
        <v>45461</v>
      </c>
      <c r="I5" s="3" t="s">
        <v>756</v>
      </c>
    </row>
    <row r="6" spans="1:11" x14ac:dyDescent="0.2">
      <c r="A6" s="3" t="s">
        <v>797</v>
      </c>
      <c r="B6" s="3" t="s">
        <v>9</v>
      </c>
      <c r="C6" s="3" t="s">
        <v>10</v>
      </c>
      <c r="D6" s="3" t="s">
        <v>11</v>
      </c>
      <c r="E6" s="12">
        <v>31.74147</v>
      </c>
      <c r="F6" s="12">
        <v>-88.525689999999997</v>
      </c>
      <c r="G6" s="12" t="s">
        <v>12</v>
      </c>
      <c r="H6" s="22">
        <v>45004</v>
      </c>
      <c r="I6" s="3" t="s">
        <v>780</v>
      </c>
    </row>
    <row r="7" spans="1:11" x14ac:dyDescent="0.2">
      <c r="A7" s="3" t="s">
        <v>796</v>
      </c>
      <c r="B7" s="3" t="s">
        <v>13</v>
      </c>
      <c r="C7" s="12" t="s">
        <v>10</v>
      </c>
      <c r="D7" s="12" t="s">
        <v>14</v>
      </c>
      <c r="E7" s="12">
        <v>40.101791300000002</v>
      </c>
      <c r="F7" s="12">
        <v>-83.120468500000001</v>
      </c>
      <c r="G7" s="12" t="s">
        <v>16</v>
      </c>
      <c r="H7" s="22">
        <v>45031</v>
      </c>
      <c r="I7" s="12" t="s">
        <v>17</v>
      </c>
    </row>
    <row r="8" spans="1:11" x14ac:dyDescent="0.2">
      <c r="A8" s="3" t="s">
        <v>795</v>
      </c>
      <c r="B8" s="3" t="s">
        <v>13</v>
      </c>
      <c r="C8" s="12" t="s">
        <v>18</v>
      </c>
      <c r="D8" s="12" t="s">
        <v>19</v>
      </c>
      <c r="E8" s="12">
        <v>37.817728000000002</v>
      </c>
      <c r="F8" s="12">
        <v>-83.677484000000007</v>
      </c>
      <c r="G8" s="12" t="s">
        <v>20</v>
      </c>
      <c r="H8" s="22">
        <v>45031</v>
      </c>
      <c r="I8" s="12" t="s">
        <v>21</v>
      </c>
    </row>
    <row r="9" spans="1:11" x14ac:dyDescent="0.2">
      <c r="A9" s="3" t="s">
        <v>794</v>
      </c>
      <c r="B9" s="3" t="s">
        <v>13</v>
      </c>
      <c r="C9" s="12" t="s">
        <v>18</v>
      </c>
      <c r="D9" s="12" t="s">
        <v>19</v>
      </c>
      <c r="E9" s="12">
        <v>38.385167000000003</v>
      </c>
      <c r="F9" s="12">
        <v>-83.416017999999994</v>
      </c>
      <c r="G9" s="12" t="s">
        <v>20</v>
      </c>
      <c r="H9" s="22">
        <v>45031</v>
      </c>
      <c r="I9" s="12" t="s">
        <v>22</v>
      </c>
    </row>
    <row r="10" spans="1:11" x14ac:dyDescent="0.2">
      <c r="A10" s="3" t="s">
        <v>793</v>
      </c>
      <c r="B10" s="3" t="s">
        <v>23</v>
      </c>
      <c r="C10" s="12" t="s">
        <v>18</v>
      </c>
      <c r="D10" s="12" t="s">
        <v>24</v>
      </c>
      <c r="E10" s="12">
        <v>36.375166999999998</v>
      </c>
      <c r="F10" s="12">
        <v>-85.663278000000005</v>
      </c>
      <c r="G10" s="12" t="s">
        <v>25</v>
      </c>
      <c r="H10" s="22">
        <v>45032</v>
      </c>
      <c r="I10" s="12" t="s">
        <v>26</v>
      </c>
    </row>
    <row r="11" spans="1:11" x14ac:dyDescent="0.2">
      <c r="A11" s="3" t="s">
        <v>792</v>
      </c>
      <c r="B11" s="3" t="s">
        <v>27</v>
      </c>
      <c r="C11" s="12" t="s">
        <v>28</v>
      </c>
      <c r="D11" s="12" t="s">
        <v>14</v>
      </c>
      <c r="E11" s="12">
        <v>39.789831999999997</v>
      </c>
      <c r="F11" s="12">
        <v>-83.842612000000003</v>
      </c>
      <c r="G11" s="12" t="s">
        <v>29</v>
      </c>
      <c r="H11" s="22">
        <v>45036</v>
      </c>
      <c r="I11" s="12" t="s">
        <v>30</v>
      </c>
    </row>
    <row r="12" spans="1:11" x14ac:dyDescent="0.2">
      <c r="A12" s="3" t="s">
        <v>791</v>
      </c>
      <c r="B12" s="3" t="s">
        <v>31</v>
      </c>
      <c r="C12" s="12" t="s">
        <v>10</v>
      </c>
      <c r="D12" s="12" t="s">
        <v>14</v>
      </c>
      <c r="E12" s="12">
        <v>39.789831999999997</v>
      </c>
      <c r="F12" s="12">
        <v>-83.842612000000003</v>
      </c>
      <c r="G12" s="12" t="s">
        <v>29</v>
      </c>
      <c r="H12" s="22">
        <v>45036</v>
      </c>
      <c r="I12" s="12" t="s">
        <v>32</v>
      </c>
    </row>
    <row r="13" spans="1:11" x14ac:dyDescent="0.2">
      <c r="A13" s="3" t="s">
        <v>790</v>
      </c>
      <c r="B13" s="3" t="s">
        <v>13</v>
      </c>
      <c r="C13" s="12" t="s">
        <v>18</v>
      </c>
      <c r="D13" s="12" t="s">
        <v>14</v>
      </c>
      <c r="E13" s="12">
        <v>39.789831999999997</v>
      </c>
      <c r="F13" s="12">
        <v>-83.842612000000003</v>
      </c>
      <c r="G13" s="12" t="s">
        <v>29</v>
      </c>
      <c r="H13" s="22">
        <v>45036</v>
      </c>
      <c r="I13" s="12" t="s">
        <v>33</v>
      </c>
    </row>
    <row r="14" spans="1:11" x14ac:dyDescent="0.2">
      <c r="A14" s="3" t="s">
        <v>789</v>
      </c>
      <c r="B14" s="3" t="s">
        <v>23</v>
      </c>
      <c r="C14" s="12" t="s">
        <v>10</v>
      </c>
      <c r="D14" s="12" t="s">
        <v>14</v>
      </c>
      <c r="E14" s="12">
        <v>39.614947999999998</v>
      </c>
      <c r="F14" s="12">
        <v>-83.281892999999997</v>
      </c>
      <c r="G14" s="12" t="s">
        <v>34</v>
      </c>
      <c r="H14" s="22">
        <v>45038</v>
      </c>
      <c r="I14" s="12" t="s">
        <v>35</v>
      </c>
    </row>
    <row r="15" spans="1:11" x14ac:dyDescent="0.2">
      <c r="A15" s="3" t="s">
        <v>36</v>
      </c>
      <c r="B15" s="3" t="s">
        <v>13</v>
      </c>
      <c r="C15" s="3" t="s">
        <v>10</v>
      </c>
      <c r="D15" s="3" t="s">
        <v>37</v>
      </c>
      <c r="E15" s="3">
        <v>33.757398600000002</v>
      </c>
      <c r="F15" s="3">
        <v>-80.702523099999993</v>
      </c>
      <c r="G15" s="3" t="s">
        <v>38</v>
      </c>
      <c r="H15" s="23">
        <v>45039</v>
      </c>
      <c r="I15" s="3" t="s">
        <v>39</v>
      </c>
    </row>
    <row r="16" spans="1:11" x14ac:dyDescent="0.2">
      <c r="A16" s="3" t="s">
        <v>40</v>
      </c>
      <c r="B16" s="3" t="s">
        <v>13</v>
      </c>
      <c r="C16" s="3" t="s">
        <v>10</v>
      </c>
      <c r="D16" s="3" t="s">
        <v>37</v>
      </c>
      <c r="E16" s="3">
        <v>34.6534166</v>
      </c>
      <c r="F16" s="3">
        <v>-80.519732599999998</v>
      </c>
      <c r="G16" s="3" t="s">
        <v>41</v>
      </c>
      <c r="H16" s="23">
        <v>45040</v>
      </c>
      <c r="I16" s="3" t="s">
        <v>42</v>
      </c>
    </row>
    <row r="17" spans="1:9" x14ac:dyDescent="0.2">
      <c r="A17" s="3" t="s">
        <v>43</v>
      </c>
      <c r="B17" s="3" t="s">
        <v>13</v>
      </c>
      <c r="C17" s="3" t="s">
        <v>10</v>
      </c>
      <c r="D17" s="3" t="s">
        <v>37</v>
      </c>
      <c r="E17" s="3">
        <v>34.563178600000001</v>
      </c>
      <c r="F17" s="3">
        <v>-81.754311099999995</v>
      </c>
      <c r="G17" s="3" t="s">
        <v>44</v>
      </c>
      <c r="H17" s="23">
        <v>45040</v>
      </c>
      <c r="I17" s="3" t="s">
        <v>45</v>
      </c>
    </row>
    <row r="18" spans="1:9" x14ac:dyDescent="0.2">
      <c r="A18" s="3" t="s">
        <v>46</v>
      </c>
      <c r="B18" s="3" t="s">
        <v>13</v>
      </c>
      <c r="C18" s="3" t="s">
        <v>28</v>
      </c>
      <c r="D18" s="3" t="s">
        <v>47</v>
      </c>
      <c r="E18" s="3">
        <v>35.221588799999999</v>
      </c>
      <c r="F18" s="3">
        <v>-82.307740999999993</v>
      </c>
      <c r="G18" s="3" t="s">
        <v>48</v>
      </c>
      <c r="H18" s="23">
        <v>45041</v>
      </c>
      <c r="I18" s="3" t="s">
        <v>49</v>
      </c>
    </row>
    <row r="19" spans="1:9" x14ac:dyDescent="0.2">
      <c r="A19" s="3" t="s">
        <v>50</v>
      </c>
      <c r="B19" s="3" t="s">
        <v>13</v>
      </c>
      <c r="C19" s="3" t="s">
        <v>18</v>
      </c>
      <c r="D19" s="3" t="s">
        <v>47</v>
      </c>
      <c r="E19" s="3">
        <v>35.641276699999999</v>
      </c>
      <c r="F19" s="3">
        <v>-82.493679499999999</v>
      </c>
      <c r="G19" s="33" t="s">
        <v>51</v>
      </c>
      <c r="H19" s="23">
        <v>45042</v>
      </c>
      <c r="I19" s="3" t="s">
        <v>52</v>
      </c>
    </row>
    <row r="20" spans="1:9" x14ac:dyDescent="0.2">
      <c r="A20" s="3" t="s">
        <v>53</v>
      </c>
      <c r="B20" s="3" t="s">
        <v>13</v>
      </c>
      <c r="C20" s="3" t="s">
        <v>18</v>
      </c>
      <c r="D20" s="3" t="s">
        <v>47</v>
      </c>
      <c r="E20" s="3">
        <v>36.122471900000001</v>
      </c>
      <c r="F20" s="3">
        <v>-81.818963800000006</v>
      </c>
      <c r="G20" s="33" t="s">
        <v>54</v>
      </c>
      <c r="H20" s="23">
        <v>45043</v>
      </c>
      <c r="I20" s="3" t="s">
        <v>55</v>
      </c>
    </row>
    <row r="21" spans="1:9" x14ac:dyDescent="0.2">
      <c r="A21" s="3" t="s">
        <v>56</v>
      </c>
      <c r="B21" s="3" t="s">
        <v>13</v>
      </c>
      <c r="C21" s="3" t="s">
        <v>18</v>
      </c>
      <c r="D21" s="3" t="s">
        <v>47</v>
      </c>
      <c r="E21" s="3">
        <v>36.068916700000003</v>
      </c>
      <c r="F21" s="3">
        <v>-82.025183400000003</v>
      </c>
      <c r="G21" s="33" t="s">
        <v>57</v>
      </c>
      <c r="H21" s="23">
        <v>45044</v>
      </c>
      <c r="I21" s="3" t="s">
        <v>58</v>
      </c>
    </row>
    <row r="22" spans="1:9" x14ac:dyDescent="0.2">
      <c r="A22" s="3" t="s">
        <v>59</v>
      </c>
      <c r="B22" s="3" t="s">
        <v>23</v>
      </c>
      <c r="C22" s="3" t="s">
        <v>18</v>
      </c>
      <c r="D22" s="3" t="s">
        <v>47</v>
      </c>
      <c r="E22" s="3">
        <v>36.172283499999999</v>
      </c>
      <c r="F22" s="3">
        <v>-82.062741399999993</v>
      </c>
      <c r="G22" s="33" t="s">
        <v>60</v>
      </c>
      <c r="H22" s="23">
        <v>45044</v>
      </c>
      <c r="I22" s="3" t="s">
        <v>61</v>
      </c>
    </row>
    <row r="23" spans="1:9" x14ac:dyDescent="0.2">
      <c r="A23" s="3" t="s">
        <v>62</v>
      </c>
      <c r="B23" s="3" t="s">
        <v>23</v>
      </c>
      <c r="C23" s="3" t="s">
        <v>18</v>
      </c>
      <c r="D23" s="3" t="s">
        <v>47</v>
      </c>
      <c r="E23" s="3">
        <v>36.129811599999996</v>
      </c>
      <c r="F23" s="3">
        <v>-82.104064199999996</v>
      </c>
      <c r="G23" s="33" t="s">
        <v>63</v>
      </c>
      <c r="H23" s="23">
        <v>45044</v>
      </c>
      <c r="I23" s="3" t="s">
        <v>64</v>
      </c>
    </row>
    <row r="24" spans="1:9" x14ac:dyDescent="0.2">
      <c r="A24" s="3" t="s">
        <v>65</v>
      </c>
      <c r="B24" s="3" t="s">
        <v>23</v>
      </c>
      <c r="C24" s="3" t="s">
        <v>18</v>
      </c>
      <c r="D24" s="3" t="s">
        <v>47</v>
      </c>
      <c r="E24" s="3">
        <v>35.875768000000001</v>
      </c>
      <c r="F24" s="3">
        <v>-82.283694999999994</v>
      </c>
      <c r="G24" s="33" t="s">
        <v>66</v>
      </c>
      <c r="H24" s="23">
        <v>45044</v>
      </c>
      <c r="I24" s="3" t="s">
        <v>67</v>
      </c>
    </row>
    <row r="25" spans="1:9" x14ac:dyDescent="0.2">
      <c r="A25" s="3" t="s">
        <v>68</v>
      </c>
      <c r="B25" s="3" t="s">
        <v>23</v>
      </c>
      <c r="C25" s="3" t="s">
        <v>18</v>
      </c>
      <c r="D25" s="3" t="s">
        <v>47</v>
      </c>
      <c r="E25" s="3">
        <v>35.812056400000003</v>
      </c>
      <c r="F25" s="3">
        <v>-82.312075199999995</v>
      </c>
      <c r="G25" s="33" t="s">
        <v>69</v>
      </c>
      <c r="H25" s="23">
        <v>45044</v>
      </c>
      <c r="I25" s="3" t="s">
        <v>70</v>
      </c>
    </row>
    <row r="26" spans="1:9" x14ac:dyDescent="0.2">
      <c r="A26" s="3" t="s">
        <v>71</v>
      </c>
      <c r="B26" s="3" t="s">
        <v>23</v>
      </c>
      <c r="C26" s="3" t="s">
        <v>18</v>
      </c>
      <c r="D26" s="3" t="s">
        <v>47</v>
      </c>
      <c r="E26" s="3">
        <v>35.210891599999997</v>
      </c>
      <c r="F26" s="3">
        <v>-83.151793299999994</v>
      </c>
      <c r="G26" s="33" t="s">
        <v>72</v>
      </c>
      <c r="H26" s="23">
        <v>45045</v>
      </c>
      <c r="I26" s="3" t="s">
        <v>73</v>
      </c>
    </row>
    <row r="27" spans="1:9" x14ac:dyDescent="0.2">
      <c r="A27" s="3" t="s">
        <v>74</v>
      </c>
      <c r="B27" s="3" t="s">
        <v>23</v>
      </c>
      <c r="C27" s="3" t="s">
        <v>18</v>
      </c>
      <c r="D27" s="3" t="s">
        <v>47</v>
      </c>
      <c r="E27" s="3">
        <v>35.326003800000002</v>
      </c>
      <c r="F27" s="3">
        <v>-83.103205799999998</v>
      </c>
      <c r="G27" s="33" t="s">
        <v>75</v>
      </c>
      <c r="H27" s="23">
        <v>45045</v>
      </c>
      <c r="I27" s="3" t="s">
        <v>76</v>
      </c>
    </row>
    <row r="28" spans="1:9" x14ac:dyDescent="0.2">
      <c r="A28" s="3" t="s">
        <v>77</v>
      </c>
      <c r="B28" s="3" t="s">
        <v>23</v>
      </c>
      <c r="C28" s="3" t="s">
        <v>18</v>
      </c>
      <c r="D28" s="3" t="s">
        <v>47</v>
      </c>
      <c r="E28" s="3">
        <v>35.3937186</v>
      </c>
      <c r="F28" s="3">
        <v>-83.126723400000003</v>
      </c>
      <c r="G28" s="33" t="s">
        <v>78</v>
      </c>
      <c r="H28" s="23">
        <v>45045</v>
      </c>
      <c r="I28" s="3" t="s">
        <v>79</v>
      </c>
    </row>
    <row r="29" spans="1:9" x14ac:dyDescent="0.2">
      <c r="A29" s="3" t="s">
        <v>80</v>
      </c>
      <c r="B29" s="3" t="s">
        <v>13</v>
      </c>
      <c r="C29" s="3" t="s">
        <v>28</v>
      </c>
      <c r="D29" s="3" t="s">
        <v>24</v>
      </c>
      <c r="E29" s="3">
        <v>35.660595200000003</v>
      </c>
      <c r="F29" s="3">
        <v>-83.534725899999998</v>
      </c>
      <c r="G29" s="3" t="s">
        <v>81</v>
      </c>
      <c r="H29" s="23">
        <v>45046</v>
      </c>
      <c r="I29" s="3" t="s">
        <v>82</v>
      </c>
    </row>
    <row r="30" spans="1:9" x14ac:dyDescent="0.2">
      <c r="A30" s="3" t="s">
        <v>83</v>
      </c>
      <c r="B30" s="3" t="s">
        <v>13</v>
      </c>
      <c r="C30" s="3" t="s">
        <v>28</v>
      </c>
      <c r="D30" s="3" t="s">
        <v>24</v>
      </c>
      <c r="E30" s="3">
        <v>35.652313599999999</v>
      </c>
      <c r="F30" s="3">
        <v>-83.575553999999997</v>
      </c>
      <c r="G30" s="3" t="s">
        <v>84</v>
      </c>
      <c r="H30" s="23">
        <v>45046</v>
      </c>
      <c r="I30" s="3" t="s">
        <v>85</v>
      </c>
    </row>
    <row r="31" spans="1:9" x14ac:dyDescent="0.2">
      <c r="A31" s="3" t="s">
        <v>86</v>
      </c>
      <c r="B31" s="3" t="s">
        <v>13</v>
      </c>
      <c r="C31" s="3" t="s">
        <v>28</v>
      </c>
      <c r="D31" s="3" t="s">
        <v>24</v>
      </c>
      <c r="E31" s="3">
        <v>35.667662700000001</v>
      </c>
      <c r="F31" s="3">
        <v>-83.662162699999996</v>
      </c>
      <c r="G31" s="3" t="s">
        <v>87</v>
      </c>
      <c r="H31" s="23">
        <v>45046</v>
      </c>
      <c r="I31" s="3" t="s">
        <v>88</v>
      </c>
    </row>
    <row r="32" spans="1:9" x14ac:dyDescent="0.2">
      <c r="A32" s="3" t="s">
        <v>89</v>
      </c>
      <c r="B32" s="3" t="s">
        <v>13</v>
      </c>
      <c r="C32" s="3" t="s">
        <v>28</v>
      </c>
      <c r="D32" s="3" t="s">
        <v>24</v>
      </c>
      <c r="E32" s="3">
        <v>35.615319800000002</v>
      </c>
      <c r="F32" s="3">
        <v>-83.665114500000001</v>
      </c>
      <c r="G32" s="3" t="s">
        <v>90</v>
      </c>
      <c r="H32" s="23">
        <v>45046</v>
      </c>
      <c r="I32" s="3" t="s">
        <v>91</v>
      </c>
    </row>
    <row r="33" spans="1:9" x14ac:dyDescent="0.2">
      <c r="A33" s="3" t="s">
        <v>92</v>
      </c>
      <c r="B33" s="3" t="s">
        <v>13</v>
      </c>
      <c r="C33" s="3" t="s">
        <v>18</v>
      </c>
      <c r="D33" s="3" t="s">
        <v>19</v>
      </c>
      <c r="E33" s="3">
        <v>37.5599037</v>
      </c>
      <c r="F33" s="3">
        <v>-84.234707400000005</v>
      </c>
      <c r="G33" s="3" t="s">
        <v>93</v>
      </c>
      <c r="H33" s="23">
        <v>45047</v>
      </c>
      <c r="I33" s="3" t="s">
        <v>94</v>
      </c>
    </row>
    <row r="34" spans="1:9" x14ac:dyDescent="0.2">
      <c r="A34" s="3" t="s">
        <v>95</v>
      </c>
      <c r="B34" s="3" t="s">
        <v>23</v>
      </c>
      <c r="C34" s="3" t="s">
        <v>18</v>
      </c>
      <c r="D34" s="3" t="s">
        <v>19</v>
      </c>
      <c r="E34" s="3">
        <v>37.533144</v>
      </c>
      <c r="F34" s="3">
        <v>-84.218176600000007</v>
      </c>
      <c r="G34" s="3" t="s">
        <v>96</v>
      </c>
      <c r="H34" s="23">
        <v>45047</v>
      </c>
      <c r="I34" s="3" t="s">
        <v>97</v>
      </c>
    </row>
    <row r="35" spans="1:9" x14ac:dyDescent="0.2">
      <c r="A35" s="3" t="s">
        <v>98</v>
      </c>
      <c r="B35" s="3" t="s">
        <v>13</v>
      </c>
      <c r="C35" s="3" t="s">
        <v>10</v>
      </c>
      <c r="D35" s="3" t="s">
        <v>14</v>
      </c>
      <c r="E35" s="3">
        <v>39.902537299999999</v>
      </c>
      <c r="F35" s="3">
        <v>-83.212808199999998</v>
      </c>
      <c r="G35" s="3" t="s">
        <v>99</v>
      </c>
      <c r="H35" s="23">
        <v>45055</v>
      </c>
      <c r="I35" s="3" t="s">
        <v>100</v>
      </c>
    </row>
    <row r="36" spans="1:9" x14ac:dyDescent="0.2">
      <c r="A36" s="3" t="s">
        <v>101</v>
      </c>
      <c r="B36" s="3" t="s">
        <v>23</v>
      </c>
      <c r="C36" s="3" t="s">
        <v>10</v>
      </c>
      <c r="D36" s="3" t="s">
        <v>14</v>
      </c>
      <c r="E36" s="3">
        <v>38.7912751</v>
      </c>
      <c r="F36" s="3">
        <v>-83.542505000000006</v>
      </c>
      <c r="G36" s="3" t="s">
        <v>102</v>
      </c>
      <c r="H36" s="23">
        <v>45056</v>
      </c>
      <c r="I36" s="3" t="s">
        <v>103</v>
      </c>
    </row>
    <row r="37" spans="1:9" x14ac:dyDescent="0.2">
      <c r="A37" s="3" t="s">
        <v>104</v>
      </c>
      <c r="B37" s="3" t="s">
        <v>23</v>
      </c>
      <c r="C37" s="3" t="s">
        <v>18</v>
      </c>
      <c r="D37" s="3" t="s">
        <v>14</v>
      </c>
      <c r="E37" s="3">
        <v>38.716741499999998</v>
      </c>
      <c r="F37" s="3">
        <v>-83.508897300000001</v>
      </c>
      <c r="G37" s="3" t="s">
        <v>105</v>
      </c>
      <c r="H37" s="23">
        <v>45056</v>
      </c>
      <c r="I37" s="3" t="s">
        <v>106</v>
      </c>
    </row>
    <row r="38" spans="1:9" x14ac:dyDescent="0.2">
      <c r="A38" s="3" t="s">
        <v>107</v>
      </c>
      <c r="B38" s="3" t="s">
        <v>23</v>
      </c>
      <c r="C38" s="12" t="s">
        <v>10</v>
      </c>
      <c r="D38" s="12" t="s">
        <v>108</v>
      </c>
      <c r="E38" s="12">
        <v>36.082506000000002</v>
      </c>
      <c r="F38" s="12">
        <v>-95.039885999999996</v>
      </c>
      <c r="G38" s="12" t="s">
        <v>109</v>
      </c>
      <c r="H38" s="22">
        <v>45050</v>
      </c>
      <c r="I38" s="12" t="s">
        <v>110</v>
      </c>
    </row>
    <row r="39" spans="1:9" x14ac:dyDescent="0.2">
      <c r="A39" s="3" t="s">
        <v>111</v>
      </c>
      <c r="B39" s="3" t="s">
        <v>23</v>
      </c>
      <c r="C39" s="12" t="s">
        <v>10</v>
      </c>
      <c r="D39" s="12" t="s">
        <v>112</v>
      </c>
      <c r="E39" s="12">
        <v>42.265239999999999</v>
      </c>
      <c r="F39" s="12">
        <v>-83.689819999999997</v>
      </c>
      <c r="G39" s="12" t="s">
        <v>113</v>
      </c>
      <c r="H39" s="22">
        <v>45049</v>
      </c>
      <c r="I39" s="12" t="s">
        <v>114</v>
      </c>
    </row>
    <row r="40" spans="1:9" x14ac:dyDescent="0.2">
      <c r="A40" s="3" t="s">
        <v>115</v>
      </c>
      <c r="B40" s="3" t="s">
        <v>23</v>
      </c>
      <c r="C40" s="12" t="s">
        <v>18</v>
      </c>
      <c r="D40" s="12" t="s">
        <v>116</v>
      </c>
      <c r="E40" s="12">
        <v>39.644665000000003</v>
      </c>
      <c r="F40" s="12">
        <v>-79.976401999999993</v>
      </c>
      <c r="G40" s="12" t="s">
        <v>117</v>
      </c>
      <c r="H40" s="22">
        <v>45057</v>
      </c>
      <c r="I40" s="12" t="s">
        <v>777</v>
      </c>
    </row>
    <row r="41" spans="1:9" x14ac:dyDescent="0.2">
      <c r="A41" s="3" t="s">
        <v>119</v>
      </c>
      <c r="B41" s="3" t="s">
        <v>23</v>
      </c>
      <c r="C41" s="12" t="s">
        <v>10</v>
      </c>
      <c r="D41" s="12" t="s">
        <v>116</v>
      </c>
      <c r="E41" s="12">
        <v>39.644665000000003</v>
      </c>
      <c r="F41" s="12">
        <v>-79.976401999999993</v>
      </c>
      <c r="G41" s="12" t="s">
        <v>117</v>
      </c>
      <c r="H41" s="22">
        <v>45057</v>
      </c>
      <c r="I41" s="12" t="s">
        <v>778</v>
      </c>
    </row>
    <row r="42" spans="1:9" x14ac:dyDescent="0.2">
      <c r="A42" s="3" t="s">
        <v>121</v>
      </c>
      <c r="B42" s="3" t="s">
        <v>23</v>
      </c>
      <c r="C42" s="12" t="s">
        <v>18</v>
      </c>
      <c r="D42" s="12" t="s">
        <v>116</v>
      </c>
      <c r="E42" s="12">
        <v>39.119087</v>
      </c>
      <c r="F42" s="12">
        <v>-81.798281000000003</v>
      </c>
      <c r="G42" s="12" t="s">
        <v>122</v>
      </c>
      <c r="H42" s="22">
        <v>45057</v>
      </c>
      <c r="I42" s="12" t="s">
        <v>779</v>
      </c>
    </row>
    <row r="43" spans="1:9" x14ac:dyDescent="0.2">
      <c r="A43" s="3" t="s">
        <v>124</v>
      </c>
      <c r="B43" s="3" t="s">
        <v>189</v>
      </c>
      <c r="C43" s="12" t="s">
        <v>18</v>
      </c>
      <c r="D43" s="12" t="s">
        <v>125</v>
      </c>
      <c r="E43" s="12">
        <v>41.920284000000002</v>
      </c>
      <c r="F43" s="12">
        <v>-75.157604000000006</v>
      </c>
      <c r="G43" s="12" t="s">
        <v>126</v>
      </c>
      <c r="H43" s="22">
        <v>45054</v>
      </c>
      <c r="I43" s="12" t="s">
        <v>127</v>
      </c>
    </row>
    <row r="44" spans="1:9" x14ac:dyDescent="0.2">
      <c r="A44" s="3" t="s">
        <v>128</v>
      </c>
      <c r="B44" s="3" t="s">
        <v>23</v>
      </c>
      <c r="C44" s="12" t="s">
        <v>10</v>
      </c>
      <c r="D44" s="12" t="s">
        <v>14</v>
      </c>
      <c r="E44" s="12">
        <v>39.586730000000003</v>
      </c>
      <c r="F44" s="12">
        <v>-83.657929999999993</v>
      </c>
      <c r="G44" s="12" t="s">
        <v>15</v>
      </c>
      <c r="H44" s="22">
        <v>45049</v>
      </c>
      <c r="I44" s="12" t="s">
        <v>129</v>
      </c>
    </row>
    <row r="45" spans="1:9" x14ac:dyDescent="0.2">
      <c r="A45" s="3" t="s">
        <v>130</v>
      </c>
      <c r="B45" s="3" t="s">
        <v>23</v>
      </c>
      <c r="C45" s="3" t="s">
        <v>10</v>
      </c>
      <c r="D45" s="3" t="s">
        <v>14</v>
      </c>
      <c r="E45" s="3">
        <v>39.6209262</v>
      </c>
      <c r="F45" s="3">
        <v>-84.097236600000002</v>
      </c>
      <c r="G45" s="3" t="s">
        <v>131</v>
      </c>
      <c r="H45" s="23">
        <v>45061</v>
      </c>
      <c r="I45" s="3" t="s">
        <v>132</v>
      </c>
    </row>
    <row r="46" spans="1:9" x14ac:dyDescent="0.2">
      <c r="A46" s="3" t="s">
        <v>133</v>
      </c>
      <c r="B46" s="3" t="s">
        <v>23</v>
      </c>
      <c r="C46" s="3" t="s">
        <v>10</v>
      </c>
      <c r="D46" s="3" t="s">
        <v>134</v>
      </c>
      <c r="E46" s="3">
        <v>39.870239400000003</v>
      </c>
      <c r="F46" s="3">
        <v>-86.1600617</v>
      </c>
      <c r="G46" s="3" t="s">
        <v>135</v>
      </c>
      <c r="H46" s="23">
        <v>45062</v>
      </c>
      <c r="I46" s="3" t="s">
        <v>136</v>
      </c>
    </row>
    <row r="47" spans="1:9" x14ac:dyDescent="0.2">
      <c r="A47" s="3" t="s">
        <v>137</v>
      </c>
      <c r="B47" s="3" t="s">
        <v>23</v>
      </c>
      <c r="C47" s="3" t="s">
        <v>10</v>
      </c>
      <c r="D47" s="3" t="s">
        <v>134</v>
      </c>
      <c r="E47" s="3">
        <v>39.869923</v>
      </c>
      <c r="F47" s="3">
        <v>-86.023065700000004</v>
      </c>
      <c r="G47" s="3" t="s">
        <v>138</v>
      </c>
      <c r="H47" s="23">
        <v>45062</v>
      </c>
      <c r="I47" s="3" t="s">
        <v>139</v>
      </c>
    </row>
    <row r="48" spans="1:9" x14ac:dyDescent="0.2">
      <c r="A48" s="3" t="s">
        <v>140</v>
      </c>
      <c r="B48" s="3" t="s">
        <v>23</v>
      </c>
      <c r="C48" s="3" t="s">
        <v>10</v>
      </c>
      <c r="D48" s="3" t="s">
        <v>134</v>
      </c>
      <c r="E48" s="3">
        <v>39.8768873</v>
      </c>
      <c r="F48" s="3">
        <v>-86.298221299999994</v>
      </c>
      <c r="G48" s="3" t="s">
        <v>141</v>
      </c>
      <c r="H48" s="23">
        <v>45062</v>
      </c>
      <c r="I48" s="3" t="s">
        <v>142</v>
      </c>
    </row>
    <row r="49" spans="1:9" x14ac:dyDescent="0.2">
      <c r="A49" s="3" t="s">
        <v>143</v>
      </c>
      <c r="B49" s="3" t="s">
        <v>13</v>
      </c>
      <c r="C49" s="3" t="s">
        <v>28</v>
      </c>
      <c r="D49" s="3" t="s">
        <v>134</v>
      </c>
      <c r="E49" s="3">
        <v>39.290871699999997</v>
      </c>
      <c r="F49" s="3">
        <v>-86.723317199999997</v>
      </c>
      <c r="G49" s="3" t="s">
        <v>144</v>
      </c>
      <c r="H49" s="23">
        <v>45062</v>
      </c>
      <c r="I49" s="3" t="s">
        <v>145</v>
      </c>
    </row>
    <row r="50" spans="1:9" x14ac:dyDescent="0.2">
      <c r="A50" s="3" t="s">
        <v>146</v>
      </c>
      <c r="B50" s="3" t="s">
        <v>23</v>
      </c>
      <c r="C50" s="3" t="s">
        <v>10</v>
      </c>
      <c r="D50" s="3" t="s">
        <v>134</v>
      </c>
      <c r="E50" s="3">
        <v>39.2903521</v>
      </c>
      <c r="F50" s="3">
        <v>-86.723352399999996</v>
      </c>
      <c r="G50" s="3" t="s">
        <v>144</v>
      </c>
      <c r="H50" s="23">
        <v>45062</v>
      </c>
      <c r="I50" s="3" t="s">
        <v>147</v>
      </c>
    </row>
    <row r="51" spans="1:9" x14ac:dyDescent="0.2">
      <c r="A51" s="3" t="s">
        <v>148</v>
      </c>
      <c r="B51" s="3" t="s">
        <v>23</v>
      </c>
      <c r="C51" s="3" t="s">
        <v>10</v>
      </c>
      <c r="D51" s="3" t="s">
        <v>149</v>
      </c>
      <c r="E51" s="3">
        <v>38.5483616</v>
      </c>
      <c r="F51" s="3">
        <v>-90.433173100000005</v>
      </c>
      <c r="G51" s="3" t="s">
        <v>150</v>
      </c>
      <c r="H51" s="23">
        <v>45063</v>
      </c>
      <c r="I51" s="3" t="s">
        <v>151</v>
      </c>
    </row>
    <row r="52" spans="1:9" x14ac:dyDescent="0.2">
      <c r="A52" s="3" t="s">
        <v>152</v>
      </c>
      <c r="B52" s="3" t="s">
        <v>23</v>
      </c>
      <c r="C52" s="3" t="s">
        <v>10</v>
      </c>
      <c r="D52" s="3" t="s">
        <v>149</v>
      </c>
      <c r="E52" s="3">
        <v>38.5480467</v>
      </c>
      <c r="F52" s="3">
        <v>-90.538081500000004</v>
      </c>
      <c r="G52" s="3" t="s">
        <v>153</v>
      </c>
      <c r="H52" s="23">
        <v>45063</v>
      </c>
      <c r="I52" s="3" t="s">
        <v>154</v>
      </c>
    </row>
    <row r="53" spans="1:9" x14ac:dyDescent="0.2">
      <c r="A53" s="3" t="s">
        <v>155</v>
      </c>
      <c r="B53" s="3" t="s">
        <v>23</v>
      </c>
      <c r="C53" s="3" t="s">
        <v>10</v>
      </c>
      <c r="D53" s="3" t="s">
        <v>149</v>
      </c>
      <c r="E53" s="3">
        <v>37.814031300000003</v>
      </c>
      <c r="F53" s="3">
        <v>-91.168064799999996</v>
      </c>
      <c r="G53" s="3" t="s">
        <v>156</v>
      </c>
      <c r="H53" s="23">
        <v>45064</v>
      </c>
      <c r="I53" s="3" t="s">
        <v>157</v>
      </c>
    </row>
    <row r="54" spans="1:9" x14ac:dyDescent="0.2">
      <c r="A54" s="3" t="s">
        <v>158</v>
      </c>
      <c r="B54" s="3" t="s">
        <v>23</v>
      </c>
      <c r="C54" s="3" t="s">
        <v>10</v>
      </c>
      <c r="D54" s="3" t="s">
        <v>149</v>
      </c>
      <c r="E54" s="3">
        <v>37.538699200000003</v>
      </c>
      <c r="F54" s="3">
        <v>-90.842714200000003</v>
      </c>
      <c r="G54" s="3" t="s">
        <v>159</v>
      </c>
      <c r="H54" s="23">
        <v>45064</v>
      </c>
      <c r="I54" s="3" t="s">
        <v>160</v>
      </c>
    </row>
    <row r="55" spans="1:9" x14ac:dyDescent="0.2">
      <c r="A55" s="3" t="s">
        <v>161</v>
      </c>
      <c r="B55" s="3" t="s">
        <v>162</v>
      </c>
      <c r="C55" s="3" t="s">
        <v>10</v>
      </c>
      <c r="D55" s="3" t="s">
        <v>149</v>
      </c>
      <c r="E55" s="3">
        <v>37.568704199999999</v>
      </c>
      <c r="F55" s="3">
        <v>-90.153991700000006</v>
      </c>
      <c r="G55" s="3" t="s">
        <v>163</v>
      </c>
      <c r="H55" s="23">
        <v>45064</v>
      </c>
      <c r="I55" s="3" t="s">
        <v>164</v>
      </c>
    </row>
    <row r="56" spans="1:9" x14ac:dyDescent="0.2">
      <c r="A56" s="3" t="s">
        <v>165</v>
      </c>
      <c r="B56" s="3"/>
      <c r="C56" s="3" t="s">
        <v>10</v>
      </c>
      <c r="D56" s="3" t="s">
        <v>167</v>
      </c>
      <c r="E56" s="3">
        <v>35.648139999999998</v>
      </c>
      <c r="F56" s="3">
        <v>-92.250559999999993</v>
      </c>
      <c r="G56" s="3" t="s">
        <v>166</v>
      </c>
      <c r="H56" s="34">
        <v>45056</v>
      </c>
      <c r="I56" s="3" t="s">
        <v>774</v>
      </c>
    </row>
    <row r="57" spans="1:9" x14ac:dyDescent="0.2">
      <c r="A57" s="3" t="s">
        <v>168</v>
      </c>
      <c r="B57" s="3"/>
      <c r="C57" s="3" t="s">
        <v>10</v>
      </c>
      <c r="D57" s="3" t="s">
        <v>149</v>
      </c>
      <c r="E57" s="3">
        <v>39.231000000000002</v>
      </c>
      <c r="F57" s="3">
        <f>F51-94.549</f>
        <v>-184.98217310000001</v>
      </c>
      <c r="G57" s="3" t="s">
        <v>169</v>
      </c>
      <c r="H57" s="23">
        <v>45060</v>
      </c>
      <c r="I57" s="3" t="s">
        <v>775</v>
      </c>
    </row>
    <row r="58" spans="1:9" x14ac:dyDescent="0.2">
      <c r="A58" s="3" t="s">
        <v>170</v>
      </c>
      <c r="B58" s="3"/>
      <c r="C58" s="3" t="s">
        <v>10</v>
      </c>
      <c r="D58" s="3" t="s">
        <v>149</v>
      </c>
      <c r="E58" s="3">
        <v>39.152000000000001</v>
      </c>
      <c r="F58" s="3">
        <v>-94.373999999999995</v>
      </c>
      <c r="G58" s="3" t="s">
        <v>171</v>
      </c>
      <c r="H58" s="23">
        <v>45060</v>
      </c>
      <c r="I58" s="3" t="s">
        <v>775</v>
      </c>
    </row>
    <row r="59" spans="1:9" x14ac:dyDescent="0.2">
      <c r="A59" s="3" t="s">
        <v>172</v>
      </c>
      <c r="B59" s="24"/>
      <c r="C59" s="3" t="s">
        <v>10</v>
      </c>
      <c r="D59" s="3" t="s">
        <v>224</v>
      </c>
      <c r="E59" s="25">
        <v>43.052038000000003</v>
      </c>
      <c r="F59" s="3">
        <v>-89.375167000000005</v>
      </c>
      <c r="G59" s="24" t="s">
        <v>718</v>
      </c>
      <c r="H59" s="23">
        <v>45058</v>
      </c>
      <c r="I59" s="3" t="s">
        <v>776</v>
      </c>
    </row>
    <row r="60" spans="1:9" x14ac:dyDescent="0.2">
      <c r="A60" s="3" t="s">
        <v>173</v>
      </c>
      <c r="B60" s="3" t="s">
        <v>23</v>
      </c>
      <c r="C60" s="3" t="s">
        <v>18</v>
      </c>
      <c r="D60" s="3" t="s">
        <v>112</v>
      </c>
      <c r="E60" s="26" t="s">
        <v>739</v>
      </c>
      <c r="F60" s="26">
        <v>-82.583599000000007</v>
      </c>
      <c r="G60" s="20" t="s">
        <v>740</v>
      </c>
      <c r="H60" s="23">
        <v>45064</v>
      </c>
      <c r="I60" s="3" t="s">
        <v>787</v>
      </c>
    </row>
    <row r="61" spans="1:9" x14ac:dyDescent="0.2">
      <c r="A61" s="3" t="s">
        <v>174</v>
      </c>
      <c r="B61" s="3" t="s">
        <v>23</v>
      </c>
      <c r="C61" s="3" t="s">
        <v>18</v>
      </c>
      <c r="D61" s="3" t="s">
        <v>224</v>
      </c>
      <c r="E61" s="26">
        <v>43.177700000000002</v>
      </c>
      <c r="F61" s="26">
        <v>-87.884699999999995</v>
      </c>
      <c r="G61" s="27" t="s">
        <v>741</v>
      </c>
      <c r="H61" s="23">
        <v>45064</v>
      </c>
      <c r="I61" s="3" t="s">
        <v>788</v>
      </c>
    </row>
    <row r="62" spans="1:9" x14ac:dyDescent="0.2">
      <c r="A62" s="3" t="s">
        <v>175</v>
      </c>
      <c r="B62" s="3" t="s">
        <v>176</v>
      </c>
      <c r="C62" s="3" t="s">
        <v>10</v>
      </c>
      <c r="D62" s="3" t="s">
        <v>14</v>
      </c>
      <c r="E62" s="21">
        <v>39.985480899999999</v>
      </c>
      <c r="F62" s="21">
        <v>-83.248333099999996</v>
      </c>
      <c r="G62" s="20" t="s">
        <v>177</v>
      </c>
      <c r="H62" s="23">
        <v>45411</v>
      </c>
      <c r="I62" s="3" t="s">
        <v>178</v>
      </c>
    </row>
    <row r="63" spans="1:9" x14ac:dyDescent="0.2">
      <c r="A63" s="3" t="s">
        <v>179</v>
      </c>
      <c r="B63" s="3" t="s">
        <v>176</v>
      </c>
      <c r="C63" s="3" t="s">
        <v>10</v>
      </c>
      <c r="D63" s="3" t="s">
        <v>14</v>
      </c>
      <c r="E63" s="3">
        <v>39.919612399999998</v>
      </c>
      <c r="F63" s="3">
        <v>-84.145525300000003</v>
      </c>
      <c r="G63" s="3" t="s">
        <v>180</v>
      </c>
      <c r="H63" s="23">
        <v>45411</v>
      </c>
      <c r="I63" s="3" t="s">
        <v>181</v>
      </c>
    </row>
    <row r="64" spans="1:9" x14ac:dyDescent="0.2">
      <c r="A64" s="3" t="s">
        <v>182</v>
      </c>
      <c r="B64" s="3" t="s">
        <v>176</v>
      </c>
      <c r="C64" s="3" t="s">
        <v>10</v>
      </c>
      <c r="D64" s="3" t="s">
        <v>14</v>
      </c>
      <c r="E64" s="3">
        <v>39.877591299999999</v>
      </c>
      <c r="F64" s="3">
        <v>-84.278086400000007</v>
      </c>
      <c r="G64" s="3" t="s">
        <v>183</v>
      </c>
      <c r="H64" s="23">
        <v>45411</v>
      </c>
      <c r="I64" s="3" t="s">
        <v>184</v>
      </c>
    </row>
    <row r="65" spans="1:9" x14ac:dyDescent="0.2">
      <c r="A65" s="3" t="s">
        <v>185</v>
      </c>
      <c r="B65" s="3" t="s">
        <v>176</v>
      </c>
      <c r="C65" s="3" t="s">
        <v>10</v>
      </c>
      <c r="D65" s="3" t="s">
        <v>134</v>
      </c>
      <c r="E65" s="3">
        <v>39.759215099999999</v>
      </c>
      <c r="F65" s="3">
        <v>-85.962033599999998</v>
      </c>
      <c r="G65" s="3" t="s">
        <v>186</v>
      </c>
      <c r="H65" s="23">
        <v>45412</v>
      </c>
      <c r="I65" s="3" t="s">
        <v>187</v>
      </c>
    </row>
    <row r="66" spans="1:9" x14ac:dyDescent="0.2">
      <c r="A66" s="3" t="s">
        <v>188</v>
      </c>
      <c r="B66" s="3" t="s">
        <v>189</v>
      </c>
      <c r="C66" s="3" t="s">
        <v>10</v>
      </c>
      <c r="D66" s="3" t="s">
        <v>134</v>
      </c>
      <c r="E66" s="3">
        <v>39.888835499999999</v>
      </c>
      <c r="F66" s="3">
        <v>-85.145268700000003</v>
      </c>
      <c r="G66" s="3" t="s">
        <v>190</v>
      </c>
      <c r="H66" s="23">
        <v>45412</v>
      </c>
      <c r="I66" s="3" t="s">
        <v>191</v>
      </c>
    </row>
    <row r="67" spans="1:9" x14ac:dyDescent="0.2">
      <c r="A67" s="3" t="s">
        <v>192</v>
      </c>
      <c r="B67" s="3" t="s">
        <v>176</v>
      </c>
      <c r="C67" s="3" t="s">
        <v>28</v>
      </c>
      <c r="D67" s="3" t="s">
        <v>134</v>
      </c>
      <c r="E67" s="3">
        <v>39.936692999999998</v>
      </c>
      <c r="F67" s="3">
        <v>-87.070498400000005</v>
      </c>
      <c r="G67" s="3" t="s">
        <v>193</v>
      </c>
      <c r="H67" s="23">
        <v>45412</v>
      </c>
      <c r="I67" s="3" t="s">
        <v>194</v>
      </c>
    </row>
    <row r="68" spans="1:9" x14ac:dyDescent="0.2">
      <c r="A68" s="3" t="s">
        <v>195</v>
      </c>
      <c r="B68" s="3" t="s">
        <v>176</v>
      </c>
      <c r="C68" s="3" t="s">
        <v>10</v>
      </c>
      <c r="D68" s="3" t="s">
        <v>134</v>
      </c>
      <c r="E68" s="3">
        <v>39.8878524</v>
      </c>
      <c r="F68" s="3">
        <v>-87.197868499999998</v>
      </c>
      <c r="G68" s="3" t="s">
        <v>196</v>
      </c>
      <c r="H68" s="23">
        <v>45412</v>
      </c>
      <c r="I68" s="3" t="s">
        <v>197</v>
      </c>
    </row>
    <row r="69" spans="1:9" x14ac:dyDescent="0.2">
      <c r="A69" s="3" t="s">
        <v>198</v>
      </c>
      <c r="B69" s="3" t="s">
        <v>189</v>
      </c>
      <c r="C69" s="3" t="s">
        <v>10</v>
      </c>
      <c r="D69" s="3" t="s">
        <v>134</v>
      </c>
      <c r="E69" s="3">
        <v>40.442122599999998</v>
      </c>
      <c r="F69" s="3">
        <v>-86.904126599999998</v>
      </c>
      <c r="G69" s="3" t="s">
        <v>199</v>
      </c>
      <c r="H69" s="23">
        <v>45412</v>
      </c>
      <c r="I69" s="3" t="s">
        <v>200</v>
      </c>
    </row>
    <row r="70" spans="1:9" x14ac:dyDescent="0.2">
      <c r="A70" s="3" t="s">
        <v>201</v>
      </c>
      <c r="B70" s="3" t="s">
        <v>176</v>
      </c>
      <c r="C70" s="3" t="s">
        <v>10</v>
      </c>
      <c r="D70" s="3" t="s">
        <v>202</v>
      </c>
      <c r="E70" s="3">
        <v>41.203025799999999</v>
      </c>
      <c r="F70" s="3">
        <v>-87.982204699999997</v>
      </c>
      <c r="G70" s="3" t="s">
        <v>203</v>
      </c>
      <c r="H70" s="23">
        <v>45412</v>
      </c>
      <c r="I70" s="3" t="s">
        <v>204</v>
      </c>
    </row>
    <row r="71" spans="1:9" x14ac:dyDescent="0.2">
      <c r="A71" s="3" t="s">
        <v>205</v>
      </c>
      <c r="B71" s="3" t="s">
        <v>176</v>
      </c>
      <c r="C71" s="3" t="s">
        <v>10</v>
      </c>
      <c r="D71" s="3" t="s">
        <v>202</v>
      </c>
      <c r="E71" s="3">
        <v>41.319840399999997</v>
      </c>
      <c r="F71" s="3">
        <v>-88.992464499999997</v>
      </c>
      <c r="G71" s="3" t="s">
        <v>206</v>
      </c>
      <c r="H71" s="23">
        <v>45413</v>
      </c>
      <c r="I71" s="3" t="s">
        <v>207</v>
      </c>
    </row>
    <row r="72" spans="1:9" x14ac:dyDescent="0.2">
      <c r="A72" s="3" t="s">
        <v>208</v>
      </c>
      <c r="B72" s="3" t="s">
        <v>176</v>
      </c>
      <c r="C72" s="3" t="s">
        <v>10</v>
      </c>
      <c r="D72" s="3" t="s">
        <v>202</v>
      </c>
      <c r="E72" s="3">
        <v>42.1819384</v>
      </c>
      <c r="F72" s="3">
        <v>-89.0595572</v>
      </c>
      <c r="G72" s="3" t="s">
        <v>209</v>
      </c>
      <c r="H72" s="23">
        <v>45413</v>
      </c>
      <c r="I72" s="3" t="s">
        <v>210</v>
      </c>
    </row>
    <row r="73" spans="1:9" x14ac:dyDescent="0.2">
      <c r="A73" s="3" t="s">
        <v>211</v>
      </c>
      <c r="B73" s="3" t="s">
        <v>176</v>
      </c>
      <c r="C73" s="3" t="s">
        <v>10</v>
      </c>
      <c r="D73" s="3" t="s">
        <v>202</v>
      </c>
      <c r="E73" s="3">
        <v>42.219436799999997</v>
      </c>
      <c r="F73" s="3">
        <v>-89.176361700000001</v>
      </c>
      <c r="G73" s="3" t="s">
        <v>212</v>
      </c>
      <c r="H73" s="23">
        <v>45413</v>
      </c>
      <c r="I73" s="3" t="s">
        <v>213</v>
      </c>
    </row>
    <row r="74" spans="1:9" x14ac:dyDescent="0.2">
      <c r="A74" s="3" t="s">
        <v>214</v>
      </c>
      <c r="B74" s="3" t="s">
        <v>189</v>
      </c>
      <c r="C74" s="3" t="s">
        <v>10</v>
      </c>
      <c r="D74" s="3" t="s">
        <v>202</v>
      </c>
      <c r="E74" s="3">
        <v>42.273765500000003</v>
      </c>
      <c r="F74" s="3">
        <v>-89.021078500000002</v>
      </c>
      <c r="G74" s="3" t="s">
        <v>215</v>
      </c>
      <c r="H74" s="23">
        <v>45413</v>
      </c>
      <c r="I74" s="3" t="s">
        <v>216</v>
      </c>
    </row>
    <row r="75" spans="1:9" x14ac:dyDescent="0.2">
      <c r="A75" s="3" t="s">
        <v>217</v>
      </c>
      <c r="B75" s="3" t="s">
        <v>176</v>
      </c>
      <c r="C75" s="3" t="s">
        <v>10</v>
      </c>
      <c r="D75" s="3" t="s">
        <v>202</v>
      </c>
      <c r="E75" s="3">
        <v>42.440492999999996</v>
      </c>
      <c r="F75" s="3">
        <v>-89.052280999999994</v>
      </c>
      <c r="G75" s="3" t="s">
        <v>218</v>
      </c>
      <c r="H75" s="23">
        <v>45413</v>
      </c>
      <c r="I75" s="3" t="s">
        <v>219</v>
      </c>
    </row>
    <row r="76" spans="1:9" x14ac:dyDescent="0.2">
      <c r="A76" s="3" t="s">
        <v>220</v>
      </c>
      <c r="B76" s="3" t="s">
        <v>176</v>
      </c>
      <c r="C76" s="3" t="s">
        <v>28</v>
      </c>
      <c r="D76" s="3" t="s">
        <v>202</v>
      </c>
      <c r="E76" s="3">
        <v>42.610120000000002</v>
      </c>
      <c r="F76" s="3">
        <v>-88.825445200000004</v>
      </c>
      <c r="G76" s="3" t="s">
        <v>221</v>
      </c>
      <c r="H76" s="23">
        <v>45415</v>
      </c>
      <c r="I76" s="3" t="s">
        <v>222</v>
      </c>
    </row>
    <row r="77" spans="1:9" x14ac:dyDescent="0.2">
      <c r="A77" s="3" t="s">
        <v>223</v>
      </c>
      <c r="B77" s="3" t="s">
        <v>176</v>
      </c>
      <c r="C77" s="3" t="s">
        <v>18</v>
      </c>
      <c r="D77" s="3" t="s">
        <v>224</v>
      </c>
      <c r="E77" s="3">
        <v>43.073831800000001</v>
      </c>
      <c r="F77" s="3">
        <v>-89.488892860000007</v>
      </c>
      <c r="G77" s="3" t="s">
        <v>225</v>
      </c>
      <c r="H77" s="23">
        <v>45415</v>
      </c>
      <c r="I77" s="3" t="s">
        <v>226</v>
      </c>
    </row>
    <row r="78" spans="1:9" x14ac:dyDescent="0.2">
      <c r="A78" s="3" t="s">
        <v>227</v>
      </c>
      <c r="B78" s="3" t="s">
        <v>176</v>
      </c>
      <c r="C78" s="3" t="s">
        <v>28</v>
      </c>
      <c r="D78" s="3" t="s">
        <v>224</v>
      </c>
      <c r="E78" s="3">
        <v>43.083594300000001</v>
      </c>
      <c r="F78" s="3">
        <v>-89.600379799999999</v>
      </c>
      <c r="G78" s="3" t="s">
        <v>228</v>
      </c>
      <c r="H78" s="23">
        <v>45415</v>
      </c>
      <c r="I78" s="3" t="s">
        <v>229</v>
      </c>
    </row>
    <row r="79" spans="1:9" x14ac:dyDescent="0.2">
      <c r="A79" s="3" t="s">
        <v>230</v>
      </c>
      <c r="B79" s="3" t="s">
        <v>189</v>
      </c>
      <c r="C79" s="3" t="s">
        <v>18</v>
      </c>
      <c r="D79" s="3" t="s">
        <v>224</v>
      </c>
      <c r="E79" s="3">
        <v>43.688389999999998</v>
      </c>
      <c r="F79" s="3">
        <v>-90.569246000000007</v>
      </c>
      <c r="G79" s="3" t="s">
        <v>231</v>
      </c>
      <c r="H79" s="23">
        <v>45415</v>
      </c>
      <c r="I79" s="3" t="s">
        <v>232</v>
      </c>
    </row>
    <row r="80" spans="1:9" x14ac:dyDescent="0.2">
      <c r="A80" s="3" t="s">
        <v>233</v>
      </c>
      <c r="B80" s="3" t="s">
        <v>176</v>
      </c>
      <c r="C80" s="3" t="s">
        <v>28</v>
      </c>
      <c r="D80" s="3" t="s">
        <v>234</v>
      </c>
      <c r="E80" s="24">
        <v>44.035518000000003</v>
      </c>
      <c r="F80" s="3">
        <v>-91.664004000000006</v>
      </c>
      <c r="G80" s="3" t="s">
        <v>235</v>
      </c>
      <c r="H80" s="23">
        <v>45415</v>
      </c>
      <c r="I80" s="3" t="s">
        <v>236</v>
      </c>
    </row>
    <row r="81" spans="1:9" x14ac:dyDescent="0.2">
      <c r="A81" s="3" t="s">
        <v>237</v>
      </c>
      <c r="B81" s="3" t="s">
        <v>176</v>
      </c>
      <c r="C81" s="3" t="s">
        <v>18</v>
      </c>
      <c r="D81" s="3" t="s">
        <v>234</v>
      </c>
      <c r="E81" s="3">
        <v>44.062491399999999</v>
      </c>
      <c r="F81" s="3">
        <v>-92.046502700000005</v>
      </c>
      <c r="G81" s="3" t="s">
        <v>238</v>
      </c>
      <c r="H81" s="23">
        <v>45415</v>
      </c>
      <c r="I81" s="3" t="s">
        <v>239</v>
      </c>
    </row>
    <row r="82" spans="1:9" x14ac:dyDescent="0.2">
      <c r="A82" s="3" t="s">
        <v>240</v>
      </c>
      <c r="B82" s="3" t="s">
        <v>189</v>
      </c>
      <c r="C82" s="3" t="s">
        <v>18</v>
      </c>
      <c r="D82" s="3" t="s">
        <v>234</v>
      </c>
      <c r="E82" s="3">
        <v>44.030416000000002</v>
      </c>
      <c r="F82" s="3">
        <v>-92.439634999999996</v>
      </c>
      <c r="G82" s="3" t="s">
        <v>241</v>
      </c>
      <c r="H82" s="23">
        <v>45416</v>
      </c>
      <c r="I82" s="3" t="s">
        <v>242</v>
      </c>
    </row>
    <row r="83" spans="1:9" x14ac:dyDescent="0.2">
      <c r="A83" s="3" t="s">
        <v>243</v>
      </c>
      <c r="B83" s="12" t="s">
        <v>747</v>
      </c>
      <c r="C83" s="12" t="s">
        <v>28</v>
      </c>
      <c r="D83" s="3" t="s">
        <v>14</v>
      </c>
      <c r="E83" s="12">
        <v>39.795603999999997</v>
      </c>
      <c r="F83" s="12">
        <v>-83.838285999999997</v>
      </c>
      <c r="G83" s="3" t="s">
        <v>742</v>
      </c>
      <c r="H83" s="23">
        <v>45434</v>
      </c>
      <c r="I83" s="12" t="s">
        <v>757</v>
      </c>
    </row>
    <row r="84" spans="1:9" x14ac:dyDescent="0.2">
      <c r="A84" s="3" t="s">
        <v>766</v>
      </c>
      <c r="B84" s="12" t="s">
        <v>747</v>
      </c>
      <c r="C84" s="12" t="s">
        <v>10</v>
      </c>
      <c r="D84" s="3" t="s">
        <v>14</v>
      </c>
      <c r="E84" s="12">
        <v>39.794846100000001</v>
      </c>
      <c r="F84" s="12">
        <v>-83.839513999999994</v>
      </c>
      <c r="G84" s="3" t="s">
        <v>742</v>
      </c>
      <c r="H84" s="23">
        <v>45434</v>
      </c>
      <c r="I84" s="12" t="s">
        <v>758</v>
      </c>
    </row>
    <row r="85" spans="1:9" x14ac:dyDescent="0.2">
      <c r="A85" s="3" t="s">
        <v>767</v>
      </c>
      <c r="B85" s="12" t="s">
        <v>747</v>
      </c>
      <c r="C85" s="12" t="s">
        <v>10</v>
      </c>
      <c r="D85" s="3" t="s">
        <v>14</v>
      </c>
      <c r="E85" s="12">
        <v>39.794846100000001</v>
      </c>
      <c r="F85" s="12">
        <v>-83.839513999999994</v>
      </c>
      <c r="G85" s="3" t="s">
        <v>742</v>
      </c>
      <c r="H85" s="23">
        <v>45434</v>
      </c>
      <c r="I85" s="12" t="s">
        <v>759</v>
      </c>
    </row>
    <row r="86" spans="1:9" x14ac:dyDescent="0.2">
      <c r="A86" s="3" t="s">
        <v>768</v>
      </c>
      <c r="B86" s="12" t="s">
        <v>747</v>
      </c>
      <c r="C86" s="36" t="s">
        <v>10</v>
      </c>
      <c r="D86" s="3" t="s">
        <v>14</v>
      </c>
      <c r="E86" s="12">
        <v>39.792752299999997</v>
      </c>
      <c r="F86" s="12">
        <v>-83.840406000000002</v>
      </c>
      <c r="G86" s="3" t="s">
        <v>742</v>
      </c>
      <c r="H86" s="23">
        <v>45434</v>
      </c>
      <c r="I86" s="12" t="s">
        <v>760</v>
      </c>
    </row>
    <row r="87" spans="1:9" x14ac:dyDescent="0.2">
      <c r="A87" s="3" t="s">
        <v>769</v>
      </c>
      <c r="B87" s="12" t="s">
        <v>747</v>
      </c>
      <c r="C87" s="12" t="s">
        <v>28</v>
      </c>
      <c r="D87" s="3" t="s">
        <v>14</v>
      </c>
      <c r="E87" s="12">
        <v>39.792752299999997</v>
      </c>
      <c r="F87" s="12">
        <v>-83.840406000000002</v>
      </c>
      <c r="G87" s="3" t="s">
        <v>742</v>
      </c>
      <c r="H87" s="23">
        <v>45434</v>
      </c>
      <c r="I87" s="12" t="s">
        <v>761</v>
      </c>
    </row>
    <row r="88" spans="1:9" x14ac:dyDescent="0.2">
      <c r="A88" s="3" t="s">
        <v>770</v>
      </c>
      <c r="B88" s="12" t="s">
        <v>747</v>
      </c>
      <c r="C88" s="12" t="s">
        <v>28</v>
      </c>
      <c r="D88" s="3" t="s">
        <v>14</v>
      </c>
      <c r="E88" s="12">
        <v>39.789865399999996</v>
      </c>
      <c r="F88" s="12">
        <v>-83.842731999999998</v>
      </c>
      <c r="G88" s="3" t="s">
        <v>742</v>
      </c>
      <c r="H88" s="23">
        <v>45434</v>
      </c>
      <c r="I88" s="12" t="s">
        <v>762</v>
      </c>
    </row>
    <row r="89" spans="1:9" x14ac:dyDescent="0.2">
      <c r="A89" s="3" t="s">
        <v>771</v>
      </c>
      <c r="B89" s="12" t="s">
        <v>747</v>
      </c>
      <c r="C89" s="12" t="s">
        <v>10</v>
      </c>
      <c r="D89" s="3" t="s">
        <v>14</v>
      </c>
      <c r="E89" s="12">
        <v>39.790815799999997</v>
      </c>
      <c r="F89" s="12">
        <v>-83.841480000000004</v>
      </c>
      <c r="G89" s="3" t="s">
        <v>742</v>
      </c>
      <c r="H89" s="23">
        <v>45434</v>
      </c>
      <c r="I89" s="12" t="s">
        <v>763</v>
      </c>
    </row>
    <row r="90" spans="1:9" x14ac:dyDescent="0.2">
      <c r="A90" s="3" t="s">
        <v>772</v>
      </c>
      <c r="B90" s="12" t="s">
        <v>747</v>
      </c>
      <c r="C90" s="12" t="s">
        <v>10</v>
      </c>
      <c r="D90" s="3" t="s">
        <v>14</v>
      </c>
      <c r="E90" s="12">
        <v>39.790815799999997</v>
      </c>
      <c r="F90" s="12">
        <v>-83.841480000000004</v>
      </c>
      <c r="G90" s="3" t="s">
        <v>742</v>
      </c>
      <c r="H90" s="23">
        <v>45434</v>
      </c>
      <c r="I90" s="12" t="s">
        <v>764</v>
      </c>
    </row>
    <row r="91" spans="1:9" x14ac:dyDescent="0.2">
      <c r="A91" s="3" t="s">
        <v>773</v>
      </c>
      <c r="B91" s="12" t="s">
        <v>747</v>
      </c>
      <c r="C91" s="12" t="s">
        <v>10</v>
      </c>
      <c r="D91" s="3" t="s">
        <v>14</v>
      </c>
      <c r="E91" s="12">
        <v>39.790815799999997</v>
      </c>
      <c r="F91" s="12">
        <v>-83.841480000000004</v>
      </c>
      <c r="G91" s="3" t="s">
        <v>742</v>
      </c>
      <c r="H91" s="23">
        <v>45434</v>
      </c>
      <c r="I91" s="12" t="s">
        <v>765</v>
      </c>
    </row>
    <row r="95" spans="1:9" x14ac:dyDescent="0.2">
      <c r="E95" s="16"/>
      <c r="F95" s="16"/>
    </row>
    <row r="96" spans="1:9" x14ac:dyDescent="0.2">
      <c r="E96" s="16"/>
      <c r="F96" s="16"/>
    </row>
    <row r="97" spans="5:6" x14ac:dyDescent="0.2">
      <c r="E97" s="16"/>
      <c r="F97" s="16"/>
    </row>
    <row r="98" spans="5:6" x14ac:dyDescent="0.2">
      <c r="E98" s="16"/>
      <c r="F98" s="16"/>
    </row>
    <row r="99" spans="5:6" x14ac:dyDescent="0.2">
      <c r="E99" s="16"/>
      <c r="F99" s="16"/>
    </row>
    <row r="100" spans="5:6" x14ac:dyDescent="0.2">
      <c r="E100" s="16"/>
      <c r="F100" s="16"/>
    </row>
    <row r="101" spans="5:6" x14ac:dyDescent="0.2">
      <c r="E101" s="16"/>
      <c r="F101" s="16"/>
    </row>
    <row r="102" spans="5:6" x14ac:dyDescent="0.2">
      <c r="E102" s="16"/>
      <c r="F102" s="16"/>
    </row>
    <row r="103" spans="5:6" x14ac:dyDescent="0.2">
      <c r="E103" s="16"/>
      <c r="F103" s="16"/>
    </row>
  </sheetData>
  <sortState xmlns:xlrd2="http://schemas.microsoft.com/office/spreadsheetml/2017/richdata2" ref="A2:I105">
    <sortCondition ref="A1:A105"/>
  </sortState>
  <phoneticPr fontId="2" type="noConversion"/>
  <pageMargins left="0.7" right="0.7" top="0.75" bottom="0.75" header="0.3" footer="0.3"/>
  <pageSetup scale="39" orientation="portrait" horizontalDpi="0" verticalDpi="0" copies="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CBBB-C6D0-4536-B501-0E9DF444AAD6}">
  <dimension ref="A1:U34"/>
  <sheetViews>
    <sheetView topLeftCell="A2" workbookViewId="0">
      <selection activeCell="B5" sqref="B5"/>
    </sheetView>
  </sheetViews>
  <sheetFormatPr baseColWidth="10" defaultColWidth="8.83203125" defaultRowHeight="16" x14ac:dyDescent="0.2"/>
  <sheetData>
    <row r="1" spans="1:21" x14ac:dyDescent="0.2">
      <c r="A1" s="13" t="s">
        <v>244</v>
      </c>
      <c r="B1" s="14" t="s">
        <v>245</v>
      </c>
      <c r="C1" s="14" t="s">
        <v>246</v>
      </c>
      <c r="D1" s="14" t="s">
        <v>247</v>
      </c>
      <c r="E1" s="15" t="s">
        <v>248</v>
      </c>
      <c r="F1" s="15" t="s">
        <v>249</v>
      </c>
      <c r="G1" s="15" t="s">
        <v>250</v>
      </c>
      <c r="H1" s="15" t="s">
        <v>251</v>
      </c>
      <c r="I1" s="14" t="s">
        <v>252</v>
      </c>
      <c r="J1" s="14" t="s">
        <v>253</v>
      </c>
      <c r="K1" s="14" t="s">
        <v>254</v>
      </c>
      <c r="L1" s="14" t="s">
        <v>255</v>
      </c>
      <c r="M1" s="14" t="s">
        <v>256</v>
      </c>
      <c r="N1" s="14" t="s">
        <v>257</v>
      </c>
      <c r="O1" s="14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9" t="s">
        <v>263</v>
      </c>
    </row>
    <row r="2" spans="1:21" x14ac:dyDescent="0.2">
      <c r="A2" s="16" t="s">
        <v>264</v>
      </c>
      <c r="B2" s="16" t="s">
        <v>28</v>
      </c>
      <c r="C2" s="16"/>
      <c r="D2" s="16" t="s">
        <v>265</v>
      </c>
      <c r="E2" s="16">
        <v>1.95</v>
      </c>
      <c r="F2" s="16">
        <v>119</v>
      </c>
      <c r="G2" s="16" t="s">
        <v>266</v>
      </c>
      <c r="H2" t="s">
        <v>267</v>
      </c>
      <c r="I2" t="s">
        <v>268</v>
      </c>
      <c r="J2" s="16"/>
      <c r="K2" s="16" t="s">
        <v>269</v>
      </c>
      <c r="L2" t="s">
        <v>270</v>
      </c>
      <c r="M2" t="s">
        <v>271</v>
      </c>
      <c r="N2" s="16">
        <v>9.98</v>
      </c>
      <c r="O2" s="16">
        <v>8.8800000000000008</v>
      </c>
      <c r="P2" s="16" t="s">
        <v>272</v>
      </c>
      <c r="Q2" s="16">
        <v>3</v>
      </c>
      <c r="R2" s="16">
        <v>0.51</v>
      </c>
      <c r="S2" s="16">
        <v>0.3</v>
      </c>
      <c r="T2">
        <v>1.22</v>
      </c>
    </row>
    <row r="3" spans="1:21" x14ac:dyDescent="0.2">
      <c r="A3" s="16" t="s">
        <v>273</v>
      </c>
      <c r="B3" s="16" t="s">
        <v>10</v>
      </c>
      <c r="C3" s="16"/>
      <c r="D3" s="16" t="s">
        <v>274</v>
      </c>
      <c r="E3" s="16">
        <v>1</v>
      </c>
      <c r="F3" s="16">
        <v>189.7</v>
      </c>
      <c r="G3" s="16" t="s">
        <v>275</v>
      </c>
      <c r="H3" t="s">
        <v>276</v>
      </c>
      <c r="I3" t="s">
        <v>268</v>
      </c>
      <c r="J3" s="16"/>
      <c r="K3" s="16" t="s">
        <v>277</v>
      </c>
      <c r="L3" t="s">
        <v>270</v>
      </c>
      <c r="M3" t="s">
        <v>271</v>
      </c>
      <c r="N3" s="16">
        <v>11.38</v>
      </c>
      <c r="O3" s="16">
        <v>8.9700000000000006</v>
      </c>
      <c r="P3" s="16" t="s">
        <v>272</v>
      </c>
      <c r="Q3" s="16">
        <v>2</v>
      </c>
      <c r="R3" s="16">
        <v>0.5</v>
      </c>
      <c r="S3" s="16">
        <v>0.4</v>
      </c>
      <c r="T3" s="16">
        <v>1.1200000000000001</v>
      </c>
    </row>
    <row r="4" spans="1:21" x14ac:dyDescent="0.2">
      <c r="A4" s="16" t="s">
        <v>278</v>
      </c>
      <c r="B4" s="16" t="s">
        <v>10</v>
      </c>
      <c r="C4" s="16"/>
      <c r="D4" s="16" t="s">
        <v>279</v>
      </c>
      <c r="E4" s="16">
        <v>1</v>
      </c>
      <c r="F4" s="16">
        <v>220</v>
      </c>
      <c r="G4" s="16" t="s">
        <v>280</v>
      </c>
      <c r="H4" t="s">
        <v>276</v>
      </c>
      <c r="I4" t="s">
        <v>268</v>
      </c>
      <c r="J4" s="16"/>
      <c r="K4" s="16" t="s">
        <v>277</v>
      </c>
      <c r="L4" t="s">
        <v>270</v>
      </c>
      <c r="M4" t="s">
        <v>271</v>
      </c>
      <c r="N4" s="16">
        <v>9.31</v>
      </c>
      <c r="O4" s="16">
        <v>7.24</v>
      </c>
      <c r="P4" s="16" t="s">
        <v>272</v>
      </c>
      <c r="Q4" s="16">
        <v>0</v>
      </c>
      <c r="R4" s="16">
        <v>0.47</v>
      </c>
      <c r="S4" s="16">
        <v>0.4</v>
      </c>
      <c r="T4" s="16">
        <v>1.21</v>
      </c>
    </row>
    <row r="5" spans="1:21" x14ac:dyDescent="0.2">
      <c r="A5" s="16" t="s">
        <v>281</v>
      </c>
      <c r="B5" s="35" t="s">
        <v>10</v>
      </c>
      <c r="C5" s="16"/>
      <c r="D5" s="16" t="s">
        <v>279</v>
      </c>
      <c r="E5" s="16">
        <v>1.56</v>
      </c>
      <c r="F5" s="16">
        <v>157</v>
      </c>
      <c r="G5" s="16" t="s">
        <v>282</v>
      </c>
      <c r="H5" t="s">
        <v>276</v>
      </c>
      <c r="I5" t="s">
        <v>268</v>
      </c>
      <c r="J5" s="16"/>
      <c r="K5" s="16" t="s">
        <v>277</v>
      </c>
      <c r="L5" t="s">
        <v>270</v>
      </c>
      <c r="M5" t="s">
        <v>271</v>
      </c>
      <c r="N5" s="16">
        <v>9.19</v>
      </c>
      <c r="O5" s="16">
        <v>7.3</v>
      </c>
      <c r="P5" s="16" t="s">
        <v>272</v>
      </c>
      <c r="Q5" s="16">
        <v>0</v>
      </c>
      <c r="R5" s="16">
        <v>0.51</v>
      </c>
      <c r="S5" s="16">
        <v>0.4</v>
      </c>
      <c r="T5" s="16">
        <v>1.48</v>
      </c>
      <c r="U5" t="s">
        <v>283</v>
      </c>
    </row>
    <row r="6" spans="1:21" x14ac:dyDescent="0.2">
      <c r="A6" s="16" t="s">
        <v>284</v>
      </c>
      <c r="B6" s="16" t="s">
        <v>28</v>
      </c>
      <c r="C6" s="16"/>
      <c r="D6" s="16" t="s">
        <v>279</v>
      </c>
      <c r="E6" s="16">
        <v>2.37</v>
      </c>
      <c r="F6" s="16">
        <v>158</v>
      </c>
      <c r="G6" t="s">
        <v>285</v>
      </c>
      <c r="H6" t="s">
        <v>267</v>
      </c>
      <c r="I6" t="s">
        <v>268</v>
      </c>
      <c r="J6" s="16"/>
      <c r="K6" s="16" t="s">
        <v>269</v>
      </c>
      <c r="L6" t="s">
        <v>270</v>
      </c>
      <c r="M6" t="s">
        <v>271</v>
      </c>
      <c r="N6" s="16"/>
      <c r="O6" s="16"/>
      <c r="P6" s="16" t="s">
        <v>272</v>
      </c>
      <c r="Q6" s="16">
        <v>3</v>
      </c>
      <c r="R6" s="16">
        <v>0.44</v>
      </c>
      <c r="S6" s="16">
        <v>0.6</v>
      </c>
      <c r="T6" s="16">
        <v>1.62</v>
      </c>
      <c r="U6" t="s">
        <v>286</v>
      </c>
    </row>
    <row r="7" spans="1:21" x14ac:dyDescent="0.2">
      <c r="A7" s="16" t="s">
        <v>288</v>
      </c>
      <c r="B7" s="16" t="s">
        <v>28</v>
      </c>
      <c r="C7" s="16"/>
      <c r="D7" s="16" t="s">
        <v>279</v>
      </c>
      <c r="E7" s="16">
        <v>3.42</v>
      </c>
      <c r="F7" s="16">
        <v>117</v>
      </c>
      <c r="G7" t="s">
        <v>289</v>
      </c>
      <c r="H7" s="16" t="s">
        <v>267</v>
      </c>
      <c r="I7" s="16" t="s">
        <v>268</v>
      </c>
      <c r="J7" s="16"/>
      <c r="K7" s="16" t="s">
        <v>269</v>
      </c>
      <c r="L7" s="16" t="s">
        <v>270</v>
      </c>
      <c r="M7" s="16" t="s">
        <v>271</v>
      </c>
      <c r="N7" s="16">
        <v>13.53</v>
      </c>
      <c r="O7" s="16">
        <v>11</v>
      </c>
      <c r="P7" s="16" t="s">
        <v>272</v>
      </c>
      <c r="Q7" s="16">
        <v>3</v>
      </c>
      <c r="R7">
        <v>0.54</v>
      </c>
      <c r="S7">
        <v>0.7</v>
      </c>
      <c r="T7">
        <v>2.21</v>
      </c>
    </row>
    <row r="8" spans="1:21" x14ac:dyDescent="0.2">
      <c r="A8" s="16" t="s">
        <v>290</v>
      </c>
      <c r="B8" s="16" t="s">
        <v>10</v>
      </c>
      <c r="C8" s="16"/>
      <c r="D8" s="16" t="s">
        <v>291</v>
      </c>
      <c r="E8" s="16">
        <v>0.88</v>
      </c>
      <c r="F8" s="16">
        <v>203</v>
      </c>
      <c r="G8" s="16" t="s">
        <v>275</v>
      </c>
      <c r="H8" s="16" t="s">
        <v>276</v>
      </c>
      <c r="I8" s="16" t="s">
        <v>268</v>
      </c>
      <c r="J8" s="16"/>
      <c r="K8" s="16" t="s">
        <v>277</v>
      </c>
      <c r="L8" s="16" t="s">
        <v>270</v>
      </c>
      <c r="M8" s="16" t="s">
        <v>271</v>
      </c>
      <c r="N8" s="16">
        <v>8.9</v>
      </c>
      <c r="O8" s="16">
        <v>7.81</v>
      </c>
      <c r="P8" s="16" t="s">
        <v>272</v>
      </c>
      <c r="Q8" s="16">
        <v>2</v>
      </c>
      <c r="R8">
        <v>0.43</v>
      </c>
      <c r="S8">
        <v>0.4</v>
      </c>
      <c r="T8">
        <v>1.3</v>
      </c>
    </row>
    <row r="9" spans="1:21" x14ac:dyDescent="0.2">
      <c r="A9" s="16" t="s">
        <v>292</v>
      </c>
      <c r="B9" s="16" t="s">
        <v>10</v>
      </c>
      <c r="C9" s="16"/>
      <c r="D9" s="16" t="s">
        <v>291</v>
      </c>
      <c r="E9" s="16">
        <v>0.94</v>
      </c>
      <c r="F9" s="16">
        <v>218</v>
      </c>
      <c r="G9" s="16" t="s">
        <v>280</v>
      </c>
      <c r="H9" s="16" t="s">
        <v>276</v>
      </c>
      <c r="I9" s="16" t="s">
        <v>268</v>
      </c>
      <c r="J9" s="16"/>
      <c r="K9" s="16" t="s">
        <v>277</v>
      </c>
      <c r="L9" s="16" t="s">
        <v>270</v>
      </c>
      <c r="M9" s="16" t="s">
        <v>271</v>
      </c>
      <c r="N9" s="16">
        <v>9.43</v>
      </c>
      <c r="O9" s="16">
        <v>7.84</v>
      </c>
      <c r="P9" s="16" t="s">
        <v>272</v>
      </c>
      <c r="Q9" s="16">
        <v>1</v>
      </c>
      <c r="R9">
        <v>0.55000000000000004</v>
      </c>
      <c r="S9">
        <v>0.6</v>
      </c>
      <c r="T9">
        <v>1.29</v>
      </c>
    </row>
    <row r="10" spans="1:21" x14ac:dyDescent="0.2">
      <c r="A10" s="16" t="s">
        <v>293</v>
      </c>
      <c r="B10" s="16" t="s">
        <v>10</v>
      </c>
      <c r="C10" s="16"/>
      <c r="D10" s="16" t="s">
        <v>291</v>
      </c>
      <c r="E10" s="16">
        <v>0.89</v>
      </c>
      <c r="F10" s="16">
        <v>191</v>
      </c>
      <c r="G10" s="16" t="s">
        <v>275</v>
      </c>
      <c r="H10" s="16" t="s">
        <v>276</v>
      </c>
      <c r="I10" s="16" t="s">
        <v>268</v>
      </c>
      <c r="J10" s="16"/>
      <c r="K10" s="16" t="s">
        <v>277</v>
      </c>
      <c r="L10" s="16" t="s">
        <v>270</v>
      </c>
      <c r="M10" s="16" t="s">
        <v>271</v>
      </c>
      <c r="N10" s="16">
        <v>9.68</v>
      </c>
      <c r="O10" s="16">
        <v>8.4600000000000009</v>
      </c>
      <c r="P10" s="16" t="s">
        <v>272</v>
      </c>
      <c r="Q10" s="16">
        <v>2</v>
      </c>
      <c r="R10">
        <v>0.34</v>
      </c>
      <c r="S10">
        <v>0.3</v>
      </c>
      <c r="T10">
        <v>1.18</v>
      </c>
    </row>
    <row r="11" spans="1:2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2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2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2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2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4" t="s">
        <v>4</v>
      </c>
      <c r="Q25" s="14" t="s">
        <v>5</v>
      </c>
    </row>
    <row r="26" spans="1:17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v>39.795603999999997</v>
      </c>
      <c r="Q26" s="16">
        <v>-83.838285999999997</v>
      </c>
    </row>
    <row r="27" spans="1:17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v>39.794846100000001</v>
      </c>
      <c r="Q27" s="16">
        <v>-83.839513999999994</v>
      </c>
    </row>
    <row r="28" spans="1:17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v>39.794846100000001</v>
      </c>
      <c r="Q28" s="16">
        <v>-83.839513999999994</v>
      </c>
    </row>
    <row r="29" spans="1:17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>
        <v>39.792752299999997</v>
      </c>
      <c r="Q29" s="16">
        <v>-83.840406000000002</v>
      </c>
    </row>
    <row r="30" spans="1:17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v>39.792752299999997</v>
      </c>
      <c r="Q30" s="16">
        <v>-83.840406000000002</v>
      </c>
    </row>
    <row r="31" spans="1:17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v>39.789865399999996</v>
      </c>
      <c r="Q31" s="16">
        <v>-83.842731999999998</v>
      </c>
    </row>
    <row r="32" spans="1:17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v>39.790815799999997</v>
      </c>
      <c r="Q32" s="16">
        <v>-83.841480000000004</v>
      </c>
    </row>
    <row r="33" spans="1:17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39.793318800000002</v>
      </c>
      <c r="Q33" s="16">
        <v>-83.839832000000001</v>
      </c>
    </row>
    <row r="34" spans="1:17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v>39.795549700000002</v>
      </c>
      <c r="Q34" s="16">
        <v>-83.838596999999993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7DD-E40A-CC4E-962D-24177DEA0F02}">
  <dimension ref="A1:AF249"/>
  <sheetViews>
    <sheetView topLeftCell="O18" workbookViewId="0">
      <selection activeCell="T8" sqref="T8"/>
    </sheetView>
  </sheetViews>
  <sheetFormatPr baseColWidth="10" defaultColWidth="11" defaultRowHeight="15.75" customHeight="1" x14ac:dyDescent="0.2"/>
  <sheetData>
    <row r="1" spans="1:32" ht="16" x14ac:dyDescent="0.2">
      <c r="A1" s="2" t="s">
        <v>296</v>
      </c>
      <c r="B1" s="1" t="s">
        <v>297</v>
      </c>
      <c r="C1" s="9" t="s">
        <v>246</v>
      </c>
      <c r="D1" s="9" t="s">
        <v>247</v>
      </c>
      <c r="E1" s="30" t="s">
        <v>298</v>
      </c>
      <c r="F1" s="4" t="s">
        <v>299</v>
      </c>
      <c r="G1" s="4" t="s">
        <v>300</v>
      </c>
      <c r="H1" s="4" t="s">
        <v>301</v>
      </c>
      <c r="I1" s="4" t="s">
        <v>302</v>
      </c>
      <c r="J1" s="4" t="s">
        <v>303</v>
      </c>
      <c r="K1" s="4" t="s">
        <v>304</v>
      </c>
      <c r="L1" s="9" t="s">
        <v>305</v>
      </c>
      <c r="M1" s="9" t="s">
        <v>253</v>
      </c>
      <c r="N1" s="1" t="s">
        <v>306</v>
      </c>
      <c r="O1" s="1" t="s">
        <v>307</v>
      </c>
      <c r="P1" s="9" t="s">
        <v>308</v>
      </c>
      <c r="Q1" s="1" t="s">
        <v>309</v>
      </c>
      <c r="R1" s="1" t="s">
        <v>310</v>
      </c>
      <c r="S1" s="9" t="s">
        <v>259</v>
      </c>
      <c r="T1" s="1" t="s">
        <v>260</v>
      </c>
      <c r="U1" s="31" t="s">
        <v>261</v>
      </c>
      <c r="V1" s="9" t="s">
        <v>262</v>
      </c>
      <c r="W1" s="17" t="s">
        <v>263</v>
      </c>
      <c r="X1" s="9" t="s">
        <v>311</v>
      </c>
      <c r="Y1" s="9" t="s">
        <v>312</v>
      </c>
      <c r="Z1" s="17" t="s">
        <v>781</v>
      </c>
      <c r="AA1" s="9" t="s">
        <v>314</v>
      </c>
      <c r="AB1" s="9" t="s">
        <v>315</v>
      </c>
      <c r="AC1" s="9" t="s">
        <v>316</v>
      </c>
      <c r="AD1" s="9" t="s">
        <v>317</v>
      </c>
      <c r="AE1" s="1" t="s">
        <v>318</v>
      </c>
      <c r="AF1" s="17"/>
    </row>
    <row r="2" spans="1:32" ht="16" x14ac:dyDescent="0.2">
      <c r="A2" t="s">
        <v>319</v>
      </c>
      <c r="B2" t="s">
        <v>10</v>
      </c>
      <c r="C2" t="s">
        <v>320</v>
      </c>
      <c r="D2" t="s">
        <v>11</v>
      </c>
      <c r="E2" t="s">
        <v>321</v>
      </c>
      <c r="F2">
        <f>(0.8+0.79+0.81)/3</f>
        <v>0.80000000000000016</v>
      </c>
      <c r="G2">
        <f>(0.91+0.89+0.94)/3</f>
        <v>0.91333333333333344</v>
      </c>
      <c r="H2">
        <v>170.1</v>
      </c>
      <c r="I2" t="s">
        <v>322</v>
      </c>
      <c r="J2" t="s">
        <v>589</v>
      </c>
      <c r="K2" t="s">
        <v>323</v>
      </c>
      <c r="L2" t="s">
        <v>268</v>
      </c>
      <c r="N2" t="s">
        <v>277</v>
      </c>
      <c r="O2" t="s">
        <v>324</v>
      </c>
      <c r="P2" t="s">
        <v>271</v>
      </c>
      <c r="Q2">
        <v>7.78</v>
      </c>
      <c r="R2">
        <v>5</v>
      </c>
      <c r="S2" t="s">
        <v>372</v>
      </c>
      <c r="T2">
        <v>0</v>
      </c>
      <c r="U2">
        <v>0.41</v>
      </c>
      <c r="V2">
        <v>7.0000000000000007E-2</v>
      </c>
      <c r="W2">
        <v>1.47</v>
      </c>
      <c r="Z2">
        <v>1.29</v>
      </c>
      <c r="AA2">
        <v>1.1299999999999999</v>
      </c>
      <c r="AD2" t="s">
        <v>590</v>
      </c>
    </row>
    <row r="3" spans="1:32" ht="16" x14ac:dyDescent="0.2">
      <c r="A3" t="s">
        <v>325</v>
      </c>
      <c r="B3" t="s">
        <v>10</v>
      </c>
      <c r="C3" t="s">
        <v>320</v>
      </c>
      <c r="D3" t="s">
        <v>11</v>
      </c>
      <c r="E3" t="s">
        <v>321</v>
      </c>
      <c r="F3">
        <f>(1+0.96+1.01)/3</f>
        <v>0.98999999999999988</v>
      </c>
      <c r="G3">
        <f>(0.86+0.93+0.95)/3</f>
        <v>0.91333333333333344</v>
      </c>
      <c r="H3">
        <v>253</v>
      </c>
      <c r="I3" t="s">
        <v>326</v>
      </c>
      <c r="J3" t="s">
        <v>589</v>
      </c>
      <c r="K3" t="s">
        <v>323</v>
      </c>
      <c r="L3" t="s">
        <v>268</v>
      </c>
      <c r="N3" t="s">
        <v>327</v>
      </c>
      <c r="O3" t="s">
        <v>324</v>
      </c>
      <c r="P3" t="s">
        <v>271</v>
      </c>
      <c r="Q3">
        <v>7.71</v>
      </c>
      <c r="R3">
        <v>6.03</v>
      </c>
      <c r="S3" t="s">
        <v>372</v>
      </c>
      <c r="T3">
        <v>0</v>
      </c>
      <c r="U3">
        <v>0.41</v>
      </c>
      <c r="V3">
        <v>0.06</v>
      </c>
      <c r="W3">
        <v>1.25</v>
      </c>
      <c r="Z3">
        <v>1.1100000000000001</v>
      </c>
      <c r="AA3">
        <v>1.61</v>
      </c>
      <c r="AB3">
        <v>1.05</v>
      </c>
      <c r="AC3">
        <v>1.36</v>
      </c>
      <c r="AD3" t="s">
        <v>590</v>
      </c>
    </row>
    <row r="4" spans="1:32" ht="16" x14ac:dyDescent="0.2">
      <c r="A4" t="s">
        <v>328</v>
      </c>
      <c r="B4" t="s">
        <v>10</v>
      </c>
      <c r="C4" t="s">
        <v>320</v>
      </c>
      <c r="D4" t="s">
        <v>11</v>
      </c>
      <c r="E4" t="s">
        <v>321</v>
      </c>
      <c r="F4">
        <f>(0.7+0.72+0.76)/3</f>
        <v>0.72666666666666657</v>
      </c>
      <c r="G4">
        <f>(0.72+0.71+0.7)/3</f>
        <v>0.71</v>
      </c>
      <c r="H4">
        <v>215</v>
      </c>
      <c r="I4" t="s">
        <v>326</v>
      </c>
      <c r="J4" t="s">
        <v>589</v>
      </c>
      <c r="K4" t="s">
        <v>323</v>
      </c>
      <c r="L4" t="s">
        <v>268</v>
      </c>
      <c r="N4" t="s">
        <v>671</v>
      </c>
      <c r="O4" t="s">
        <v>270</v>
      </c>
      <c r="P4" t="s">
        <v>329</v>
      </c>
      <c r="Q4">
        <v>5.77</v>
      </c>
      <c r="R4">
        <v>4.57</v>
      </c>
      <c r="S4" t="s">
        <v>372</v>
      </c>
      <c r="T4">
        <v>0</v>
      </c>
      <c r="U4">
        <v>0.28999999999999998</v>
      </c>
      <c r="V4">
        <v>0.03</v>
      </c>
      <c r="W4">
        <v>0.98</v>
      </c>
      <c r="Z4">
        <v>1.04</v>
      </c>
      <c r="AA4">
        <v>1.62</v>
      </c>
      <c r="AD4" t="s">
        <v>590</v>
      </c>
      <c r="AE4" t="s">
        <v>782</v>
      </c>
    </row>
    <row r="5" spans="1:32" ht="16" x14ac:dyDescent="0.2">
      <c r="A5" t="s">
        <v>330</v>
      </c>
      <c r="B5" t="s">
        <v>10</v>
      </c>
      <c r="C5" s="3" t="s">
        <v>17</v>
      </c>
      <c r="D5" t="s">
        <v>331</v>
      </c>
      <c r="E5" t="s">
        <v>321</v>
      </c>
      <c r="F5">
        <f>(1.27+1.36+1.2)/3</f>
        <v>1.2766666666666666</v>
      </c>
      <c r="G5">
        <f>(0.93+0.91+1.01)/3</f>
        <v>0.95000000000000007</v>
      </c>
      <c r="H5">
        <v>172.7</v>
      </c>
      <c r="I5" t="s">
        <v>326</v>
      </c>
      <c r="J5" t="s">
        <v>589</v>
      </c>
      <c r="K5" t="s">
        <v>323</v>
      </c>
      <c r="L5" t="s">
        <v>268</v>
      </c>
      <c r="N5" t="s">
        <v>269</v>
      </c>
      <c r="O5" t="s">
        <v>270</v>
      </c>
      <c r="P5" t="s">
        <v>271</v>
      </c>
      <c r="Q5">
        <v>8.65</v>
      </c>
      <c r="R5">
        <v>7.14</v>
      </c>
      <c r="S5" t="s">
        <v>372</v>
      </c>
      <c r="T5">
        <v>3</v>
      </c>
      <c r="U5">
        <v>0.61</v>
      </c>
      <c r="V5">
        <v>7.0000000000000007E-2</v>
      </c>
      <c r="W5">
        <v>1.57</v>
      </c>
      <c r="Z5">
        <v>1.86</v>
      </c>
      <c r="AA5">
        <v>2.67</v>
      </c>
      <c r="AD5" t="s">
        <v>295</v>
      </c>
    </row>
    <row r="6" spans="1:32" ht="16" x14ac:dyDescent="0.2">
      <c r="A6" t="s">
        <v>332</v>
      </c>
      <c r="C6" s="3" t="s">
        <v>17</v>
      </c>
      <c r="D6" t="s">
        <v>331</v>
      </c>
    </row>
    <row r="7" spans="1:32" ht="16" x14ac:dyDescent="0.2">
      <c r="A7" t="s">
        <v>333</v>
      </c>
      <c r="C7" s="3" t="s">
        <v>17</v>
      </c>
      <c r="D7" t="s">
        <v>331</v>
      </c>
    </row>
    <row r="8" spans="1:32" ht="16" x14ac:dyDescent="0.2">
      <c r="A8" t="s">
        <v>334</v>
      </c>
      <c r="B8" t="s">
        <v>18</v>
      </c>
      <c r="C8" s="6" t="s">
        <v>21</v>
      </c>
      <c r="D8" s="3" t="s">
        <v>20</v>
      </c>
      <c r="E8" t="s">
        <v>335</v>
      </c>
      <c r="F8">
        <f>(1.22+1.34+1.26)/3</f>
        <v>1.2733333333333334</v>
      </c>
      <c r="G8">
        <f>(1.1+1.04+1.08)/3</f>
        <v>1.0733333333333335</v>
      </c>
      <c r="H8">
        <v>159</v>
      </c>
      <c r="I8" t="s">
        <v>786</v>
      </c>
      <c r="J8" t="s">
        <v>606</v>
      </c>
      <c r="K8" t="s">
        <v>276</v>
      </c>
      <c r="L8" t="s">
        <v>268</v>
      </c>
      <c r="N8" t="s">
        <v>269</v>
      </c>
      <c r="O8" t="s">
        <v>270</v>
      </c>
      <c r="P8" t="s">
        <v>271</v>
      </c>
      <c r="Q8">
        <v>11.43</v>
      </c>
      <c r="R8">
        <v>11.27</v>
      </c>
      <c r="S8" t="s">
        <v>372</v>
      </c>
      <c r="T8">
        <v>3</v>
      </c>
      <c r="U8">
        <v>0.66</v>
      </c>
      <c r="V8">
        <v>0.08</v>
      </c>
      <c r="W8">
        <v>1.77</v>
      </c>
      <c r="Z8">
        <v>2.15</v>
      </c>
      <c r="AA8">
        <v>1.94</v>
      </c>
      <c r="AB8">
        <v>2.0099999999999998</v>
      </c>
      <c r="AC8">
        <v>2.16</v>
      </c>
      <c r="AD8" t="s">
        <v>590</v>
      </c>
    </row>
    <row r="9" spans="1:32" ht="16" x14ac:dyDescent="0.2">
      <c r="A9" t="s">
        <v>336</v>
      </c>
      <c r="B9" t="s">
        <v>18</v>
      </c>
      <c r="C9" s="6" t="s">
        <v>21</v>
      </c>
      <c r="D9" s="3" t="s">
        <v>20</v>
      </c>
      <c r="E9" t="s">
        <v>335</v>
      </c>
      <c r="F9">
        <f>(1.05+1+0.98)/3</f>
        <v>1.01</v>
      </c>
      <c r="G9">
        <f>(0.97+1.08+1.08)/3</f>
        <v>1.0433333333333332</v>
      </c>
      <c r="H9">
        <v>170</v>
      </c>
      <c r="I9" t="s">
        <v>348</v>
      </c>
      <c r="J9" t="s">
        <v>606</v>
      </c>
      <c r="K9" t="s">
        <v>276</v>
      </c>
      <c r="L9" t="s">
        <v>268</v>
      </c>
      <c r="N9" t="s">
        <v>269</v>
      </c>
      <c r="O9" t="s">
        <v>270</v>
      </c>
      <c r="P9" t="s">
        <v>271</v>
      </c>
      <c r="Q9">
        <v>7.7</v>
      </c>
      <c r="R9">
        <v>6.67</v>
      </c>
      <c r="S9" t="s">
        <v>372</v>
      </c>
      <c r="T9">
        <v>3</v>
      </c>
      <c r="U9">
        <v>0.49</v>
      </c>
      <c r="V9">
        <v>0.04</v>
      </c>
      <c r="W9">
        <v>1.18</v>
      </c>
      <c r="Z9">
        <v>1.25</v>
      </c>
      <c r="AA9">
        <v>1.33</v>
      </c>
      <c r="AB9">
        <v>0.89</v>
      </c>
      <c r="AC9">
        <v>0.88</v>
      </c>
      <c r="AD9" t="s">
        <v>590</v>
      </c>
    </row>
    <row r="10" spans="1:32" ht="16" x14ac:dyDescent="0.2">
      <c r="A10" t="s">
        <v>337</v>
      </c>
      <c r="B10" t="s">
        <v>18</v>
      </c>
      <c r="C10" s="6" t="s">
        <v>21</v>
      </c>
      <c r="D10" s="3" t="s">
        <v>20</v>
      </c>
      <c r="E10" t="s">
        <v>335</v>
      </c>
      <c r="F10">
        <f>(1.49+1.3+1.46)/3</f>
        <v>1.4166666666666667</v>
      </c>
      <c r="G10">
        <f>(0.97+1.06+0.96)/3</f>
        <v>0.9966666666666667</v>
      </c>
      <c r="H10">
        <v>175</v>
      </c>
      <c r="I10" t="s">
        <v>786</v>
      </c>
      <c r="J10" t="s">
        <v>606</v>
      </c>
      <c r="K10" t="s">
        <v>276</v>
      </c>
      <c r="L10" t="s">
        <v>268</v>
      </c>
      <c r="N10" t="s">
        <v>269</v>
      </c>
      <c r="O10" t="s">
        <v>270</v>
      </c>
      <c r="P10" t="s">
        <v>271</v>
      </c>
      <c r="Q10">
        <v>9.51</v>
      </c>
      <c r="R10">
        <v>8.23</v>
      </c>
      <c r="S10" t="s">
        <v>372</v>
      </c>
      <c r="T10">
        <v>3</v>
      </c>
      <c r="U10">
        <v>0.64</v>
      </c>
      <c r="V10">
        <v>7.0000000000000007E-2</v>
      </c>
      <c r="W10">
        <v>1.71</v>
      </c>
      <c r="Z10">
        <v>2.17</v>
      </c>
      <c r="AA10">
        <v>1.07</v>
      </c>
      <c r="AB10">
        <v>1.92</v>
      </c>
      <c r="AC10">
        <v>1.61</v>
      </c>
      <c r="AD10" t="s">
        <v>590</v>
      </c>
    </row>
    <row r="11" spans="1:32" ht="16" x14ac:dyDescent="0.2">
      <c r="A11" t="s">
        <v>338</v>
      </c>
      <c r="B11" t="s">
        <v>18</v>
      </c>
      <c r="C11" s="6" t="s">
        <v>22</v>
      </c>
      <c r="D11" s="3" t="s">
        <v>20</v>
      </c>
      <c r="E11" t="s">
        <v>335</v>
      </c>
      <c r="F11">
        <f>(0.96+0.95+0.92)/3</f>
        <v>0.94333333333333336</v>
      </c>
      <c r="G11">
        <f>(0.99+0.65+0.94)/3</f>
        <v>0.86</v>
      </c>
      <c r="H11">
        <v>167</v>
      </c>
      <c r="I11" t="s">
        <v>295</v>
      </c>
      <c r="J11" t="s">
        <v>606</v>
      </c>
      <c r="K11" t="s">
        <v>339</v>
      </c>
      <c r="L11" t="s">
        <v>340</v>
      </c>
      <c r="N11" t="s">
        <v>269</v>
      </c>
      <c r="O11" t="s">
        <v>270</v>
      </c>
      <c r="P11" t="s">
        <v>271</v>
      </c>
      <c r="Q11">
        <v>9.76</v>
      </c>
      <c r="R11">
        <v>8.01</v>
      </c>
      <c r="S11" t="s">
        <v>435</v>
      </c>
      <c r="T11">
        <v>3</v>
      </c>
      <c r="U11">
        <v>0.55000000000000004</v>
      </c>
      <c r="V11">
        <v>0.09</v>
      </c>
      <c r="W11">
        <v>2.04</v>
      </c>
      <c r="Z11">
        <v>2.36</v>
      </c>
      <c r="AA11">
        <v>3.41</v>
      </c>
      <c r="AB11">
        <v>1.71</v>
      </c>
      <c r="AC11">
        <v>1.79</v>
      </c>
      <c r="AD11" t="s">
        <v>295</v>
      </c>
    </row>
    <row r="12" spans="1:32" ht="16" x14ac:dyDescent="0.2">
      <c r="A12" t="s">
        <v>341</v>
      </c>
      <c r="B12" t="s">
        <v>10</v>
      </c>
      <c r="C12" s="6" t="s">
        <v>22</v>
      </c>
      <c r="D12" s="3" t="s">
        <v>20</v>
      </c>
      <c r="E12" t="s">
        <v>335</v>
      </c>
      <c r="F12">
        <f>(1.01+1.05+1.09)/3</f>
        <v>1.05</v>
      </c>
      <c r="G12">
        <f>(0.99+1.01+1.03)/3</f>
        <v>1.01</v>
      </c>
      <c r="H12">
        <v>205</v>
      </c>
      <c r="I12" t="s">
        <v>326</v>
      </c>
      <c r="J12" t="s">
        <v>589</v>
      </c>
      <c r="K12" t="s">
        <v>339</v>
      </c>
      <c r="L12" t="s">
        <v>268</v>
      </c>
      <c r="N12" t="s">
        <v>269</v>
      </c>
      <c r="O12" t="s">
        <v>270</v>
      </c>
      <c r="P12" t="s">
        <v>271</v>
      </c>
      <c r="Q12">
        <v>9.2100000000000009</v>
      </c>
      <c r="R12">
        <v>6.43</v>
      </c>
      <c r="S12" t="s">
        <v>372</v>
      </c>
      <c r="T12">
        <v>3</v>
      </c>
      <c r="U12">
        <v>0.52</v>
      </c>
      <c r="V12">
        <v>0.09</v>
      </c>
      <c r="W12">
        <v>1.63</v>
      </c>
      <c r="X12" s="5"/>
      <c r="Z12">
        <v>2.38</v>
      </c>
      <c r="AA12">
        <v>2.27</v>
      </c>
      <c r="AB12">
        <v>1.64</v>
      </c>
      <c r="AC12">
        <v>1.83</v>
      </c>
      <c r="AD12" t="s">
        <v>590</v>
      </c>
      <c r="AE12" s="5" t="s">
        <v>342</v>
      </c>
    </row>
    <row r="13" spans="1:32" ht="16" x14ac:dyDescent="0.2">
      <c r="A13" t="s">
        <v>343</v>
      </c>
      <c r="B13" t="s">
        <v>18</v>
      </c>
      <c r="C13" s="6" t="s">
        <v>22</v>
      </c>
      <c r="D13" s="3" t="s">
        <v>20</v>
      </c>
      <c r="E13" t="s">
        <v>335</v>
      </c>
      <c r="F13">
        <f>(0.9+0.92+0.9)/3</f>
        <v>0.90666666666666673</v>
      </c>
      <c r="G13">
        <f>(0.96+1.02+1)/3</f>
        <v>0.99333333333333329</v>
      </c>
      <c r="H13">
        <v>146.69999999999999</v>
      </c>
      <c r="I13" t="s">
        <v>786</v>
      </c>
      <c r="J13" t="s">
        <v>606</v>
      </c>
      <c r="K13" t="s">
        <v>339</v>
      </c>
      <c r="L13" t="s">
        <v>340</v>
      </c>
      <c r="N13" t="s">
        <v>327</v>
      </c>
      <c r="O13" t="s">
        <v>270</v>
      </c>
      <c r="P13" t="s">
        <v>271</v>
      </c>
      <c r="Q13">
        <v>7.94</v>
      </c>
      <c r="R13">
        <v>6.03</v>
      </c>
      <c r="S13" t="s">
        <v>372</v>
      </c>
      <c r="T13">
        <v>3</v>
      </c>
      <c r="U13">
        <v>0.66</v>
      </c>
      <c r="V13">
        <v>0.06</v>
      </c>
      <c r="W13">
        <v>1.81</v>
      </c>
      <c r="Z13">
        <v>2.65</v>
      </c>
      <c r="AA13">
        <v>2.54</v>
      </c>
      <c r="AB13">
        <v>1.39</v>
      </c>
      <c r="AC13">
        <v>1.51</v>
      </c>
      <c r="AD13" t="s">
        <v>590</v>
      </c>
    </row>
    <row r="14" spans="1:32" ht="16" x14ac:dyDescent="0.2">
      <c r="A14" t="s">
        <v>344</v>
      </c>
      <c r="B14" t="s">
        <v>10</v>
      </c>
      <c r="C14" s="6" t="s">
        <v>26</v>
      </c>
      <c r="D14" s="8" t="s">
        <v>24</v>
      </c>
      <c r="E14" t="s">
        <v>335</v>
      </c>
      <c r="F14">
        <f>(0.94+0.95+0.88)/3</f>
        <v>0.92333333333333334</v>
      </c>
      <c r="G14">
        <f>(0.91+0.9+0.89)/3</f>
        <v>0.9</v>
      </c>
      <c r="H14">
        <v>186</v>
      </c>
      <c r="I14" t="s">
        <v>363</v>
      </c>
      <c r="J14" t="s">
        <v>589</v>
      </c>
      <c r="K14" t="s">
        <v>346</v>
      </c>
      <c r="L14" t="s">
        <v>340</v>
      </c>
      <c r="N14" t="s">
        <v>269</v>
      </c>
      <c r="O14" t="s">
        <v>270</v>
      </c>
      <c r="P14" t="s">
        <v>271</v>
      </c>
      <c r="Q14">
        <v>13.02</v>
      </c>
      <c r="R14">
        <v>10.87</v>
      </c>
      <c r="S14" t="s">
        <v>372</v>
      </c>
      <c r="T14">
        <v>0</v>
      </c>
      <c r="U14">
        <v>0.48</v>
      </c>
      <c r="V14">
        <v>7.0000000000000007E-2</v>
      </c>
      <c r="W14">
        <v>1.61</v>
      </c>
      <c r="Z14">
        <v>1.75</v>
      </c>
      <c r="AA14">
        <v>2.31</v>
      </c>
      <c r="AD14" t="s">
        <v>295</v>
      </c>
    </row>
    <row r="15" spans="1:32" ht="16" x14ac:dyDescent="0.2">
      <c r="A15" t="s">
        <v>347</v>
      </c>
      <c r="B15" t="s">
        <v>10</v>
      </c>
      <c r="C15" s="6" t="s">
        <v>26</v>
      </c>
      <c r="D15" s="8" t="s">
        <v>24</v>
      </c>
      <c r="E15" t="s">
        <v>335</v>
      </c>
      <c r="F15">
        <f>(0.9+0.92+0.94)/3</f>
        <v>0.91999999999999993</v>
      </c>
      <c r="G15">
        <f>(0.83+0.78+0.79)/3</f>
        <v>0.79999999999999993</v>
      </c>
      <c r="H15">
        <v>195</v>
      </c>
      <c r="I15" t="s">
        <v>363</v>
      </c>
      <c r="J15" t="s">
        <v>589</v>
      </c>
      <c r="K15" t="s">
        <v>346</v>
      </c>
      <c r="L15" t="s">
        <v>268</v>
      </c>
      <c r="N15" t="s">
        <v>269</v>
      </c>
      <c r="O15" t="s">
        <v>270</v>
      </c>
      <c r="P15" t="s">
        <v>271</v>
      </c>
      <c r="Q15">
        <v>9.76</v>
      </c>
      <c r="R15">
        <v>7.86</v>
      </c>
      <c r="S15" t="s">
        <v>372</v>
      </c>
      <c r="T15">
        <v>0</v>
      </c>
      <c r="U15">
        <v>0.41</v>
      </c>
      <c r="V15">
        <v>0.05</v>
      </c>
      <c r="W15">
        <v>1.22</v>
      </c>
      <c r="Z15">
        <v>1.4</v>
      </c>
      <c r="AA15">
        <v>3.37</v>
      </c>
      <c r="AD15" t="s">
        <v>590</v>
      </c>
    </row>
    <row r="16" spans="1:32" ht="16" x14ac:dyDescent="0.2">
      <c r="A16" t="s">
        <v>349</v>
      </c>
      <c r="B16" t="s">
        <v>10</v>
      </c>
      <c r="C16" s="6" t="s">
        <v>26</v>
      </c>
      <c r="D16" s="8" t="s">
        <v>24</v>
      </c>
      <c r="E16" t="s">
        <v>335</v>
      </c>
      <c r="F16">
        <f>(1+0.94+0.93)/3</f>
        <v>0.95666666666666667</v>
      </c>
      <c r="G16">
        <f>(0.89+0.86+0.81)/3</f>
        <v>0.85333333333333339</v>
      </c>
      <c r="H16">
        <v>218.7</v>
      </c>
      <c r="I16" t="s">
        <v>326</v>
      </c>
      <c r="J16" t="s">
        <v>589</v>
      </c>
      <c r="K16" t="s">
        <v>276</v>
      </c>
      <c r="L16" t="s">
        <v>340</v>
      </c>
      <c r="N16" t="s">
        <v>277</v>
      </c>
      <c r="O16" t="s">
        <v>270</v>
      </c>
      <c r="P16" t="s">
        <v>271</v>
      </c>
      <c r="Q16">
        <v>10.64</v>
      </c>
      <c r="R16">
        <v>7.14</v>
      </c>
      <c r="S16" t="s">
        <v>372</v>
      </c>
      <c r="T16">
        <v>1</v>
      </c>
      <c r="U16">
        <v>0.46</v>
      </c>
      <c r="V16">
        <v>0.04</v>
      </c>
      <c r="W16">
        <v>1.19</v>
      </c>
      <c r="Z16">
        <v>1.62</v>
      </c>
      <c r="AA16">
        <v>3.51</v>
      </c>
      <c r="AD16" t="s">
        <v>295</v>
      </c>
      <c r="AE16" t="s">
        <v>782</v>
      </c>
    </row>
    <row r="17" spans="1:31" ht="16" x14ac:dyDescent="0.2">
      <c r="A17" t="s">
        <v>350</v>
      </c>
      <c r="B17" t="s">
        <v>28</v>
      </c>
      <c r="C17" s="6" t="s">
        <v>30</v>
      </c>
      <c r="D17" s="8" t="s">
        <v>351</v>
      </c>
      <c r="E17" t="s">
        <v>335</v>
      </c>
      <c r="F17">
        <f>(1.49+1.45+1.28)/3</f>
        <v>1.4066666666666665</v>
      </c>
      <c r="G17">
        <f>(0.81+0.82+0.73)/3</f>
        <v>0.78666666666666663</v>
      </c>
      <c r="H17">
        <v>126.7</v>
      </c>
      <c r="I17" t="s">
        <v>677</v>
      </c>
      <c r="J17" t="s">
        <v>606</v>
      </c>
      <c r="K17" t="s">
        <v>267</v>
      </c>
      <c r="L17" t="s">
        <v>352</v>
      </c>
      <c r="N17" t="s">
        <v>269</v>
      </c>
      <c r="O17" t="s">
        <v>270</v>
      </c>
      <c r="P17" t="s">
        <v>271</v>
      </c>
      <c r="Q17">
        <v>9.2899999999999991</v>
      </c>
      <c r="R17">
        <v>7.78</v>
      </c>
      <c r="S17" t="s">
        <v>372</v>
      </c>
      <c r="T17">
        <v>0</v>
      </c>
      <c r="U17">
        <v>0.43</v>
      </c>
      <c r="V17">
        <v>7.0000000000000007E-2</v>
      </c>
      <c r="W17">
        <v>1.38</v>
      </c>
      <c r="Z17">
        <v>1.44</v>
      </c>
      <c r="AA17">
        <v>2.75</v>
      </c>
      <c r="AB17">
        <v>0.94</v>
      </c>
      <c r="AC17">
        <v>1.78</v>
      </c>
      <c r="AD17" t="s">
        <v>590</v>
      </c>
    </row>
    <row r="18" spans="1:31" ht="16" x14ac:dyDescent="0.2">
      <c r="A18" t="s">
        <v>353</v>
      </c>
      <c r="B18" t="s">
        <v>28</v>
      </c>
      <c r="C18" s="6" t="s">
        <v>30</v>
      </c>
      <c r="D18" s="8" t="s">
        <v>351</v>
      </c>
      <c r="E18" t="s">
        <v>335</v>
      </c>
      <c r="F18">
        <f>(2.3+2.08+2.2)/3</f>
        <v>2.1933333333333334</v>
      </c>
      <c r="G18">
        <f>(0.92+0.94+0.95)/3</f>
        <v>0.93666666666666654</v>
      </c>
      <c r="H18">
        <v>175.7</v>
      </c>
      <c r="I18" t="s">
        <v>354</v>
      </c>
      <c r="J18" t="s">
        <v>606</v>
      </c>
      <c r="K18" t="s">
        <v>267</v>
      </c>
      <c r="L18" t="s">
        <v>352</v>
      </c>
      <c r="N18" t="s">
        <v>269</v>
      </c>
      <c r="O18" t="s">
        <v>270</v>
      </c>
      <c r="P18" t="s">
        <v>271</v>
      </c>
      <c r="Q18">
        <v>11.11</v>
      </c>
      <c r="R18">
        <v>9.26</v>
      </c>
      <c r="S18" t="s">
        <v>372</v>
      </c>
      <c r="T18">
        <v>3</v>
      </c>
      <c r="U18">
        <v>0.42</v>
      </c>
      <c r="V18">
        <v>0.05</v>
      </c>
      <c r="W18">
        <v>1.47</v>
      </c>
      <c r="Z18">
        <v>2.0499999999999998</v>
      </c>
      <c r="AA18">
        <v>3.63</v>
      </c>
      <c r="AD18" t="s">
        <v>295</v>
      </c>
    </row>
    <row r="19" spans="1:31" ht="16" x14ac:dyDescent="0.2">
      <c r="A19" t="s">
        <v>355</v>
      </c>
      <c r="B19" t="s">
        <v>28</v>
      </c>
      <c r="C19" s="6" t="s">
        <v>30</v>
      </c>
      <c r="D19" s="8" t="s">
        <v>351</v>
      </c>
      <c r="E19" t="s">
        <v>335</v>
      </c>
      <c r="F19">
        <f>(2.53+2.5+2.51)/3</f>
        <v>2.5133333333333332</v>
      </c>
      <c r="G19">
        <f>(1.01+1.05+1.06)/3</f>
        <v>1.04</v>
      </c>
      <c r="H19">
        <v>112.7</v>
      </c>
      <c r="I19" t="s">
        <v>677</v>
      </c>
      <c r="J19" t="s">
        <v>606</v>
      </c>
      <c r="K19" t="s">
        <v>267</v>
      </c>
      <c r="L19" t="s">
        <v>352</v>
      </c>
      <c r="N19" t="s">
        <v>269</v>
      </c>
      <c r="O19" t="s">
        <v>270</v>
      </c>
      <c r="P19" t="s">
        <v>271</v>
      </c>
      <c r="Q19">
        <v>9.5299999999999994</v>
      </c>
      <c r="R19">
        <v>8.57</v>
      </c>
      <c r="S19" t="s">
        <v>372</v>
      </c>
      <c r="T19">
        <v>3</v>
      </c>
      <c r="U19">
        <v>0.64</v>
      </c>
      <c r="V19">
        <v>7.0000000000000007E-2</v>
      </c>
      <c r="W19">
        <v>1.72</v>
      </c>
      <c r="Z19">
        <v>1.95</v>
      </c>
      <c r="AA19">
        <v>2.96</v>
      </c>
      <c r="AB19">
        <v>1.03</v>
      </c>
      <c r="AC19">
        <v>1.72</v>
      </c>
      <c r="AD19" t="s">
        <v>590</v>
      </c>
    </row>
    <row r="20" spans="1:31" ht="16" x14ac:dyDescent="0.2">
      <c r="A20" t="s">
        <v>356</v>
      </c>
      <c r="B20" t="s">
        <v>28</v>
      </c>
      <c r="C20" s="6" t="s">
        <v>30</v>
      </c>
      <c r="D20" s="8" t="s">
        <v>351</v>
      </c>
      <c r="E20" t="s">
        <v>335</v>
      </c>
      <c r="F20">
        <f>(1.33+1.35+1.41)/3</f>
        <v>1.3633333333333333</v>
      </c>
      <c r="G20">
        <f>(0.63+0.79+0.73)/3</f>
        <v>0.71666666666666667</v>
      </c>
      <c r="H20">
        <v>165.3</v>
      </c>
      <c r="I20" t="s">
        <v>348</v>
      </c>
      <c r="J20" t="s">
        <v>589</v>
      </c>
      <c r="K20" t="s">
        <v>267</v>
      </c>
      <c r="L20" t="s">
        <v>352</v>
      </c>
      <c r="O20" t="s">
        <v>270</v>
      </c>
      <c r="P20" t="s">
        <v>271</v>
      </c>
      <c r="Q20">
        <v>10.4</v>
      </c>
      <c r="R20">
        <v>6.35</v>
      </c>
      <c r="S20" t="s">
        <v>372</v>
      </c>
      <c r="T20">
        <v>0</v>
      </c>
      <c r="U20">
        <v>0.36</v>
      </c>
      <c r="V20">
        <v>0.06</v>
      </c>
      <c r="W20">
        <v>1.41</v>
      </c>
      <c r="X20" s="5"/>
      <c r="Z20">
        <v>1.46</v>
      </c>
      <c r="AA20">
        <v>2.48</v>
      </c>
      <c r="AD20" t="s">
        <v>295</v>
      </c>
      <c r="AE20" s="5" t="s">
        <v>783</v>
      </c>
    </row>
    <row r="21" spans="1:31" ht="16" x14ac:dyDescent="0.2">
      <c r="A21" t="s">
        <v>358</v>
      </c>
      <c r="B21" t="s">
        <v>10</v>
      </c>
      <c r="C21" s="6" t="s">
        <v>32</v>
      </c>
      <c r="D21" s="8" t="s">
        <v>351</v>
      </c>
      <c r="E21" t="s">
        <v>335</v>
      </c>
      <c r="F21">
        <f>(1.06+1.11+1.09)/3</f>
        <v>1.0866666666666667</v>
      </c>
      <c r="G21">
        <f>(0.91+0.92+0.93)/3</f>
        <v>0.92</v>
      </c>
      <c r="H21">
        <v>223</v>
      </c>
      <c r="I21" t="s">
        <v>326</v>
      </c>
      <c r="J21" t="s">
        <v>589</v>
      </c>
      <c r="K21" t="s">
        <v>359</v>
      </c>
      <c r="L21" t="s">
        <v>268</v>
      </c>
      <c r="N21" t="s">
        <v>360</v>
      </c>
      <c r="O21" t="s">
        <v>270</v>
      </c>
      <c r="P21" t="s">
        <v>271</v>
      </c>
      <c r="Q21">
        <v>11.75</v>
      </c>
      <c r="R21">
        <v>10</v>
      </c>
      <c r="S21" t="s">
        <v>372</v>
      </c>
      <c r="T21">
        <v>2</v>
      </c>
      <c r="U21">
        <v>0.51</v>
      </c>
      <c r="V21">
        <v>0.04</v>
      </c>
      <c r="W21">
        <v>1.52</v>
      </c>
      <c r="Z21">
        <v>2.12</v>
      </c>
      <c r="AA21">
        <v>2.17</v>
      </c>
      <c r="AB21">
        <v>1.96</v>
      </c>
      <c r="AC21">
        <v>2.06</v>
      </c>
      <c r="AD21" t="s">
        <v>295</v>
      </c>
    </row>
    <row r="22" spans="1:31" ht="16" x14ac:dyDescent="0.2">
      <c r="A22" t="s">
        <v>361</v>
      </c>
      <c r="B22" t="s">
        <v>10</v>
      </c>
      <c r="C22" s="6" t="s">
        <v>32</v>
      </c>
      <c r="D22" s="8" t="s">
        <v>351</v>
      </c>
      <c r="E22" t="s">
        <v>335</v>
      </c>
      <c r="F22">
        <f>(1.07+1.03)/2</f>
        <v>1.05</v>
      </c>
      <c r="G22">
        <f>(0.92+0.93+0.95)/3</f>
        <v>0.93333333333333324</v>
      </c>
      <c r="H22">
        <v>222.7</v>
      </c>
      <c r="I22" t="s">
        <v>326</v>
      </c>
      <c r="J22" t="s">
        <v>589</v>
      </c>
      <c r="K22" t="s">
        <v>359</v>
      </c>
      <c r="L22" t="s">
        <v>268</v>
      </c>
      <c r="N22" t="s">
        <v>277</v>
      </c>
      <c r="O22" t="s">
        <v>270</v>
      </c>
      <c r="P22" t="s">
        <v>271</v>
      </c>
      <c r="Q22">
        <v>9.6</v>
      </c>
      <c r="R22">
        <v>6.91</v>
      </c>
      <c r="S22" t="s">
        <v>372</v>
      </c>
      <c r="T22">
        <v>0</v>
      </c>
      <c r="U22">
        <v>0.55000000000000004</v>
      </c>
      <c r="V22">
        <v>0.08</v>
      </c>
      <c r="W22">
        <v>1.47</v>
      </c>
      <c r="Z22">
        <v>2.17</v>
      </c>
      <c r="AA22">
        <v>2.98</v>
      </c>
      <c r="AB22">
        <v>1.72</v>
      </c>
      <c r="AC22">
        <v>1.89</v>
      </c>
      <c r="AD22" t="s">
        <v>295</v>
      </c>
    </row>
    <row r="23" spans="1:31" ht="16" x14ac:dyDescent="0.2">
      <c r="A23" t="s">
        <v>362</v>
      </c>
      <c r="B23" t="s">
        <v>10</v>
      </c>
      <c r="C23" s="6" t="s">
        <v>33</v>
      </c>
      <c r="D23" s="8" t="s">
        <v>351</v>
      </c>
      <c r="E23" t="s">
        <v>335</v>
      </c>
      <c r="F23">
        <f>(0.96+1.04+1.01)/3</f>
        <v>1.0033333333333332</v>
      </c>
      <c r="G23">
        <f>(0.91+0.83+0.84)/3</f>
        <v>0.86</v>
      </c>
      <c r="H23">
        <v>186.7</v>
      </c>
      <c r="I23" t="s">
        <v>363</v>
      </c>
      <c r="J23" t="s">
        <v>589</v>
      </c>
      <c r="K23" t="s">
        <v>359</v>
      </c>
      <c r="L23" t="s">
        <v>268</v>
      </c>
      <c r="N23" t="s">
        <v>360</v>
      </c>
      <c r="O23" t="s">
        <v>270</v>
      </c>
      <c r="P23" t="s">
        <v>271</v>
      </c>
      <c r="Q23">
        <v>8.57</v>
      </c>
      <c r="R23">
        <v>7.46</v>
      </c>
      <c r="S23" t="s">
        <v>372</v>
      </c>
      <c r="T23">
        <v>0</v>
      </c>
      <c r="U23">
        <v>0.47</v>
      </c>
      <c r="V23">
        <v>0.06</v>
      </c>
      <c r="W23">
        <v>1.46</v>
      </c>
      <c r="Z23">
        <v>1.68</v>
      </c>
      <c r="AA23">
        <v>2.5099999999999998</v>
      </c>
      <c r="AB23">
        <v>2.0099999999999998</v>
      </c>
      <c r="AC23">
        <v>1.71</v>
      </c>
      <c r="AD23" t="s">
        <v>295</v>
      </c>
    </row>
    <row r="24" spans="1:31" ht="16" x14ac:dyDescent="0.2">
      <c r="A24" t="s">
        <v>364</v>
      </c>
      <c r="B24" t="s">
        <v>10</v>
      </c>
      <c r="C24" s="6" t="s">
        <v>33</v>
      </c>
      <c r="D24" s="8" t="s">
        <v>351</v>
      </c>
      <c r="E24" t="s">
        <v>335</v>
      </c>
      <c r="F24">
        <f>(0.86+0.91+0.9)/3</f>
        <v>0.89</v>
      </c>
      <c r="G24">
        <f>(0.76+0.82+0.81)/3</f>
        <v>0.79666666666666675</v>
      </c>
      <c r="H24">
        <v>218</v>
      </c>
      <c r="I24" t="s">
        <v>326</v>
      </c>
      <c r="J24" t="s">
        <v>589</v>
      </c>
      <c r="K24" t="s">
        <v>359</v>
      </c>
      <c r="L24" t="s">
        <v>268</v>
      </c>
      <c r="N24" t="s">
        <v>277</v>
      </c>
      <c r="O24" t="s">
        <v>270</v>
      </c>
      <c r="P24" t="s">
        <v>271</v>
      </c>
      <c r="Q24">
        <v>9.0500000000000007</v>
      </c>
      <c r="R24">
        <v>7.14</v>
      </c>
      <c r="S24" t="s">
        <v>372</v>
      </c>
      <c r="T24">
        <v>0</v>
      </c>
      <c r="U24">
        <v>0.44</v>
      </c>
      <c r="V24">
        <v>0.03</v>
      </c>
      <c r="W24">
        <v>1.44</v>
      </c>
      <c r="Z24">
        <v>1.7</v>
      </c>
      <c r="AA24">
        <v>1.95</v>
      </c>
      <c r="AB24">
        <v>1.35</v>
      </c>
      <c r="AC24">
        <v>1.23</v>
      </c>
      <c r="AD24" t="s">
        <v>590</v>
      </c>
    </row>
    <row r="25" spans="1:31" ht="16" x14ac:dyDescent="0.2">
      <c r="A25" t="s">
        <v>365</v>
      </c>
      <c r="B25" t="s">
        <v>10</v>
      </c>
      <c r="C25" s="6" t="s">
        <v>33</v>
      </c>
      <c r="D25" s="8" t="s">
        <v>351</v>
      </c>
      <c r="E25" t="s">
        <v>335</v>
      </c>
      <c r="F25">
        <f>(1.07+1.02+0.98)/3</f>
        <v>1.0233333333333332</v>
      </c>
      <c r="G25">
        <f>(0.92+0.9+0.91)/3</f>
        <v>0.91</v>
      </c>
      <c r="H25">
        <v>202.7</v>
      </c>
      <c r="I25" t="s">
        <v>363</v>
      </c>
      <c r="J25" t="s">
        <v>589</v>
      </c>
      <c r="K25" t="s">
        <v>359</v>
      </c>
      <c r="L25" t="s">
        <v>268</v>
      </c>
      <c r="N25" t="s">
        <v>269</v>
      </c>
      <c r="O25" t="s">
        <v>270</v>
      </c>
      <c r="P25" t="s">
        <v>271</v>
      </c>
      <c r="Q25">
        <v>9.3699999999999992</v>
      </c>
      <c r="R25">
        <v>7.94</v>
      </c>
      <c r="S25" t="s">
        <v>372</v>
      </c>
      <c r="T25">
        <v>2</v>
      </c>
      <c r="U25">
        <v>0.44</v>
      </c>
      <c r="V25">
        <v>0.04</v>
      </c>
      <c r="W25">
        <v>1.5</v>
      </c>
      <c r="Z25">
        <v>2.7</v>
      </c>
      <c r="AA25">
        <v>1.51</v>
      </c>
      <c r="AB25">
        <v>1.53</v>
      </c>
      <c r="AC25">
        <v>1.89</v>
      </c>
      <c r="AD25" t="s">
        <v>295</v>
      </c>
    </row>
    <row r="26" spans="1:31" ht="16" x14ac:dyDescent="0.2">
      <c r="A26" t="s">
        <v>366</v>
      </c>
      <c r="B26" t="s">
        <v>10</v>
      </c>
      <c r="C26" s="3" t="s">
        <v>34</v>
      </c>
      <c r="D26" s="8" t="s">
        <v>14</v>
      </c>
      <c r="E26" t="s">
        <v>335</v>
      </c>
      <c r="F26">
        <f>(0.96+1.04+1.01)/3</f>
        <v>1.0033333333333332</v>
      </c>
      <c r="G26">
        <f>(0.72+0.76+0.68)/3</f>
        <v>0.72000000000000008</v>
      </c>
      <c r="H26">
        <v>226.3</v>
      </c>
      <c r="I26" t="s">
        <v>326</v>
      </c>
      <c r="J26" t="s">
        <v>589</v>
      </c>
      <c r="K26" t="s">
        <v>359</v>
      </c>
      <c r="L26" t="s">
        <v>268</v>
      </c>
      <c r="N26" t="s">
        <v>269</v>
      </c>
      <c r="O26" t="s">
        <v>270</v>
      </c>
      <c r="P26" t="s">
        <v>271</v>
      </c>
      <c r="Q26">
        <v>8.73</v>
      </c>
      <c r="R26">
        <v>7.38</v>
      </c>
      <c r="S26" t="s">
        <v>372</v>
      </c>
      <c r="T26">
        <v>0</v>
      </c>
      <c r="U26">
        <v>0.45</v>
      </c>
      <c r="V26">
        <v>0.06</v>
      </c>
      <c r="W26">
        <v>1.34</v>
      </c>
      <c r="Z26">
        <v>1.63</v>
      </c>
      <c r="AA26">
        <v>1.62</v>
      </c>
      <c r="AD26" t="s">
        <v>590</v>
      </c>
    </row>
    <row r="27" spans="1:31" ht="16" x14ac:dyDescent="0.2">
      <c r="A27" t="s">
        <v>367</v>
      </c>
      <c r="B27" t="s">
        <v>10</v>
      </c>
      <c r="C27" s="3" t="s">
        <v>34</v>
      </c>
      <c r="D27" s="8" t="s">
        <v>14</v>
      </c>
      <c r="E27" t="s">
        <v>335</v>
      </c>
      <c r="F27">
        <f>(1.11+1.04+1.07)/3</f>
        <v>1.0733333333333335</v>
      </c>
      <c r="G27">
        <f>(0.89+0.96+0.93)/3</f>
        <v>0.92666666666666675</v>
      </c>
      <c r="H27">
        <v>218.3</v>
      </c>
      <c r="I27" t="s">
        <v>326</v>
      </c>
      <c r="J27" t="s">
        <v>589</v>
      </c>
      <c r="K27" t="s">
        <v>339</v>
      </c>
      <c r="L27" t="s">
        <v>352</v>
      </c>
      <c r="N27" t="s">
        <v>269</v>
      </c>
      <c r="O27" t="s">
        <v>270</v>
      </c>
      <c r="P27" t="s">
        <v>271</v>
      </c>
      <c r="Q27">
        <v>12.14</v>
      </c>
      <c r="R27">
        <v>9.68</v>
      </c>
      <c r="S27" t="s">
        <v>372</v>
      </c>
      <c r="T27">
        <v>1</v>
      </c>
      <c r="W27">
        <v>1.28</v>
      </c>
      <c r="Z27">
        <v>1.61</v>
      </c>
      <c r="AA27">
        <v>1.18</v>
      </c>
      <c r="AB27">
        <v>1.31</v>
      </c>
      <c r="AC27">
        <v>1.47</v>
      </c>
    </row>
    <row r="28" spans="1:31" ht="16" x14ac:dyDescent="0.2">
      <c r="A28" t="s">
        <v>368</v>
      </c>
      <c r="B28" t="s">
        <v>10</v>
      </c>
      <c r="C28" s="3" t="s">
        <v>34</v>
      </c>
      <c r="D28" s="8" t="s">
        <v>14</v>
      </c>
      <c r="E28" t="s">
        <v>335</v>
      </c>
      <c r="F28">
        <f>(1.1+0.98+1)/3</f>
        <v>1.0266666666666666</v>
      </c>
      <c r="G28">
        <f>(0.9+0.82+0.87)/3</f>
        <v>0.86333333333333329</v>
      </c>
      <c r="H28">
        <v>172.7</v>
      </c>
      <c r="I28" t="s">
        <v>348</v>
      </c>
      <c r="J28" t="s">
        <v>589</v>
      </c>
      <c r="K28" t="s">
        <v>359</v>
      </c>
      <c r="L28" t="s">
        <v>268</v>
      </c>
      <c r="N28" t="s">
        <v>360</v>
      </c>
      <c r="O28" t="s">
        <v>270</v>
      </c>
      <c r="P28" t="s">
        <v>271</v>
      </c>
      <c r="Q28">
        <v>7.7</v>
      </c>
      <c r="R28">
        <v>6.51</v>
      </c>
      <c r="S28" t="s">
        <v>372</v>
      </c>
      <c r="T28">
        <v>0</v>
      </c>
      <c r="U28">
        <v>0.37</v>
      </c>
      <c r="V28">
        <v>0.04</v>
      </c>
      <c r="W28">
        <v>1.41</v>
      </c>
      <c r="Z28">
        <v>1.87</v>
      </c>
      <c r="AA28">
        <v>1.57</v>
      </c>
      <c r="AB28">
        <v>1.39</v>
      </c>
      <c r="AC28">
        <v>1.29</v>
      </c>
      <c r="AD28" t="s">
        <v>590</v>
      </c>
      <c r="AE28" t="s">
        <v>782</v>
      </c>
    </row>
    <row r="29" spans="1:31" ht="16" x14ac:dyDescent="0.2">
      <c r="A29" t="s">
        <v>369</v>
      </c>
      <c r="B29" t="s">
        <v>10</v>
      </c>
      <c r="C29" s="3" t="s">
        <v>39</v>
      </c>
      <c r="D29" t="s">
        <v>370</v>
      </c>
      <c r="E29" t="s">
        <v>321</v>
      </c>
      <c r="F29">
        <f>(0.83+0.91+0.92)/3</f>
        <v>0.88666666666666671</v>
      </c>
      <c r="G29">
        <f>(0.83+0.82+0.85)/3</f>
        <v>0.83333333333333337</v>
      </c>
      <c r="H29">
        <v>223.3</v>
      </c>
      <c r="I29" t="s">
        <v>326</v>
      </c>
      <c r="J29" t="s">
        <v>589</v>
      </c>
      <c r="K29" t="s">
        <v>371</v>
      </c>
      <c r="L29" t="s">
        <v>371</v>
      </c>
      <c r="N29" t="s">
        <v>277</v>
      </c>
      <c r="O29" t="s">
        <v>270</v>
      </c>
      <c r="P29" t="s">
        <v>271</v>
      </c>
      <c r="Q29">
        <v>7.95</v>
      </c>
      <c r="R29">
        <v>5.39</v>
      </c>
      <c r="S29" t="s">
        <v>372</v>
      </c>
      <c r="T29">
        <v>0</v>
      </c>
      <c r="U29">
        <v>0.28000000000000003</v>
      </c>
      <c r="V29">
        <v>0.03</v>
      </c>
      <c r="W29">
        <v>1.55</v>
      </c>
      <c r="Z29">
        <v>1.53</v>
      </c>
      <c r="AA29">
        <v>2.41</v>
      </c>
      <c r="AD29" t="s">
        <v>590</v>
      </c>
    </row>
    <row r="30" spans="1:31" ht="16" x14ac:dyDescent="0.2">
      <c r="A30" t="s">
        <v>373</v>
      </c>
      <c r="B30" t="s">
        <v>10</v>
      </c>
      <c r="C30" s="3" t="s">
        <v>39</v>
      </c>
      <c r="D30" t="s">
        <v>370</v>
      </c>
      <c r="E30" t="s">
        <v>321</v>
      </c>
      <c r="F30">
        <f>(0.9+0.82+0.88)/3</f>
        <v>0.8666666666666667</v>
      </c>
      <c r="G30">
        <f>(0.82+0.83+0.81)/3</f>
        <v>0.82</v>
      </c>
      <c r="H30">
        <v>230</v>
      </c>
      <c r="I30" t="s">
        <v>326</v>
      </c>
      <c r="J30" t="s">
        <v>589</v>
      </c>
      <c r="K30" t="s">
        <v>276</v>
      </c>
      <c r="L30" t="s">
        <v>352</v>
      </c>
      <c r="N30" t="s">
        <v>277</v>
      </c>
      <c r="O30" t="s">
        <v>270</v>
      </c>
      <c r="P30" t="s">
        <v>271</v>
      </c>
      <c r="Q30">
        <v>5.65</v>
      </c>
      <c r="R30">
        <v>3.94</v>
      </c>
      <c r="S30" t="s">
        <v>372</v>
      </c>
      <c r="T30">
        <v>0</v>
      </c>
      <c r="U30">
        <v>0.41</v>
      </c>
      <c r="V30">
        <v>0.05</v>
      </c>
      <c r="W30">
        <v>1.42</v>
      </c>
      <c r="Z30">
        <v>1.46</v>
      </c>
      <c r="AA30">
        <v>1.82</v>
      </c>
      <c r="AD30" t="s">
        <v>590</v>
      </c>
    </row>
    <row r="31" spans="1:31" ht="16" x14ac:dyDescent="0.2">
      <c r="A31" t="s">
        <v>374</v>
      </c>
      <c r="B31" t="s">
        <v>10</v>
      </c>
      <c r="C31" s="3" t="s">
        <v>39</v>
      </c>
      <c r="D31" t="s">
        <v>370</v>
      </c>
      <c r="E31" t="s">
        <v>321</v>
      </c>
      <c r="F31">
        <v>0.91333333329999999</v>
      </c>
      <c r="G31">
        <f>(0.83+0.74+0.84)/3</f>
        <v>0.80333333333333323</v>
      </c>
      <c r="H31">
        <v>244</v>
      </c>
      <c r="I31" t="s">
        <v>326</v>
      </c>
      <c r="J31" t="s">
        <v>589</v>
      </c>
      <c r="K31" t="s">
        <v>359</v>
      </c>
      <c r="L31" t="s">
        <v>352</v>
      </c>
      <c r="N31" t="s">
        <v>277</v>
      </c>
      <c r="O31" t="s">
        <v>270</v>
      </c>
      <c r="P31" t="s">
        <v>271</v>
      </c>
      <c r="Q31">
        <v>6.43</v>
      </c>
      <c r="R31">
        <v>5.0999999999999996</v>
      </c>
      <c r="S31" t="s">
        <v>372</v>
      </c>
      <c r="T31">
        <v>0</v>
      </c>
      <c r="U31">
        <v>0.42</v>
      </c>
      <c r="V31">
        <v>7.0000000000000007E-2</v>
      </c>
      <c r="W31">
        <v>1.49</v>
      </c>
      <c r="Z31">
        <v>1.8</v>
      </c>
      <c r="AA31">
        <v>1.88</v>
      </c>
      <c r="AD31" t="s">
        <v>295</v>
      </c>
    </row>
    <row r="32" spans="1:31" ht="16" x14ac:dyDescent="0.2">
      <c r="A32" t="s">
        <v>375</v>
      </c>
      <c r="B32" t="s">
        <v>10</v>
      </c>
      <c r="C32" s="3" t="s">
        <v>42</v>
      </c>
      <c r="D32" t="s">
        <v>376</v>
      </c>
      <c r="E32" t="s">
        <v>321</v>
      </c>
      <c r="F32">
        <f>(0.86+0.88+0.9)/3</f>
        <v>0.88</v>
      </c>
      <c r="G32">
        <f>(0.9+0.91+0.97)/3</f>
        <v>0.92666666666666675</v>
      </c>
      <c r="H32">
        <v>226.7</v>
      </c>
      <c r="I32" t="s">
        <v>326</v>
      </c>
      <c r="J32" t="s">
        <v>589</v>
      </c>
      <c r="K32" t="s">
        <v>276</v>
      </c>
      <c r="L32" t="s">
        <v>352</v>
      </c>
      <c r="N32" t="s">
        <v>277</v>
      </c>
      <c r="O32" t="s">
        <v>324</v>
      </c>
      <c r="P32" t="s">
        <v>271</v>
      </c>
      <c r="Q32">
        <v>15.95</v>
      </c>
      <c r="R32">
        <v>12.55</v>
      </c>
      <c r="S32" t="s">
        <v>372</v>
      </c>
      <c r="T32">
        <v>0</v>
      </c>
      <c r="U32">
        <v>0.41</v>
      </c>
      <c r="V32">
        <v>0.05</v>
      </c>
      <c r="W32">
        <v>1.74</v>
      </c>
      <c r="Z32">
        <v>1.94</v>
      </c>
      <c r="AA32">
        <v>1.87</v>
      </c>
      <c r="AD32" t="s">
        <v>590</v>
      </c>
    </row>
    <row r="33" spans="1:31" ht="16" x14ac:dyDescent="0.2">
      <c r="A33" t="s">
        <v>377</v>
      </c>
      <c r="B33" t="s">
        <v>10</v>
      </c>
      <c r="C33" s="3" t="s">
        <v>42</v>
      </c>
      <c r="D33" t="s">
        <v>376</v>
      </c>
      <c r="E33" t="s">
        <v>321</v>
      </c>
      <c r="F33">
        <f>(0.82+0.81+0.8)/3</f>
        <v>0.80999999999999994</v>
      </c>
      <c r="G33">
        <f>(0.81+0.84+0.82)/3</f>
        <v>0.82333333333333325</v>
      </c>
      <c r="H33">
        <v>213.7</v>
      </c>
      <c r="I33" t="s">
        <v>326</v>
      </c>
      <c r="J33" t="s">
        <v>589</v>
      </c>
      <c r="K33" t="s">
        <v>276</v>
      </c>
      <c r="L33" t="s">
        <v>268</v>
      </c>
      <c r="N33" t="s">
        <v>360</v>
      </c>
      <c r="O33" t="s">
        <v>324</v>
      </c>
      <c r="P33" t="s">
        <v>271</v>
      </c>
      <c r="Q33">
        <v>10.199999999999999</v>
      </c>
      <c r="R33">
        <v>8.34</v>
      </c>
      <c r="S33" t="s">
        <v>372</v>
      </c>
      <c r="T33">
        <v>0</v>
      </c>
      <c r="U33">
        <v>0.41</v>
      </c>
      <c r="V33">
        <v>0.05</v>
      </c>
      <c r="W33">
        <v>1.37</v>
      </c>
      <c r="Z33">
        <v>1.83</v>
      </c>
      <c r="AA33">
        <v>2.44</v>
      </c>
      <c r="AD33" t="s">
        <v>590</v>
      </c>
    </row>
    <row r="34" spans="1:31" ht="16" x14ac:dyDescent="0.2">
      <c r="A34" t="s">
        <v>378</v>
      </c>
      <c r="B34" t="s">
        <v>10</v>
      </c>
      <c r="C34" s="3" t="s">
        <v>42</v>
      </c>
      <c r="D34" t="s">
        <v>376</v>
      </c>
      <c r="E34" t="s">
        <v>321</v>
      </c>
      <c r="F34">
        <f>(1.01+0.98+0.93)/3</f>
        <v>0.97333333333333327</v>
      </c>
      <c r="G34">
        <f>(0.9+0.96+0.92)/3</f>
        <v>0.92666666666666664</v>
      </c>
      <c r="H34">
        <v>247</v>
      </c>
      <c r="I34" t="s">
        <v>326</v>
      </c>
      <c r="J34" t="s">
        <v>589</v>
      </c>
      <c r="K34" t="s">
        <v>359</v>
      </c>
      <c r="L34" t="s">
        <v>340</v>
      </c>
      <c r="N34" t="s">
        <v>277</v>
      </c>
      <c r="O34" t="s">
        <v>324</v>
      </c>
      <c r="P34" t="s">
        <v>271</v>
      </c>
      <c r="Q34">
        <v>12.21</v>
      </c>
      <c r="R34">
        <v>8.84</v>
      </c>
      <c r="S34" t="s">
        <v>372</v>
      </c>
      <c r="T34">
        <v>0</v>
      </c>
      <c r="U34">
        <v>0.39</v>
      </c>
      <c r="V34">
        <v>0.06</v>
      </c>
      <c r="W34">
        <v>1.78</v>
      </c>
      <c r="Z34">
        <v>1.67</v>
      </c>
      <c r="AA34">
        <v>3.85</v>
      </c>
      <c r="AD34" t="s">
        <v>590</v>
      </c>
    </row>
    <row r="35" spans="1:31" ht="16" x14ac:dyDescent="0.2">
      <c r="A35" t="s">
        <v>379</v>
      </c>
      <c r="B35" t="s">
        <v>10</v>
      </c>
      <c r="C35" s="3" t="s">
        <v>45</v>
      </c>
      <c r="D35" t="s">
        <v>44</v>
      </c>
      <c r="E35" t="s">
        <v>321</v>
      </c>
      <c r="F35">
        <f>(0.8+0.73+0.79)/3</f>
        <v>0.77333333333333343</v>
      </c>
      <c r="G35">
        <f>(0.7+0.7+0.65)/3</f>
        <v>0.68333333333333324</v>
      </c>
      <c r="H35">
        <v>210</v>
      </c>
      <c r="I35" t="s">
        <v>363</v>
      </c>
      <c r="J35" t="s">
        <v>589</v>
      </c>
      <c r="K35" t="s">
        <v>359</v>
      </c>
      <c r="L35" t="s">
        <v>340</v>
      </c>
      <c r="N35" t="s">
        <v>360</v>
      </c>
      <c r="O35" t="s">
        <v>270</v>
      </c>
      <c r="P35" t="s">
        <v>271</v>
      </c>
      <c r="Q35">
        <v>9.65</v>
      </c>
      <c r="R35">
        <v>7.72</v>
      </c>
      <c r="S35" t="s">
        <v>372</v>
      </c>
      <c r="T35">
        <v>0</v>
      </c>
      <c r="U35">
        <v>0.48</v>
      </c>
      <c r="V35">
        <v>0.05</v>
      </c>
      <c r="W35">
        <v>1.42</v>
      </c>
      <c r="Z35">
        <v>1.28</v>
      </c>
      <c r="AA35">
        <v>2.66</v>
      </c>
      <c r="AD35" t="s">
        <v>295</v>
      </c>
    </row>
    <row r="36" spans="1:31" ht="16" x14ac:dyDescent="0.2">
      <c r="A36" t="s">
        <v>380</v>
      </c>
      <c r="B36" t="s">
        <v>10</v>
      </c>
      <c r="C36" s="3" t="s">
        <v>45</v>
      </c>
      <c r="D36" t="s">
        <v>44</v>
      </c>
      <c r="E36" t="s">
        <v>321</v>
      </c>
      <c r="F36">
        <f>(0.83+0.82+0.78)/3</f>
        <v>0.80999999999999994</v>
      </c>
      <c r="G36">
        <f>(0.73+0.71+0.7)/3</f>
        <v>0.71333333333333326</v>
      </c>
      <c r="H36">
        <v>200.7</v>
      </c>
      <c r="I36" t="s">
        <v>363</v>
      </c>
      <c r="J36" t="s">
        <v>589</v>
      </c>
      <c r="K36" t="s">
        <v>276</v>
      </c>
      <c r="L36" t="s">
        <v>340</v>
      </c>
      <c r="N36" t="s">
        <v>277</v>
      </c>
      <c r="O36" t="s">
        <v>270</v>
      </c>
      <c r="P36" t="s">
        <v>271</v>
      </c>
      <c r="Q36">
        <v>9.19</v>
      </c>
      <c r="R36">
        <v>5.78</v>
      </c>
      <c r="S36" t="s">
        <v>372</v>
      </c>
      <c r="T36">
        <v>0</v>
      </c>
      <c r="U36">
        <v>0.4</v>
      </c>
      <c r="V36">
        <v>0.04</v>
      </c>
      <c r="W36">
        <v>1.24</v>
      </c>
      <c r="Z36">
        <v>1.53</v>
      </c>
      <c r="AA36">
        <v>1.9</v>
      </c>
      <c r="AD36" t="s">
        <v>295</v>
      </c>
    </row>
    <row r="37" spans="1:31" ht="16" x14ac:dyDescent="0.2">
      <c r="A37" t="s">
        <v>381</v>
      </c>
      <c r="B37" t="s">
        <v>10</v>
      </c>
      <c r="C37" s="3" t="s">
        <v>45</v>
      </c>
      <c r="D37" t="s">
        <v>44</v>
      </c>
      <c r="E37" t="s">
        <v>321</v>
      </c>
      <c r="F37">
        <f>(0.7+0.69+0.77)/3</f>
        <v>0.72000000000000008</v>
      </c>
      <c r="G37">
        <f>(0.69+0.71+0.74)/3</f>
        <v>0.71333333333333326</v>
      </c>
      <c r="H37">
        <v>210</v>
      </c>
      <c r="I37" t="s">
        <v>363</v>
      </c>
      <c r="J37" t="s">
        <v>589</v>
      </c>
      <c r="K37" t="s">
        <v>359</v>
      </c>
      <c r="L37" t="s">
        <v>340</v>
      </c>
      <c r="N37" t="s">
        <v>277</v>
      </c>
      <c r="O37" t="s">
        <v>324</v>
      </c>
      <c r="P37" t="s">
        <v>271</v>
      </c>
      <c r="Q37">
        <v>9.9499999999999993</v>
      </c>
      <c r="R37">
        <v>6.95</v>
      </c>
      <c r="S37" t="s">
        <v>372</v>
      </c>
      <c r="T37">
        <v>0</v>
      </c>
      <c r="U37">
        <v>0.4</v>
      </c>
      <c r="V37">
        <v>0.04</v>
      </c>
      <c r="W37">
        <v>1.43</v>
      </c>
      <c r="Z37">
        <v>1.59</v>
      </c>
      <c r="AA37">
        <v>3.11</v>
      </c>
      <c r="AD37" t="s">
        <v>590</v>
      </c>
    </row>
    <row r="38" spans="1:31" ht="16" x14ac:dyDescent="0.2">
      <c r="A38" t="s">
        <v>382</v>
      </c>
      <c r="B38" t="s">
        <v>28</v>
      </c>
      <c r="C38" s="3" t="s">
        <v>49</v>
      </c>
      <c r="D38" t="s">
        <v>383</v>
      </c>
      <c r="E38" t="s">
        <v>384</v>
      </c>
      <c r="F38">
        <f>(3.07+3.31+3.4)/3</f>
        <v>3.26</v>
      </c>
      <c r="G38">
        <f>(1.22+1.28+1.37)/3</f>
        <v>1.29</v>
      </c>
      <c r="H38">
        <v>84</v>
      </c>
      <c r="I38" t="s">
        <v>677</v>
      </c>
      <c r="J38" t="s">
        <v>606</v>
      </c>
      <c r="K38" t="s">
        <v>267</v>
      </c>
      <c r="L38" t="s">
        <v>340</v>
      </c>
      <c r="N38" t="s">
        <v>269</v>
      </c>
      <c r="O38" t="s">
        <v>270</v>
      </c>
      <c r="P38" t="s">
        <v>385</v>
      </c>
      <c r="Q38">
        <v>12.31</v>
      </c>
      <c r="R38">
        <v>11.31</v>
      </c>
      <c r="S38" t="s">
        <v>372</v>
      </c>
      <c r="T38">
        <v>3</v>
      </c>
      <c r="U38">
        <v>0.75</v>
      </c>
      <c r="V38">
        <v>0.08</v>
      </c>
      <c r="W38">
        <v>2.19</v>
      </c>
      <c r="Z38">
        <v>1.68</v>
      </c>
      <c r="AA38">
        <v>2.79</v>
      </c>
      <c r="AB38">
        <v>0.82</v>
      </c>
      <c r="AC38">
        <v>1.81</v>
      </c>
      <c r="AD38" t="s">
        <v>295</v>
      </c>
    </row>
    <row r="39" spans="1:31" ht="16" x14ac:dyDescent="0.2">
      <c r="A39" t="s">
        <v>386</v>
      </c>
      <c r="B39" t="s">
        <v>28</v>
      </c>
      <c r="C39" s="3" t="s">
        <v>49</v>
      </c>
      <c r="D39" t="s">
        <v>383</v>
      </c>
      <c r="E39" t="s">
        <v>384</v>
      </c>
      <c r="F39">
        <v>3.52</v>
      </c>
      <c r="G39">
        <f>(1.39+1.41+1.41)/3</f>
        <v>1.4033333333333333</v>
      </c>
      <c r="H39">
        <v>98.3</v>
      </c>
      <c r="I39" t="s">
        <v>677</v>
      </c>
      <c r="J39" t="s">
        <v>606</v>
      </c>
      <c r="K39" t="s">
        <v>267</v>
      </c>
      <c r="L39" t="s">
        <v>340</v>
      </c>
      <c r="N39" t="s">
        <v>269</v>
      </c>
      <c r="O39" t="s">
        <v>270</v>
      </c>
      <c r="P39" t="s">
        <v>385</v>
      </c>
      <c r="Q39">
        <v>12.08</v>
      </c>
      <c r="R39">
        <v>10.32</v>
      </c>
      <c r="S39" t="s">
        <v>372</v>
      </c>
      <c r="T39">
        <v>3</v>
      </c>
      <c r="U39">
        <v>0.82</v>
      </c>
      <c r="V39">
        <v>0.09</v>
      </c>
      <c r="W39">
        <v>2.0299999999999998</v>
      </c>
      <c r="Z39">
        <v>2.5099999999999998</v>
      </c>
      <c r="AA39">
        <v>3.65</v>
      </c>
      <c r="AD39" t="s">
        <v>295</v>
      </c>
    </row>
    <row r="40" spans="1:31" ht="16" x14ac:dyDescent="0.2">
      <c r="A40" t="s">
        <v>387</v>
      </c>
      <c r="B40" t="s">
        <v>28</v>
      </c>
      <c r="C40" s="3" t="s">
        <v>49</v>
      </c>
      <c r="D40" t="s">
        <v>383</v>
      </c>
      <c r="E40" t="s">
        <v>384</v>
      </c>
      <c r="F40">
        <v>4.3150000000000004</v>
      </c>
      <c r="G40">
        <f>(1.32+1.37+1.33)/3</f>
        <v>1.34</v>
      </c>
      <c r="H40">
        <v>78.3</v>
      </c>
      <c r="I40" t="s">
        <v>677</v>
      </c>
      <c r="J40" t="s">
        <v>606</v>
      </c>
      <c r="K40" t="s">
        <v>267</v>
      </c>
      <c r="L40" t="s">
        <v>340</v>
      </c>
      <c r="N40" t="s">
        <v>269</v>
      </c>
      <c r="O40" t="s">
        <v>270</v>
      </c>
      <c r="P40" t="s">
        <v>385</v>
      </c>
      <c r="Q40">
        <v>16.66</v>
      </c>
      <c r="R40">
        <v>14.49</v>
      </c>
      <c r="S40" t="s">
        <v>372</v>
      </c>
      <c r="T40">
        <v>3</v>
      </c>
      <c r="U40">
        <v>0.81</v>
      </c>
      <c r="V40">
        <v>0.08</v>
      </c>
      <c r="W40">
        <v>2.52</v>
      </c>
      <c r="Z40">
        <v>2.85</v>
      </c>
      <c r="AA40">
        <v>3.08</v>
      </c>
      <c r="AD40" t="s">
        <v>295</v>
      </c>
    </row>
    <row r="41" spans="1:31" ht="16" x14ac:dyDescent="0.2">
      <c r="A41" t="s">
        <v>388</v>
      </c>
      <c r="B41" t="s">
        <v>18</v>
      </c>
      <c r="C41" s="3" t="s">
        <v>52</v>
      </c>
      <c r="D41" t="s">
        <v>51</v>
      </c>
      <c r="E41" t="s">
        <v>384</v>
      </c>
      <c r="F41">
        <f>(1.06+1.02+0.93)/3</f>
        <v>1.0033333333333334</v>
      </c>
      <c r="G41">
        <f>(0.83+0.83+0.81)/3</f>
        <v>0.82333333333333325</v>
      </c>
      <c r="H41">
        <v>135.30000000000001</v>
      </c>
      <c r="I41" t="s">
        <v>786</v>
      </c>
      <c r="J41" t="s">
        <v>348</v>
      </c>
      <c r="K41" t="s">
        <v>276</v>
      </c>
      <c r="L41" t="s">
        <v>371</v>
      </c>
      <c r="N41" t="s">
        <v>269</v>
      </c>
      <c r="O41" t="s">
        <v>270</v>
      </c>
      <c r="P41" t="s">
        <v>385</v>
      </c>
      <c r="Q41">
        <v>12.37</v>
      </c>
      <c r="R41">
        <v>9.6</v>
      </c>
      <c r="S41" t="s">
        <v>372</v>
      </c>
      <c r="T41">
        <v>0</v>
      </c>
      <c r="U41">
        <v>0.47</v>
      </c>
      <c r="V41">
        <v>7.0000000000000007E-2</v>
      </c>
      <c r="W41">
        <v>1.63</v>
      </c>
      <c r="Z41">
        <v>1.93</v>
      </c>
      <c r="AA41">
        <v>2.6</v>
      </c>
      <c r="AD41" t="s">
        <v>295</v>
      </c>
    </row>
    <row r="42" spans="1:31" ht="16" x14ac:dyDescent="0.2">
      <c r="A42" t="s">
        <v>389</v>
      </c>
      <c r="B42" t="s">
        <v>18</v>
      </c>
      <c r="C42" s="3" t="s">
        <v>52</v>
      </c>
      <c r="D42" t="s">
        <v>51</v>
      </c>
      <c r="E42" t="s">
        <v>384</v>
      </c>
      <c r="F42">
        <f>(0.74+0.75+0.78)/3</f>
        <v>0.75666666666666671</v>
      </c>
      <c r="G42">
        <f>(0.73+0.73+0.68)/3</f>
        <v>0.71333333333333337</v>
      </c>
      <c r="H42">
        <v>176.6</v>
      </c>
      <c r="I42" t="s">
        <v>295</v>
      </c>
      <c r="J42" t="s">
        <v>348</v>
      </c>
      <c r="K42" t="s">
        <v>276</v>
      </c>
      <c r="L42" t="s">
        <v>371</v>
      </c>
      <c r="N42" t="s">
        <v>269</v>
      </c>
      <c r="O42" t="s">
        <v>270</v>
      </c>
      <c r="P42" t="s">
        <v>385</v>
      </c>
      <c r="Q42">
        <v>10.63</v>
      </c>
      <c r="R42">
        <v>7.96</v>
      </c>
      <c r="S42" t="s">
        <v>372</v>
      </c>
      <c r="T42">
        <v>0</v>
      </c>
      <c r="U42">
        <v>0.42</v>
      </c>
      <c r="V42">
        <v>0.04</v>
      </c>
      <c r="W42">
        <v>1.41</v>
      </c>
      <c r="Z42">
        <v>1.76</v>
      </c>
      <c r="AA42">
        <v>3.91</v>
      </c>
      <c r="AD42" t="s">
        <v>590</v>
      </c>
    </row>
    <row r="43" spans="1:31" ht="16" x14ac:dyDescent="0.2">
      <c r="A43" t="s">
        <v>390</v>
      </c>
      <c r="B43" t="s">
        <v>18</v>
      </c>
      <c r="C43" s="3" t="s">
        <v>52</v>
      </c>
      <c r="D43" t="s">
        <v>51</v>
      </c>
      <c r="E43" t="s">
        <v>384</v>
      </c>
      <c r="F43">
        <f>(1+0.91+0.92)/3</f>
        <v>0.94333333333333336</v>
      </c>
      <c r="G43">
        <f>(0.79+0.81+0.83)/3</f>
        <v>0.81</v>
      </c>
      <c r="H43">
        <v>142.69999999999999</v>
      </c>
      <c r="I43" t="s">
        <v>786</v>
      </c>
      <c r="J43" t="s">
        <v>348</v>
      </c>
      <c r="K43" t="s">
        <v>276</v>
      </c>
      <c r="L43" t="s">
        <v>371</v>
      </c>
      <c r="N43" t="s">
        <v>360</v>
      </c>
      <c r="O43" t="s">
        <v>270</v>
      </c>
      <c r="P43" t="s">
        <v>385</v>
      </c>
      <c r="Q43">
        <v>11.87</v>
      </c>
      <c r="R43">
        <v>9.39</v>
      </c>
      <c r="S43" t="s">
        <v>372</v>
      </c>
      <c r="T43">
        <v>0</v>
      </c>
      <c r="U43">
        <v>0.41</v>
      </c>
      <c r="V43">
        <v>0.05</v>
      </c>
      <c r="W43">
        <v>1.43</v>
      </c>
      <c r="Z43">
        <v>1.58</v>
      </c>
      <c r="AA43">
        <v>4.01</v>
      </c>
      <c r="AD43" t="s">
        <v>590</v>
      </c>
    </row>
    <row r="44" spans="1:31" ht="16" x14ac:dyDescent="0.2">
      <c r="A44" t="s">
        <v>391</v>
      </c>
      <c r="B44" t="s">
        <v>18</v>
      </c>
      <c r="C44" s="3" t="s">
        <v>55</v>
      </c>
      <c r="D44" t="s">
        <v>392</v>
      </c>
      <c r="E44" t="s">
        <v>384</v>
      </c>
      <c r="F44">
        <f>(0.78+0.8+0.76)/3</f>
        <v>0.77999999999999992</v>
      </c>
      <c r="G44">
        <f>(0.82+0.81+0.88)/3</f>
        <v>0.83666666666666656</v>
      </c>
      <c r="H44">
        <v>133.69999999999999</v>
      </c>
      <c r="I44" t="s">
        <v>786</v>
      </c>
      <c r="J44" t="s">
        <v>348</v>
      </c>
      <c r="K44" t="s">
        <v>276</v>
      </c>
      <c r="L44" t="s">
        <v>340</v>
      </c>
      <c r="N44" t="s">
        <v>269</v>
      </c>
      <c r="O44" t="s">
        <v>270</v>
      </c>
      <c r="P44" t="s">
        <v>271</v>
      </c>
      <c r="Q44">
        <v>9.35</v>
      </c>
      <c r="R44">
        <v>8.56</v>
      </c>
      <c r="S44" t="s">
        <v>372</v>
      </c>
      <c r="T44">
        <v>2</v>
      </c>
      <c r="U44">
        <v>0.31</v>
      </c>
      <c r="V44">
        <v>0.06</v>
      </c>
      <c r="W44">
        <v>1.04</v>
      </c>
      <c r="Z44">
        <v>1.47</v>
      </c>
      <c r="AA44">
        <v>2.54</v>
      </c>
      <c r="AD44" t="s">
        <v>590</v>
      </c>
    </row>
    <row r="45" spans="1:31" ht="16" x14ac:dyDescent="0.2">
      <c r="A45" t="s">
        <v>393</v>
      </c>
      <c r="B45" t="s">
        <v>18</v>
      </c>
      <c r="C45" s="3" t="s">
        <v>55</v>
      </c>
      <c r="D45" t="s">
        <v>392</v>
      </c>
      <c r="E45" t="s">
        <v>384</v>
      </c>
      <c r="F45">
        <f>(0.6+0.62+0.64)/3</f>
        <v>0.62</v>
      </c>
      <c r="G45">
        <f>(0.72+0.77+0.78)/3</f>
        <v>0.75666666666666671</v>
      </c>
      <c r="H45">
        <v>206.7</v>
      </c>
      <c r="I45" t="s">
        <v>363</v>
      </c>
      <c r="J45" t="s">
        <v>348</v>
      </c>
      <c r="K45" t="s">
        <v>276</v>
      </c>
      <c r="L45" t="s">
        <v>340</v>
      </c>
      <c r="N45" t="s">
        <v>269</v>
      </c>
      <c r="O45" t="s">
        <v>270</v>
      </c>
      <c r="P45" t="s">
        <v>271</v>
      </c>
      <c r="Q45">
        <v>10.19</v>
      </c>
      <c r="R45">
        <v>8.01</v>
      </c>
      <c r="S45" t="s">
        <v>372</v>
      </c>
      <c r="T45">
        <v>3</v>
      </c>
      <c r="U45">
        <v>0.4</v>
      </c>
      <c r="V45">
        <v>0.06</v>
      </c>
      <c r="W45">
        <v>1.05</v>
      </c>
      <c r="Z45">
        <v>1.36</v>
      </c>
      <c r="AA45">
        <v>2.86</v>
      </c>
      <c r="AD45" t="s">
        <v>590</v>
      </c>
      <c r="AE45" t="s">
        <v>782</v>
      </c>
    </row>
    <row r="46" spans="1:31" ht="16" x14ac:dyDescent="0.2">
      <c r="A46" t="s">
        <v>394</v>
      </c>
      <c r="B46" t="s">
        <v>18</v>
      </c>
      <c r="C46" s="3" t="s">
        <v>55</v>
      </c>
      <c r="D46" t="s">
        <v>392</v>
      </c>
      <c r="E46" t="s">
        <v>384</v>
      </c>
      <c r="F46">
        <v>0.83</v>
      </c>
      <c r="G46">
        <f>(0.8+0.76+0.84)/3</f>
        <v>0.79999999999999993</v>
      </c>
      <c r="H46">
        <v>182.6</v>
      </c>
      <c r="I46" t="s">
        <v>295</v>
      </c>
      <c r="J46" t="s">
        <v>348</v>
      </c>
      <c r="K46" t="s">
        <v>276</v>
      </c>
      <c r="L46" t="s">
        <v>340</v>
      </c>
      <c r="N46" t="s">
        <v>360</v>
      </c>
      <c r="O46" t="s">
        <v>270</v>
      </c>
      <c r="P46" t="s">
        <v>271</v>
      </c>
      <c r="Q46">
        <v>12.57</v>
      </c>
      <c r="R46">
        <v>9.23</v>
      </c>
      <c r="S46" t="s">
        <v>372</v>
      </c>
      <c r="T46">
        <v>3</v>
      </c>
      <c r="U46">
        <v>0.39</v>
      </c>
      <c r="V46">
        <v>0.05</v>
      </c>
      <c r="W46">
        <v>1.46</v>
      </c>
      <c r="Z46">
        <v>1.75</v>
      </c>
      <c r="AA46">
        <v>2.2999999999999998</v>
      </c>
      <c r="AD46" t="s">
        <v>590</v>
      </c>
    </row>
    <row r="47" spans="1:31" ht="16" x14ac:dyDescent="0.2">
      <c r="A47" t="s">
        <v>395</v>
      </c>
      <c r="B47" t="s">
        <v>18</v>
      </c>
      <c r="C47" s="3" t="s">
        <v>58</v>
      </c>
      <c r="D47" t="s">
        <v>396</v>
      </c>
      <c r="E47" t="s">
        <v>384</v>
      </c>
      <c r="F47">
        <f>(0.8+0.91+0.87)/3</f>
        <v>0.86</v>
      </c>
      <c r="G47">
        <f>(0.79+0.78+0.83)/3</f>
        <v>0.79999999999999993</v>
      </c>
      <c r="H47">
        <v>184.3</v>
      </c>
      <c r="I47" t="s">
        <v>295</v>
      </c>
      <c r="J47" t="s">
        <v>348</v>
      </c>
      <c r="K47" t="s">
        <v>276</v>
      </c>
      <c r="L47" t="s">
        <v>340</v>
      </c>
      <c r="N47" t="s">
        <v>269</v>
      </c>
      <c r="O47" t="s">
        <v>270</v>
      </c>
      <c r="P47" t="s">
        <v>271</v>
      </c>
      <c r="Q47">
        <v>9.07</v>
      </c>
      <c r="R47">
        <v>7.7</v>
      </c>
      <c r="S47" t="s">
        <v>372</v>
      </c>
      <c r="T47">
        <v>0</v>
      </c>
      <c r="U47">
        <v>0.36</v>
      </c>
      <c r="V47">
        <v>0.05</v>
      </c>
      <c r="W47">
        <v>1.1100000000000001</v>
      </c>
      <c r="Z47">
        <v>1.52</v>
      </c>
      <c r="AA47">
        <v>2.97</v>
      </c>
      <c r="AD47" t="s">
        <v>590</v>
      </c>
    </row>
    <row r="48" spans="1:31" ht="16" x14ac:dyDescent="0.2">
      <c r="A48" t="s">
        <v>397</v>
      </c>
      <c r="B48" t="s">
        <v>18</v>
      </c>
      <c r="C48" s="3" t="s">
        <v>58</v>
      </c>
      <c r="D48" t="s">
        <v>396</v>
      </c>
      <c r="E48" t="s">
        <v>384</v>
      </c>
      <c r="F48">
        <f>(1.07+1.01+1)/3</f>
        <v>1.0266666666666666</v>
      </c>
      <c r="G48">
        <f>(0.8+0.81+0.83)/3</f>
        <v>0.81333333333333335</v>
      </c>
      <c r="H48">
        <v>188.3</v>
      </c>
      <c r="I48" t="s">
        <v>295</v>
      </c>
      <c r="J48" t="s">
        <v>348</v>
      </c>
      <c r="K48" t="s">
        <v>276</v>
      </c>
      <c r="L48" t="s">
        <v>398</v>
      </c>
      <c r="N48" t="s">
        <v>269</v>
      </c>
      <c r="O48" t="s">
        <v>270</v>
      </c>
      <c r="P48" t="s">
        <v>271</v>
      </c>
      <c r="Q48">
        <v>11.49</v>
      </c>
      <c r="R48">
        <v>9.42</v>
      </c>
      <c r="S48" t="s">
        <v>372</v>
      </c>
      <c r="T48">
        <v>2</v>
      </c>
      <c r="U48">
        <v>0.51</v>
      </c>
      <c r="V48">
        <v>7.0000000000000007E-2</v>
      </c>
      <c r="W48">
        <v>1.49</v>
      </c>
      <c r="Z48">
        <v>2.02</v>
      </c>
      <c r="AA48">
        <v>2.78</v>
      </c>
      <c r="AD48" t="s">
        <v>590</v>
      </c>
    </row>
    <row r="49" spans="1:31" ht="16" x14ac:dyDescent="0.2">
      <c r="A49" t="s">
        <v>399</v>
      </c>
      <c r="B49" t="s">
        <v>18</v>
      </c>
      <c r="C49" s="3" t="s">
        <v>58</v>
      </c>
      <c r="D49" t="s">
        <v>396</v>
      </c>
      <c r="E49" t="s">
        <v>384</v>
      </c>
      <c r="F49">
        <f>(0.83+0.83+0.79)/3</f>
        <v>0.81666666666666676</v>
      </c>
      <c r="G49">
        <f>(0.75+0.73+0.71)/3</f>
        <v>0.73</v>
      </c>
      <c r="H49">
        <v>184.3</v>
      </c>
      <c r="I49" t="s">
        <v>295</v>
      </c>
      <c r="J49" t="s">
        <v>348</v>
      </c>
      <c r="K49" t="s">
        <v>276</v>
      </c>
      <c r="L49" t="s">
        <v>371</v>
      </c>
      <c r="N49" t="s">
        <v>269</v>
      </c>
      <c r="O49" t="s">
        <v>270</v>
      </c>
      <c r="P49" t="s">
        <v>385</v>
      </c>
      <c r="Q49">
        <v>11.81</v>
      </c>
      <c r="R49">
        <v>10.18</v>
      </c>
      <c r="S49" t="s">
        <v>372</v>
      </c>
      <c r="T49">
        <v>0</v>
      </c>
      <c r="U49">
        <v>0.48</v>
      </c>
      <c r="V49">
        <v>0.05</v>
      </c>
      <c r="W49">
        <v>1.52</v>
      </c>
      <c r="Z49">
        <v>1.96</v>
      </c>
      <c r="AA49">
        <v>3.88</v>
      </c>
      <c r="AD49" t="s">
        <v>590</v>
      </c>
    </row>
    <row r="50" spans="1:31" ht="16" x14ac:dyDescent="0.2">
      <c r="A50" t="s">
        <v>400</v>
      </c>
      <c r="B50" t="s">
        <v>18</v>
      </c>
      <c r="C50" s="3" t="s">
        <v>61</v>
      </c>
      <c r="D50" t="s">
        <v>401</v>
      </c>
      <c r="E50" t="s">
        <v>321</v>
      </c>
      <c r="F50">
        <f>(0.76+0.7+0.8)/3</f>
        <v>0.7533333333333333</v>
      </c>
      <c r="G50">
        <f>(0.78+0.74+0.72)/3</f>
        <v>0.7466666666666667</v>
      </c>
      <c r="H50">
        <v>190.7</v>
      </c>
      <c r="I50" t="s">
        <v>295</v>
      </c>
      <c r="J50" t="s">
        <v>348</v>
      </c>
      <c r="K50" t="s">
        <v>276</v>
      </c>
      <c r="L50" t="s">
        <v>340</v>
      </c>
      <c r="N50" t="s">
        <v>269</v>
      </c>
      <c r="O50" t="s">
        <v>270</v>
      </c>
      <c r="P50" t="s">
        <v>385</v>
      </c>
      <c r="Q50">
        <v>8.77</v>
      </c>
      <c r="R50">
        <v>7.6</v>
      </c>
      <c r="S50" t="s">
        <v>372</v>
      </c>
      <c r="T50">
        <v>3</v>
      </c>
      <c r="U50">
        <v>0.49</v>
      </c>
      <c r="V50">
        <v>0.06</v>
      </c>
      <c r="W50">
        <v>1.1000000000000001</v>
      </c>
      <c r="Z50">
        <v>1.65</v>
      </c>
      <c r="AA50">
        <v>2.66</v>
      </c>
      <c r="AD50" t="s">
        <v>295</v>
      </c>
      <c r="AE50" t="s">
        <v>782</v>
      </c>
    </row>
    <row r="51" spans="1:31" ht="16" x14ac:dyDescent="0.2">
      <c r="A51" t="s">
        <v>402</v>
      </c>
      <c r="B51" t="s">
        <v>18</v>
      </c>
      <c r="C51" s="3" t="s">
        <v>61</v>
      </c>
      <c r="D51" t="s">
        <v>401</v>
      </c>
      <c r="E51" t="s">
        <v>321</v>
      </c>
      <c r="F51">
        <f>(0.91+0.92+0.9)/3</f>
        <v>0.91</v>
      </c>
      <c r="G51">
        <f>(0.81+0.75+0.72)/3</f>
        <v>0.76000000000000012</v>
      </c>
      <c r="H51">
        <v>192.7</v>
      </c>
      <c r="I51" t="s">
        <v>295</v>
      </c>
      <c r="J51" t="s">
        <v>348</v>
      </c>
      <c r="K51" t="s">
        <v>276</v>
      </c>
      <c r="L51" t="s">
        <v>371</v>
      </c>
      <c r="N51" t="s">
        <v>269</v>
      </c>
      <c r="O51" t="s">
        <v>270</v>
      </c>
      <c r="P51" t="s">
        <v>385</v>
      </c>
      <c r="Q51">
        <v>9.7799999999999994</v>
      </c>
      <c r="R51">
        <v>8.1300000000000008</v>
      </c>
      <c r="S51" t="s">
        <v>372</v>
      </c>
      <c r="T51">
        <v>0</v>
      </c>
      <c r="U51">
        <v>0.41</v>
      </c>
      <c r="V51">
        <v>0.04</v>
      </c>
      <c r="W51">
        <v>1.19</v>
      </c>
      <c r="Z51">
        <v>1.63</v>
      </c>
      <c r="AA51">
        <v>4.07</v>
      </c>
      <c r="AD51" t="s">
        <v>590</v>
      </c>
    </row>
    <row r="52" spans="1:31" ht="16" x14ac:dyDescent="0.2">
      <c r="A52" t="s">
        <v>403</v>
      </c>
      <c r="B52" t="s">
        <v>18</v>
      </c>
      <c r="C52" s="3" t="s">
        <v>61</v>
      </c>
      <c r="D52" t="s">
        <v>401</v>
      </c>
      <c r="E52" t="s">
        <v>321</v>
      </c>
      <c r="F52">
        <f>(0.82+0.85+0.87)/3</f>
        <v>0.84666666666666668</v>
      </c>
      <c r="G52">
        <f>(0.69+0.71+0.7)/3</f>
        <v>0.69999999999999984</v>
      </c>
      <c r="H52">
        <v>148.30000000000001</v>
      </c>
      <c r="I52" t="s">
        <v>786</v>
      </c>
      <c r="J52" t="s">
        <v>348</v>
      </c>
      <c r="K52" t="s">
        <v>276</v>
      </c>
      <c r="L52" t="s">
        <v>340</v>
      </c>
      <c r="N52" t="s">
        <v>269</v>
      </c>
      <c r="O52" t="s">
        <v>270</v>
      </c>
      <c r="P52" t="s">
        <v>385</v>
      </c>
      <c r="Q52">
        <v>10.31</v>
      </c>
      <c r="R52">
        <v>8.36</v>
      </c>
      <c r="S52" t="s">
        <v>372</v>
      </c>
      <c r="T52">
        <v>1</v>
      </c>
      <c r="U52">
        <v>0.49</v>
      </c>
      <c r="V52">
        <v>7.0000000000000007E-2</v>
      </c>
      <c r="W52">
        <v>1.1599999999999999</v>
      </c>
      <c r="Z52">
        <v>1.42</v>
      </c>
      <c r="AA52">
        <v>2.94</v>
      </c>
      <c r="AD52" t="s">
        <v>590</v>
      </c>
    </row>
    <row r="53" spans="1:31" ht="16" x14ac:dyDescent="0.2">
      <c r="A53" t="s">
        <v>404</v>
      </c>
      <c r="B53" t="s">
        <v>18</v>
      </c>
      <c r="C53" s="3" t="s">
        <v>64</v>
      </c>
      <c r="D53" t="s">
        <v>405</v>
      </c>
      <c r="E53" t="s">
        <v>384</v>
      </c>
      <c r="F53">
        <f>(0.58+0.56+0.54)/3</f>
        <v>0.56000000000000005</v>
      </c>
      <c r="G53">
        <f>(0.61+0.61+0.59)/3</f>
        <v>0.60333333333333339</v>
      </c>
      <c r="H53">
        <v>191.3</v>
      </c>
      <c r="I53" t="s">
        <v>295</v>
      </c>
      <c r="J53" t="s">
        <v>589</v>
      </c>
      <c r="K53" t="s">
        <v>276</v>
      </c>
      <c r="L53" t="s">
        <v>340</v>
      </c>
      <c r="N53" t="s">
        <v>269</v>
      </c>
      <c r="O53" t="s">
        <v>270</v>
      </c>
      <c r="P53" t="s">
        <v>271</v>
      </c>
      <c r="Q53">
        <v>9.85</v>
      </c>
      <c r="R53">
        <v>8.02</v>
      </c>
      <c r="S53" t="s">
        <v>372</v>
      </c>
      <c r="T53">
        <v>2</v>
      </c>
      <c r="U53">
        <v>0.37</v>
      </c>
      <c r="V53">
        <v>0.03</v>
      </c>
      <c r="W53">
        <v>1.21</v>
      </c>
      <c r="Z53">
        <v>1.62</v>
      </c>
      <c r="AA53">
        <v>2.13</v>
      </c>
      <c r="AD53" t="s">
        <v>590</v>
      </c>
    </row>
    <row r="54" spans="1:31" ht="16" x14ac:dyDescent="0.2">
      <c r="A54" t="s">
        <v>406</v>
      </c>
      <c r="B54" t="s">
        <v>18</v>
      </c>
      <c r="C54" s="3" t="s">
        <v>64</v>
      </c>
      <c r="D54" t="s">
        <v>405</v>
      </c>
      <c r="E54" t="s">
        <v>321</v>
      </c>
      <c r="F54">
        <f>(1.04+0.85+0.97)/3</f>
        <v>0.95333333333333348</v>
      </c>
      <c r="G54">
        <f>(0.72+0.79+0.8)/3</f>
        <v>0.77</v>
      </c>
      <c r="H54">
        <v>190</v>
      </c>
      <c r="I54" t="s">
        <v>295</v>
      </c>
      <c r="J54" t="s">
        <v>348</v>
      </c>
      <c r="K54" t="s">
        <v>276</v>
      </c>
      <c r="L54" t="s">
        <v>340</v>
      </c>
      <c r="N54" t="s">
        <v>269</v>
      </c>
      <c r="O54" t="s">
        <v>270</v>
      </c>
      <c r="P54" t="s">
        <v>385</v>
      </c>
      <c r="Q54">
        <v>10.61</v>
      </c>
      <c r="R54">
        <v>9.8699999999999992</v>
      </c>
      <c r="S54" t="s">
        <v>372</v>
      </c>
      <c r="T54">
        <v>3</v>
      </c>
      <c r="U54">
        <v>0.41</v>
      </c>
      <c r="V54">
        <v>0.05</v>
      </c>
      <c r="W54">
        <v>1.26</v>
      </c>
      <c r="Z54">
        <v>1.64</v>
      </c>
      <c r="AA54">
        <v>1.62</v>
      </c>
      <c r="AD54" t="s">
        <v>590</v>
      </c>
    </row>
    <row r="55" spans="1:31" ht="16" x14ac:dyDescent="0.2">
      <c r="A55" t="s">
        <v>407</v>
      </c>
      <c r="B55" t="s">
        <v>18</v>
      </c>
      <c r="C55" s="3" t="s">
        <v>64</v>
      </c>
      <c r="D55" t="s">
        <v>405</v>
      </c>
      <c r="E55" t="s">
        <v>384</v>
      </c>
      <c r="F55">
        <f>(0.96+0.9+0.98)/3</f>
        <v>0.94666666666666666</v>
      </c>
      <c r="G55">
        <f>(0.81+0.76+0.78)/3</f>
        <v>0.78333333333333333</v>
      </c>
      <c r="H55">
        <v>171</v>
      </c>
      <c r="I55" t="s">
        <v>786</v>
      </c>
      <c r="J55" t="s">
        <v>348</v>
      </c>
      <c r="K55" t="s">
        <v>276</v>
      </c>
      <c r="L55" t="s">
        <v>340</v>
      </c>
      <c r="N55" t="s">
        <v>269</v>
      </c>
      <c r="O55" t="s">
        <v>270</v>
      </c>
      <c r="P55" t="s">
        <v>385</v>
      </c>
      <c r="Q55">
        <v>9.65</v>
      </c>
      <c r="R55">
        <v>7.74</v>
      </c>
      <c r="S55" t="s">
        <v>372</v>
      </c>
      <c r="T55">
        <v>2</v>
      </c>
      <c r="U55">
        <v>0.42</v>
      </c>
      <c r="V55">
        <v>7.0000000000000007E-2</v>
      </c>
      <c r="W55">
        <v>1.34</v>
      </c>
      <c r="Z55">
        <v>1.84</v>
      </c>
      <c r="AA55">
        <v>2.4900000000000002</v>
      </c>
      <c r="AD55" t="s">
        <v>590</v>
      </c>
    </row>
    <row r="56" spans="1:31" ht="16" x14ac:dyDescent="0.2">
      <c r="A56" t="s">
        <v>408</v>
      </c>
      <c r="B56" t="s">
        <v>18</v>
      </c>
      <c r="C56" s="3" t="s">
        <v>67</v>
      </c>
      <c r="D56" t="s">
        <v>409</v>
      </c>
      <c r="E56" t="s">
        <v>384</v>
      </c>
      <c r="F56">
        <v>0.97499999999999998</v>
      </c>
      <c r="G56">
        <f>(0.79+0.81+0.78)/3</f>
        <v>0.79333333333333333</v>
      </c>
      <c r="H56">
        <v>182.3</v>
      </c>
      <c r="I56" t="s">
        <v>295</v>
      </c>
      <c r="J56" t="s">
        <v>348</v>
      </c>
      <c r="K56" t="s">
        <v>276</v>
      </c>
      <c r="L56" t="s">
        <v>340</v>
      </c>
      <c r="N56" t="s">
        <v>269</v>
      </c>
      <c r="O56" t="s">
        <v>270</v>
      </c>
      <c r="P56" t="s">
        <v>271</v>
      </c>
      <c r="Q56">
        <v>11.61</v>
      </c>
      <c r="R56">
        <v>9.49</v>
      </c>
      <c r="S56" t="s">
        <v>372</v>
      </c>
      <c r="T56">
        <v>2</v>
      </c>
      <c r="U56">
        <v>0.45</v>
      </c>
      <c r="V56">
        <v>0.05</v>
      </c>
      <c r="W56">
        <v>1.19</v>
      </c>
      <c r="Z56">
        <v>1.8</v>
      </c>
      <c r="AA56">
        <v>2.5099999999999998</v>
      </c>
      <c r="AD56" t="s">
        <v>590</v>
      </c>
    </row>
    <row r="57" spans="1:31" ht="16" x14ac:dyDescent="0.2">
      <c r="A57" t="s">
        <v>410</v>
      </c>
      <c r="B57" t="s">
        <v>18</v>
      </c>
      <c r="C57" s="3" t="s">
        <v>67</v>
      </c>
      <c r="D57" t="s">
        <v>409</v>
      </c>
      <c r="E57" t="s">
        <v>321</v>
      </c>
      <c r="F57">
        <f>(1.03+1.12+1.11)/3</f>
        <v>1.0866666666666669</v>
      </c>
      <c r="G57">
        <f>(0.86+0.83+0.88)/3</f>
        <v>0.85666666666666658</v>
      </c>
      <c r="H57">
        <v>176</v>
      </c>
      <c r="I57" t="s">
        <v>786</v>
      </c>
      <c r="J57" t="s">
        <v>606</v>
      </c>
      <c r="K57" t="s">
        <v>276</v>
      </c>
      <c r="L57" t="s">
        <v>340</v>
      </c>
      <c r="N57" t="s">
        <v>269</v>
      </c>
      <c r="O57" t="s">
        <v>270</v>
      </c>
      <c r="P57" t="s">
        <v>271</v>
      </c>
      <c r="Q57">
        <v>11.82</v>
      </c>
      <c r="R57">
        <v>10.26</v>
      </c>
      <c r="S57" t="s">
        <v>372</v>
      </c>
      <c r="T57">
        <v>0</v>
      </c>
      <c r="U57">
        <v>0.39</v>
      </c>
      <c r="V57">
        <v>0.04</v>
      </c>
      <c r="W57">
        <v>1.27</v>
      </c>
      <c r="Z57">
        <v>1.56</v>
      </c>
      <c r="AA57">
        <v>2.4</v>
      </c>
      <c r="AD57" t="s">
        <v>590</v>
      </c>
    </row>
    <row r="58" spans="1:31" ht="16" x14ac:dyDescent="0.2">
      <c r="A58" t="s">
        <v>411</v>
      </c>
      <c r="B58" t="s">
        <v>18</v>
      </c>
      <c r="C58" s="3" t="s">
        <v>67</v>
      </c>
      <c r="D58" t="s">
        <v>409</v>
      </c>
      <c r="E58" t="s">
        <v>384</v>
      </c>
      <c r="F58">
        <v>1.24</v>
      </c>
      <c r="G58">
        <f>(0.79+0.84+0.89)/3</f>
        <v>0.84</v>
      </c>
      <c r="H58">
        <v>202.7</v>
      </c>
      <c r="I58" t="s">
        <v>326</v>
      </c>
      <c r="J58" t="s">
        <v>606</v>
      </c>
      <c r="K58" t="s">
        <v>276</v>
      </c>
      <c r="L58" t="s">
        <v>340</v>
      </c>
      <c r="N58" t="s">
        <v>269</v>
      </c>
      <c r="O58" t="s">
        <v>270</v>
      </c>
      <c r="P58" t="s">
        <v>385</v>
      </c>
      <c r="Q58">
        <v>11.39</v>
      </c>
      <c r="R58">
        <v>9.94</v>
      </c>
      <c r="S58" t="s">
        <v>372</v>
      </c>
      <c r="T58">
        <v>1</v>
      </c>
      <c r="U58">
        <v>0.45</v>
      </c>
      <c r="V58">
        <v>0.05</v>
      </c>
      <c r="W58">
        <v>1.38</v>
      </c>
      <c r="Z58">
        <v>1.43</v>
      </c>
      <c r="AA58">
        <v>2.97</v>
      </c>
      <c r="AD58" t="s">
        <v>590</v>
      </c>
    </row>
    <row r="59" spans="1:31" ht="16" x14ac:dyDescent="0.2">
      <c r="A59" t="s">
        <v>412</v>
      </c>
      <c r="B59" t="s">
        <v>18</v>
      </c>
      <c r="C59" s="3" t="s">
        <v>70</v>
      </c>
      <c r="D59" t="s">
        <v>413</v>
      </c>
      <c r="E59" t="s">
        <v>384</v>
      </c>
      <c r="F59">
        <v>0.86</v>
      </c>
      <c r="G59">
        <f>(0.91+0.83+0.82)/3</f>
        <v>0.85333333333333339</v>
      </c>
      <c r="H59">
        <v>190</v>
      </c>
      <c r="I59" t="s">
        <v>295</v>
      </c>
      <c r="J59" t="s">
        <v>348</v>
      </c>
      <c r="K59" t="s">
        <v>359</v>
      </c>
      <c r="L59" t="s">
        <v>340</v>
      </c>
      <c r="O59" t="s">
        <v>270</v>
      </c>
      <c r="P59" t="s">
        <v>271</v>
      </c>
      <c r="Q59">
        <v>10.55</v>
      </c>
      <c r="R59">
        <v>8.39</v>
      </c>
      <c r="S59" t="s">
        <v>372</v>
      </c>
      <c r="T59">
        <v>0</v>
      </c>
      <c r="W59">
        <v>1.51</v>
      </c>
      <c r="X59" s="5"/>
      <c r="Z59">
        <v>1.77</v>
      </c>
      <c r="AA59">
        <v>3.2</v>
      </c>
      <c r="AD59" t="s">
        <v>590</v>
      </c>
      <c r="AE59" s="5" t="s">
        <v>414</v>
      </c>
    </row>
    <row r="60" spans="1:31" ht="16" x14ac:dyDescent="0.2">
      <c r="A60" t="s">
        <v>415</v>
      </c>
      <c r="B60" t="s">
        <v>18</v>
      </c>
      <c r="C60" s="3" t="s">
        <v>70</v>
      </c>
      <c r="D60" t="s">
        <v>413</v>
      </c>
      <c r="E60" t="s">
        <v>384</v>
      </c>
      <c r="F60">
        <f>(0.64+0.61+0.67)/3</f>
        <v>0.64</v>
      </c>
      <c r="G60">
        <f>(0.84+0.82+0.74)/3</f>
        <v>0.79999999999999993</v>
      </c>
      <c r="H60">
        <v>166.7</v>
      </c>
      <c r="I60" t="s">
        <v>786</v>
      </c>
      <c r="J60" t="s">
        <v>348</v>
      </c>
      <c r="K60" t="s">
        <v>276</v>
      </c>
      <c r="L60" t="s">
        <v>371</v>
      </c>
      <c r="N60" t="s">
        <v>269</v>
      </c>
      <c r="O60" t="s">
        <v>270</v>
      </c>
      <c r="P60" t="s">
        <v>385</v>
      </c>
      <c r="Q60">
        <v>10.78</v>
      </c>
      <c r="R60">
        <v>8.5299999999999994</v>
      </c>
      <c r="S60" t="s">
        <v>372</v>
      </c>
      <c r="T60">
        <v>3</v>
      </c>
      <c r="U60">
        <v>0.4</v>
      </c>
      <c r="V60">
        <v>0.06</v>
      </c>
      <c r="W60">
        <v>1.48</v>
      </c>
      <c r="Z60">
        <v>1.7</v>
      </c>
      <c r="AA60">
        <v>2.71</v>
      </c>
      <c r="AD60" t="s">
        <v>590</v>
      </c>
    </row>
    <row r="61" spans="1:31" ht="16" x14ac:dyDescent="0.2">
      <c r="A61" t="s">
        <v>416</v>
      </c>
      <c r="B61" t="s">
        <v>18</v>
      </c>
      <c r="C61" s="3" t="s">
        <v>70</v>
      </c>
      <c r="D61" t="s">
        <v>413</v>
      </c>
      <c r="E61" t="s">
        <v>384</v>
      </c>
      <c r="F61">
        <f>(0.97+0.94+0.95)/3</f>
        <v>0.95333333333333325</v>
      </c>
      <c r="G61">
        <f>(0.94+0.84+0.89)/3</f>
        <v>0.89</v>
      </c>
      <c r="H61">
        <v>173</v>
      </c>
      <c r="I61" t="s">
        <v>786</v>
      </c>
      <c r="J61" t="s">
        <v>348</v>
      </c>
      <c r="K61" t="s">
        <v>276</v>
      </c>
      <c r="L61" t="s">
        <v>352</v>
      </c>
      <c r="O61" t="s">
        <v>270</v>
      </c>
      <c r="P61" t="s">
        <v>271</v>
      </c>
      <c r="Q61">
        <v>13.17</v>
      </c>
      <c r="R61">
        <v>9.5299999999999994</v>
      </c>
      <c r="S61" t="s">
        <v>372</v>
      </c>
      <c r="T61">
        <v>0</v>
      </c>
      <c r="U61">
        <v>0.42</v>
      </c>
      <c r="V61">
        <v>0.06</v>
      </c>
      <c r="W61">
        <v>1.54</v>
      </c>
      <c r="Z61">
        <v>1.67</v>
      </c>
      <c r="AA61">
        <v>4.03</v>
      </c>
      <c r="AD61" t="s">
        <v>590</v>
      </c>
    </row>
    <row r="62" spans="1:31" ht="16" x14ac:dyDescent="0.2">
      <c r="A62" t="s">
        <v>417</v>
      </c>
      <c r="B62" t="s">
        <v>28</v>
      </c>
      <c r="C62" s="3" t="s">
        <v>73</v>
      </c>
      <c r="D62" t="s">
        <v>418</v>
      </c>
      <c r="E62" t="s">
        <v>384</v>
      </c>
      <c r="F62">
        <f>(1.82+1.97+1.84)/3</f>
        <v>1.8766666666666667</v>
      </c>
      <c r="G62">
        <f>(1.03+1.03+1.09)/3</f>
        <v>1.05</v>
      </c>
      <c r="H62">
        <v>206.7</v>
      </c>
      <c r="I62" t="s">
        <v>719</v>
      </c>
      <c r="J62" t="s">
        <v>606</v>
      </c>
      <c r="K62" t="s">
        <v>276</v>
      </c>
      <c r="L62" t="s">
        <v>340</v>
      </c>
      <c r="N62" t="s">
        <v>269</v>
      </c>
      <c r="O62" t="s">
        <v>270</v>
      </c>
      <c r="P62" t="s">
        <v>385</v>
      </c>
      <c r="Q62">
        <v>13.65</v>
      </c>
      <c r="R62">
        <v>12.25</v>
      </c>
      <c r="S62" t="s">
        <v>372</v>
      </c>
      <c r="T62">
        <v>2</v>
      </c>
      <c r="U62">
        <v>0.57999999999999996</v>
      </c>
      <c r="V62">
        <v>0.09</v>
      </c>
      <c r="W62">
        <v>1.97</v>
      </c>
      <c r="Z62">
        <v>2.2999999999999998</v>
      </c>
      <c r="AA62">
        <v>2.76</v>
      </c>
      <c r="AD62" t="s">
        <v>590</v>
      </c>
    </row>
    <row r="63" spans="1:31" ht="16" x14ac:dyDescent="0.2">
      <c r="A63" t="s">
        <v>419</v>
      </c>
      <c r="B63" t="s">
        <v>28</v>
      </c>
      <c r="C63" s="3" t="s">
        <v>73</v>
      </c>
      <c r="D63" t="s">
        <v>418</v>
      </c>
      <c r="E63" t="s">
        <v>321</v>
      </c>
      <c r="F63">
        <v>1.0825</v>
      </c>
      <c r="G63">
        <f>(0.87+0.94+0.86)/3</f>
        <v>0.89</v>
      </c>
      <c r="H63">
        <v>181.7</v>
      </c>
      <c r="I63" t="s">
        <v>295</v>
      </c>
      <c r="J63" t="s">
        <v>606</v>
      </c>
      <c r="K63" t="s">
        <v>276</v>
      </c>
      <c r="L63" t="s">
        <v>340</v>
      </c>
      <c r="N63" t="s">
        <v>269</v>
      </c>
      <c r="O63" t="s">
        <v>270</v>
      </c>
      <c r="P63" t="s">
        <v>385</v>
      </c>
      <c r="Q63">
        <v>11.91</v>
      </c>
      <c r="R63">
        <v>11.23</v>
      </c>
      <c r="S63" t="s">
        <v>372</v>
      </c>
      <c r="T63">
        <v>3</v>
      </c>
      <c r="U63">
        <v>0.59</v>
      </c>
      <c r="V63">
        <v>7.0000000000000007E-2</v>
      </c>
      <c r="W63">
        <v>1.55</v>
      </c>
      <c r="Z63">
        <v>1.84</v>
      </c>
      <c r="AA63">
        <v>2.71</v>
      </c>
      <c r="AD63" t="s">
        <v>590</v>
      </c>
    </row>
    <row r="64" spans="1:31" ht="16" x14ac:dyDescent="0.2">
      <c r="A64" t="s">
        <v>420</v>
      </c>
      <c r="B64" t="s">
        <v>28</v>
      </c>
      <c r="C64" s="3" t="s">
        <v>73</v>
      </c>
      <c r="D64" t="s">
        <v>418</v>
      </c>
      <c r="E64" t="s">
        <v>321</v>
      </c>
      <c r="F64">
        <f>(1.99+2.1+2.02)/3</f>
        <v>2.0366666666666666</v>
      </c>
      <c r="G64">
        <f>(0.83+0.81+0.8)/3</f>
        <v>0.81333333333333346</v>
      </c>
      <c r="H64">
        <v>227.7</v>
      </c>
      <c r="I64" t="s">
        <v>326</v>
      </c>
      <c r="J64" t="s">
        <v>606</v>
      </c>
      <c r="K64" t="s">
        <v>276</v>
      </c>
      <c r="L64" t="s">
        <v>340</v>
      </c>
      <c r="O64" t="s">
        <v>270</v>
      </c>
      <c r="P64" t="s">
        <v>271</v>
      </c>
      <c r="Q64">
        <v>12.56</v>
      </c>
      <c r="R64">
        <v>10.47</v>
      </c>
      <c r="S64" t="s">
        <v>372</v>
      </c>
      <c r="T64">
        <v>3</v>
      </c>
      <c r="U64">
        <v>0.52</v>
      </c>
      <c r="V64">
        <v>0.05</v>
      </c>
      <c r="W64">
        <v>1.33</v>
      </c>
      <c r="Z64">
        <v>1.7</v>
      </c>
      <c r="AA64">
        <v>5.42</v>
      </c>
      <c r="AD64" t="s">
        <v>590</v>
      </c>
    </row>
    <row r="65" spans="1:31" ht="16" x14ac:dyDescent="0.2">
      <c r="A65" t="s">
        <v>421</v>
      </c>
      <c r="B65" t="s">
        <v>18</v>
      </c>
      <c r="C65" s="3" t="s">
        <v>76</v>
      </c>
      <c r="D65" t="s">
        <v>422</v>
      </c>
      <c r="E65" t="s">
        <v>321</v>
      </c>
      <c r="F65">
        <v>0.88500000000000001</v>
      </c>
      <c r="G65">
        <f>(0.79+0.72+0.89)/3</f>
        <v>0.79999999999999993</v>
      </c>
      <c r="H65">
        <v>162.30000000000001</v>
      </c>
      <c r="I65" t="s">
        <v>786</v>
      </c>
      <c r="J65" t="s">
        <v>589</v>
      </c>
      <c r="K65" t="s">
        <v>276</v>
      </c>
      <c r="L65" t="s">
        <v>371</v>
      </c>
      <c r="N65" t="s">
        <v>269</v>
      </c>
      <c r="O65" t="s">
        <v>270</v>
      </c>
      <c r="P65" t="s">
        <v>271</v>
      </c>
      <c r="Q65">
        <v>10.48</v>
      </c>
      <c r="R65">
        <v>9.39</v>
      </c>
      <c r="S65" t="s">
        <v>372</v>
      </c>
      <c r="T65">
        <v>2</v>
      </c>
      <c r="U65">
        <v>0.41</v>
      </c>
      <c r="V65">
        <v>7.0000000000000007E-2</v>
      </c>
      <c r="W65">
        <v>1.42</v>
      </c>
      <c r="Z65">
        <v>1.86</v>
      </c>
      <c r="AA65">
        <v>3.12</v>
      </c>
      <c r="AD65" t="s">
        <v>590</v>
      </c>
    </row>
    <row r="66" spans="1:31" ht="16" x14ac:dyDescent="0.2">
      <c r="A66" t="s">
        <v>423</v>
      </c>
      <c r="B66" t="s">
        <v>18</v>
      </c>
      <c r="C66" s="3" t="s">
        <v>76</v>
      </c>
      <c r="D66" t="s">
        <v>422</v>
      </c>
      <c r="E66" t="s">
        <v>321</v>
      </c>
      <c r="F66">
        <f>(1.08+1.04+0.99)/3</f>
        <v>1.0366666666666668</v>
      </c>
      <c r="G66">
        <f>(0.72+0.78+0.8)/3</f>
        <v>0.76666666666666661</v>
      </c>
      <c r="H66">
        <v>171</v>
      </c>
      <c r="I66" t="s">
        <v>786</v>
      </c>
      <c r="J66" t="s">
        <v>348</v>
      </c>
      <c r="K66" t="s">
        <v>276</v>
      </c>
      <c r="L66" t="s">
        <v>340</v>
      </c>
      <c r="N66" t="s">
        <v>269</v>
      </c>
      <c r="O66" t="s">
        <v>270</v>
      </c>
      <c r="P66" t="s">
        <v>271</v>
      </c>
      <c r="Q66">
        <v>12.94</v>
      </c>
      <c r="R66">
        <v>10.75</v>
      </c>
      <c r="S66" t="s">
        <v>372</v>
      </c>
      <c r="T66">
        <v>2</v>
      </c>
      <c r="U66">
        <v>0.51</v>
      </c>
      <c r="V66">
        <v>0.06</v>
      </c>
      <c r="W66">
        <v>1.54</v>
      </c>
      <c r="Z66">
        <v>1.91</v>
      </c>
      <c r="AA66">
        <v>3.61</v>
      </c>
      <c r="AD66" t="s">
        <v>295</v>
      </c>
    </row>
    <row r="67" spans="1:31" ht="16" x14ac:dyDescent="0.2">
      <c r="A67" t="s">
        <v>424</v>
      </c>
      <c r="B67" t="s">
        <v>18</v>
      </c>
      <c r="C67" s="3" t="s">
        <v>76</v>
      </c>
      <c r="D67" t="s">
        <v>422</v>
      </c>
      <c r="E67" t="s">
        <v>384</v>
      </c>
      <c r="F67">
        <f>(0.91+0.88+0.86)/3</f>
        <v>0.8833333333333333</v>
      </c>
      <c r="G67">
        <f>(0.75+0.76+0.77)/3</f>
        <v>0.76000000000000012</v>
      </c>
      <c r="H67">
        <v>187.3</v>
      </c>
      <c r="I67" t="s">
        <v>295</v>
      </c>
      <c r="J67" t="s">
        <v>348</v>
      </c>
      <c r="K67" t="s">
        <v>276</v>
      </c>
      <c r="L67" t="s">
        <v>398</v>
      </c>
      <c r="N67" t="s">
        <v>269</v>
      </c>
      <c r="O67" t="s">
        <v>270</v>
      </c>
      <c r="P67" t="s">
        <v>385</v>
      </c>
      <c r="Q67">
        <v>10.59</v>
      </c>
      <c r="R67">
        <v>9.1</v>
      </c>
      <c r="S67" t="s">
        <v>372</v>
      </c>
      <c r="T67">
        <v>3</v>
      </c>
      <c r="U67">
        <v>0.49</v>
      </c>
      <c r="V67">
        <v>0.05</v>
      </c>
      <c r="W67">
        <v>1.48</v>
      </c>
      <c r="Z67">
        <v>1.76</v>
      </c>
      <c r="AA67">
        <v>3.22</v>
      </c>
      <c r="AD67" t="s">
        <v>590</v>
      </c>
    </row>
    <row r="68" spans="1:31" ht="16" x14ac:dyDescent="0.2">
      <c r="A68" t="s">
        <v>425</v>
      </c>
      <c r="B68" t="s">
        <v>18</v>
      </c>
      <c r="C68" s="3" t="s">
        <v>79</v>
      </c>
      <c r="D68" t="s">
        <v>426</v>
      </c>
      <c r="E68" t="s">
        <v>321</v>
      </c>
      <c r="F68">
        <f>(1.08+1.06+1.07)/3</f>
        <v>1.07</v>
      </c>
      <c r="G68">
        <f>(0.88+0.91+0.95)/3</f>
        <v>0.91333333333333344</v>
      </c>
      <c r="H68">
        <v>135.30000000000001</v>
      </c>
      <c r="I68" t="s">
        <v>786</v>
      </c>
      <c r="J68" t="s">
        <v>606</v>
      </c>
      <c r="K68" t="s">
        <v>276</v>
      </c>
      <c r="L68" t="s">
        <v>340</v>
      </c>
      <c r="N68" t="s">
        <v>269</v>
      </c>
      <c r="O68" t="s">
        <v>270</v>
      </c>
      <c r="P68" t="s">
        <v>271</v>
      </c>
      <c r="Q68">
        <v>12.01</v>
      </c>
      <c r="R68">
        <v>10.77</v>
      </c>
      <c r="S68" t="s">
        <v>372</v>
      </c>
      <c r="T68">
        <v>3</v>
      </c>
      <c r="U68">
        <v>0.36</v>
      </c>
      <c r="V68">
        <v>7.0000000000000007E-2</v>
      </c>
      <c r="W68">
        <v>1.51</v>
      </c>
      <c r="Z68">
        <v>1.74</v>
      </c>
      <c r="AA68">
        <v>2.6</v>
      </c>
      <c r="AD68" t="s">
        <v>590</v>
      </c>
    </row>
    <row r="69" spans="1:31" ht="16" x14ac:dyDescent="0.2">
      <c r="A69" t="s">
        <v>427</v>
      </c>
      <c r="B69" t="s">
        <v>18</v>
      </c>
      <c r="C69" s="3" t="s">
        <v>79</v>
      </c>
      <c r="D69" t="s">
        <v>426</v>
      </c>
      <c r="E69" t="s">
        <v>321</v>
      </c>
      <c r="F69">
        <f>(0.6+0.82+0.82)/3</f>
        <v>0.74666666666666659</v>
      </c>
      <c r="G69">
        <f>(0.79+0.84+0.89)/3</f>
        <v>0.84</v>
      </c>
      <c r="H69">
        <v>187</v>
      </c>
      <c r="I69" t="s">
        <v>295</v>
      </c>
      <c r="J69" t="s">
        <v>348</v>
      </c>
      <c r="K69" t="s">
        <v>276</v>
      </c>
      <c r="L69" t="s">
        <v>340</v>
      </c>
      <c r="N69" t="s">
        <v>269</v>
      </c>
      <c r="O69" t="s">
        <v>270</v>
      </c>
      <c r="P69" t="s">
        <v>385</v>
      </c>
      <c r="Q69">
        <v>11.72</v>
      </c>
      <c r="R69">
        <v>10.43</v>
      </c>
      <c r="S69" t="s">
        <v>372</v>
      </c>
      <c r="T69">
        <v>0</v>
      </c>
      <c r="U69">
        <v>0.37</v>
      </c>
      <c r="V69">
        <v>0.05</v>
      </c>
      <c r="W69">
        <v>1.42</v>
      </c>
      <c r="Z69">
        <v>1.75</v>
      </c>
      <c r="AA69">
        <v>1.93</v>
      </c>
      <c r="AD69" t="s">
        <v>590</v>
      </c>
    </row>
    <row r="70" spans="1:31" ht="16" x14ac:dyDescent="0.2">
      <c r="A70" t="s">
        <v>428</v>
      </c>
      <c r="B70" t="s">
        <v>18</v>
      </c>
      <c r="C70" s="3" t="s">
        <v>79</v>
      </c>
      <c r="D70" t="s">
        <v>426</v>
      </c>
      <c r="E70" t="s">
        <v>384</v>
      </c>
      <c r="F70">
        <f>(1.35+1.44+1.43)/3</f>
        <v>1.4066666666666665</v>
      </c>
      <c r="G70">
        <f>(0.94+1+0.84)/3</f>
        <v>0.92666666666666664</v>
      </c>
      <c r="H70">
        <v>169.3</v>
      </c>
      <c r="I70" t="s">
        <v>786</v>
      </c>
      <c r="J70" t="s">
        <v>606</v>
      </c>
      <c r="K70" t="s">
        <v>276</v>
      </c>
      <c r="L70" t="s">
        <v>340</v>
      </c>
      <c r="N70" t="s">
        <v>269</v>
      </c>
      <c r="O70" t="s">
        <v>270</v>
      </c>
      <c r="P70" t="s">
        <v>385</v>
      </c>
      <c r="Q70">
        <v>13.08</v>
      </c>
      <c r="R70">
        <v>11.58</v>
      </c>
      <c r="S70" t="s">
        <v>372</v>
      </c>
      <c r="T70">
        <v>0</v>
      </c>
      <c r="U70">
        <v>0.44</v>
      </c>
      <c r="V70">
        <v>0.06</v>
      </c>
      <c r="W70">
        <v>1.66</v>
      </c>
      <c r="Z70">
        <v>1.73</v>
      </c>
      <c r="AA70">
        <v>2.36</v>
      </c>
      <c r="AD70" t="s">
        <v>590</v>
      </c>
    </row>
    <row r="71" spans="1:31" ht="16" x14ac:dyDescent="0.2">
      <c r="A71" t="s">
        <v>429</v>
      </c>
      <c r="B71" t="s">
        <v>28</v>
      </c>
      <c r="C71" s="3" t="s">
        <v>82</v>
      </c>
      <c r="D71" t="s">
        <v>430</v>
      </c>
      <c r="E71" t="s">
        <v>384</v>
      </c>
      <c r="F71">
        <f>(3.35+3.96+4.07)/3</f>
        <v>3.7933333333333334</v>
      </c>
      <c r="G71">
        <f>(1.42+1.3+1.38)/3</f>
        <v>1.3666666666666665</v>
      </c>
      <c r="H71">
        <v>100</v>
      </c>
      <c r="I71" t="s">
        <v>677</v>
      </c>
      <c r="J71" t="s">
        <v>606</v>
      </c>
      <c r="K71" t="s">
        <v>267</v>
      </c>
      <c r="L71" t="s">
        <v>340</v>
      </c>
      <c r="N71" t="s">
        <v>269</v>
      </c>
      <c r="O71" t="s">
        <v>270</v>
      </c>
      <c r="P71" t="s">
        <v>385</v>
      </c>
      <c r="Q71">
        <v>16.899999999999999</v>
      </c>
      <c r="R71">
        <v>14.41</v>
      </c>
      <c r="S71" t="s">
        <v>372</v>
      </c>
      <c r="T71">
        <v>3</v>
      </c>
      <c r="U71">
        <v>0.78</v>
      </c>
      <c r="V71">
        <v>0.08</v>
      </c>
      <c r="W71">
        <v>2.21</v>
      </c>
      <c r="Z71">
        <v>2.48</v>
      </c>
      <c r="AA71">
        <v>4.2300000000000004</v>
      </c>
      <c r="AD71" t="s">
        <v>590</v>
      </c>
    </row>
    <row r="72" spans="1:31" ht="16" x14ac:dyDescent="0.2">
      <c r="A72" t="s">
        <v>431</v>
      </c>
      <c r="B72" t="s">
        <v>28</v>
      </c>
      <c r="C72" s="3" t="s">
        <v>82</v>
      </c>
      <c r="D72" t="s">
        <v>430</v>
      </c>
      <c r="E72" t="s">
        <v>384</v>
      </c>
      <c r="F72">
        <f>(4.24+4.12+4.23)/3</f>
        <v>4.1966666666666663</v>
      </c>
      <c r="G72">
        <f>(1.22+1.27+1.31)/3</f>
        <v>1.2666666666666668</v>
      </c>
      <c r="H72">
        <v>83</v>
      </c>
      <c r="I72" t="s">
        <v>677</v>
      </c>
      <c r="J72" t="s">
        <v>606</v>
      </c>
      <c r="K72" t="s">
        <v>267</v>
      </c>
      <c r="L72" t="s">
        <v>340</v>
      </c>
      <c r="N72" t="s">
        <v>269</v>
      </c>
      <c r="O72" t="s">
        <v>270</v>
      </c>
      <c r="P72" t="s">
        <v>271</v>
      </c>
      <c r="Q72">
        <v>15.03</v>
      </c>
      <c r="R72">
        <v>10.25</v>
      </c>
      <c r="S72" t="s">
        <v>372</v>
      </c>
      <c r="T72">
        <v>3</v>
      </c>
      <c r="U72">
        <v>0.81</v>
      </c>
      <c r="V72">
        <v>0.09</v>
      </c>
      <c r="W72">
        <v>1.74</v>
      </c>
      <c r="X72" s="5"/>
      <c r="Z72">
        <v>2.14</v>
      </c>
      <c r="AA72">
        <v>3.19</v>
      </c>
      <c r="AD72" t="s">
        <v>590</v>
      </c>
      <c r="AE72" s="5" t="s">
        <v>357</v>
      </c>
    </row>
    <row r="73" spans="1:31" ht="16" x14ac:dyDescent="0.2">
      <c r="A73" t="s">
        <v>432</v>
      </c>
      <c r="B73" t="s">
        <v>28</v>
      </c>
      <c r="C73" s="3" t="s">
        <v>82</v>
      </c>
      <c r="D73" t="s">
        <v>430</v>
      </c>
      <c r="E73" t="s">
        <v>384</v>
      </c>
      <c r="F73">
        <v>4.5999999999999996</v>
      </c>
      <c r="G73">
        <f>(1.41+1.38+1.45)/3</f>
        <v>1.4133333333333333</v>
      </c>
      <c r="H73">
        <v>102.7</v>
      </c>
      <c r="I73" t="s">
        <v>677</v>
      </c>
      <c r="J73" t="s">
        <v>606</v>
      </c>
      <c r="K73" t="s">
        <v>267</v>
      </c>
      <c r="L73" t="s">
        <v>352</v>
      </c>
      <c r="N73" t="s">
        <v>269</v>
      </c>
      <c r="O73" t="s">
        <v>270</v>
      </c>
      <c r="P73" t="s">
        <v>271</v>
      </c>
      <c r="Q73">
        <v>18.600000000000001</v>
      </c>
      <c r="R73">
        <v>15.57</v>
      </c>
      <c r="S73" t="s">
        <v>372</v>
      </c>
      <c r="T73">
        <v>0</v>
      </c>
      <c r="W73">
        <v>2.52</v>
      </c>
      <c r="X73" s="5"/>
      <c r="Z73">
        <v>2.77</v>
      </c>
      <c r="AA73">
        <v>3.77</v>
      </c>
      <c r="AD73" t="s">
        <v>590</v>
      </c>
      <c r="AE73" s="5" t="s">
        <v>414</v>
      </c>
    </row>
    <row r="74" spans="1:31" ht="16" x14ac:dyDescent="0.2">
      <c r="A74" t="s">
        <v>433</v>
      </c>
      <c r="B74" t="s">
        <v>28</v>
      </c>
      <c r="C74" s="3" t="s">
        <v>85</v>
      </c>
      <c r="D74" t="s">
        <v>434</v>
      </c>
      <c r="E74" t="s">
        <v>384</v>
      </c>
      <c r="F74">
        <f>(4.05+4.04+3.64)/3</f>
        <v>3.91</v>
      </c>
      <c r="G74">
        <f>(1.29+1.31+1.33)/3</f>
        <v>1.31</v>
      </c>
      <c r="H74">
        <v>73</v>
      </c>
      <c r="I74" t="s">
        <v>677</v>
      </c>
      <c r="J74" t="s">
        <v>606</v>
      </c>
      <c r="K74" t="s">
        <v>267</v>
      </c>
      <c r="L74" t="s">
        <v>340</v>
      </c>
      <c r="N74" t="s">
        <v>269</v>
      </c>
      <c r="O74" t="s">
        <v>270</v>
      </c>
      <c r="P74" t="s">
        <v>385</v>
      </c>
      <c r="Q74">
        <v>10.87</v>
      </c>
      <c r="R74">
        <v>8.85</v>
      </c>
      <c r="S74" t="s">
        <v>435</v>
      </c>
      <c r="T74">
        <v>3</v>
      </c>
      <c r="U74">
        <v>0.93</v>
      </c>
      <c r="V74">
        <v>0.08</v>
      </c>
      <c r="W74">
        <v>1.81</v>
      </c>
      <c r="Z74">
        <v>1.49</v>
      </c>
      <c r="AA74">
        <v>2.88</v>
      </c>
      <c r="AD74" t="s">
        <v>590</v>
      </c>
    </row>
    <row r="75" spans="1:31" ht="16" x14ac:dyDescent="0.2">
      <c r="A75" t="s">
        <v>436</v>
      </c>
      <c r="B75" t="s">
        <v>28</v>
      </c>
      <c r="C75" s="3" t="s">
        <v>85</v>
      </c>
      <c r="D75" t="s">
        <v>434</v>
      </c>
      <c r="E75" t="s">
        <v>321</v>
      </c>
      <c r="F75">
        <f>(4.16+4.15+3.81)/3</f>
        <v>4.04</v>
      </c>
      <c r="G75">
        <f>(1.34+1.36+1.28)/3</f>
        <v>1.3266666666666669</v>
      </c>
      <c r="H75">
        <v>64.3</v>
      </c>
      <c r="I75" t="s">
        <v>677</v>
      </c>
      <c r="J75" t="s">
        <v>606</v>
      </c>
      <c r="K75" t="s">
        <v>267</v>
      </c>
      <c r="L75" t="s">
        <v>340</v>
      </c>
      <c r="N75" t="s">
        <v>269</v>
      </c>
      <c r="O75" t="s">
        <v>270</v>
      </c>
      <c r="P75" t="s">
        <v>385</v>
      </c>
      <c r="Q75">
        <v>12.59</v>
      </c>
      <c r="R75">
        <v>10.24</v>
      </c>
      <c r="S75" t="s">
        <v>435</v>
      </c>
      <c r="T75">
        <v>3</v>
      </c>
      <c r="U75">
        <v>0.82</v>
      </c>
      <c r="V75">
        <v>0.08</v>
      </c>
      <c r="W75">
        <v>1.89</v>
      </c>
      <c r="Z75">
        <v>1.77</v>
      </c>
      <c r="AA75">
        <v>3.27</v>
      </c>
      <c r="AD75" t="s">
        <v>590</v>
      </c>
    </row>
    <row r="76" spans="1:31" ht="16" x14ac:dyDescent="0.2">
      <c r="A76" t="s">
        <v>437</v>
      </c>
      <c r="B76" t="s">
        <v>28</v>
      </c>
      <c r="C76" s="3" t="s">
        <v>85</v>
      </c>
      <c r="D76" t="s">
        <v>434</v>
      </c>
      <c r="E76" t="s">
        <v>384</v>
      </c>
      <c r="F76">
        <f>(4.21+4.01+4.08)/3</f>
        <v>4.0999999999999996</v>
      </c>
      <c r="G76">
        <f>(1.27+1.26+1.31)/3</f>
        <v>1.28</v>
      </c>
      <c r="H76">
        <v>78</v>
      </c>
      <c r="I76" t="s">
        <v>677</v>
      </c>
      <c r="J76" t="s">
        <v>606</v>
      </c>
      <c r="K76" t="s">
        <v>267</v>
      </c>
      <c r="L76" t="s">
        <v>340</v>
      </c>
      <c r="N76" t="s">
        <v>269</v>
      </c>
      <c r="O76" t="s">
        <v>270</v>
      </c>
      <c r="P76" t="s">
        <v>271</v>
      </c>
      <c r="Q76">
        <v>11.31</v>
      </c>
      <c r="R76">
        <v>9.36</v>
      </c>
      <c r="S76" t="s">
        <v>435</v>
      </c>
      <c r="T76">
        <v>3</v>
      </c>
      <c r="U76">
        <v>0.81</v>
      </c>
      <c r="V76">
        <v>0.09</v>
      </c>
      <c r="W76">
        <v>1.92</v>
      </c>
      <c r="Z76">
        <v>1.53</v>
      </c>
      <c r="AA76">
        <v>4.3</v>
      </c>
      <c r="AD76" t="s">
        <v>590</v>
      </c>
    </row>
    <row r="77" spans="1:31" ht="16" x14ac:dyDescent="0.2">
      <c r="A77" t="s">
        <v>438</v>
      </c>
      <c r="B77" t="s">
        <v>28</v>
      </c>
      <c r="C77" s="3" t="s">
        <v>85</v>
      </c>
      <c r="D77" t="s">
        <v>434</v>
      </c>
      <c r="E77" t="s">
        <v>384</v>
      </c>
      <c r="F77">
        <f>(3.53+3.77+4.01)/3</f>
        <v>3.7699999999999996</v>
      </c>
      <c r="G77">
        <f>(1.33+1.3+1.29)/3</f>
        <v>1.3066666666666666</v>
      </c>
      <c r="H77">
        <v>106.7</v>
      </c>
      <c r="I77" t="s">
        <v>677</v>
      </c>
      <c r="J77" t="s">
        <v>606</v>
      </c>
      <c r="K77" t="s">
        <v>267</v>
      </c>
      <c r="L77" t="s">
        <v>340</v>
      </c>
      <c r="N77" t="s">
        <v>269</v>
      </c>
      <c r="O77" t="s">
        <v>270</v>
      </c>
      <c r="P77" t="s">
        <v>385</v>
      </c>
      <c r="Q77">
        <v>13.71</v>
      </c>
      <c r="R77">
        <v>11.43</v>
      </c>
      <c r="S77" t="s">
        <v>435</v>
      </c>
      <c r="T77">
        <v>1</v>
      </c>
      <c r="U77">
        <v>0.86</v>
      </c>
      <c r="V77">
        <v>0.08</v>
      </c>
      <c r="W77">
        <v>1.81</v>
      </c>
      <c r="Z77">
        <v>1.56</v>
      </c>
      <c r="AA77">
        <v>2.98</v>
      </c>
      <c r="AD77" t="s">
        <v>590</v>
      </c>
    </row>
    <row r="78" spans="1:31" ht="16" x14ac:dyDescent="0.2">
      <c r="A78" t="s">
        <v>439</v>
      </c>
      <c r="B78" t="s">
        <v>28</v>
      </c>
      <c r="C78" s="3" t="s">
        <v>88</v>
      </c>
      <c r="D78" t="s">
        <v>440</v>
      </c>
      <c r="E78" t="s">
        <v>384</v>
      </c>
      <c r="F78">
        <f>(3.49+3.56+3.48)/3</f>
        <v>3.5100000000000002</v>
      </c>
      <c r="G78">
        <f>(1.42+1.4+1.44)/3</f>
        <v>1.42</v>
      </c>
      <c r="H78">
        <v>55.7</v>
      </c>
      <c r="I78" t="s">
        <v>677</v>
      </c>
      <c r="J78" t="s">
        <v>606</v>
      </c>
      <c r="K78" t="s">
        <v>267</v>
      </c>
      <c r="L78" t="s">
        <v>340</v>
      </c>
      <c r="N78" t="s">
        <v>269</v>
      </c>
      <c r="O78" t="s">
        <v>270</v>
      </c>
      <c r="P78" t="s">
        <v>385</v>
      </c>
      <c r="Q78">
        <v>13.34</v>
      </c>
      <c r="R78">
        <v>11.57</v>
      </c>
      <c r="S78" t="s">
        <v>372</v>
      </c>
      <c r="T78">
        <v>3</v>
      </c>
      <c r="U78">
        <v>0.93</v>
      </c>
      <c r="V78">
        <v>0.09</v>
      </c>
      <c r="W78">
        <v>2.19</v>
      </c>
      <c r="Z78">
        <v>2.0699999999999998</v>
      </c>
      <c r="AA78">
        <v>3.66</v>
      </c>
      <c r="AD78" t="s">
        <v>590</v>
      </c>
    </row>
    <row r="79" spans="1:31" ht="16" x14ac:dyDescent="0.2">
      <c r="A79" t="s">
        <v>441</v>
      </c>
      <c r="B79" t="s">
        <v>28</v>
      </c>
      <c r="C79" s="3" t="s">
        <v>88</v>
      </c>
      <c r="D79" t="s">
        <v>440</v>
      </c>
      <c r="E79" t="s">
        <v>321</v>
      </c>
      <c r="F79">
        <f>(3.78+3.89+3.8)/3</f>
        <v>3.8233333333333328</v>
      </c>
      <c r="G79">
        <f>(1.35+1.28+1.33)/3</f>
        <v>1.32</v>
      </c>
      <c r="H79">
        <v>90.7</v>
      </c>
      <c r="I79" t="s">
        <v>677</v>
      </c>
      <c r="J79" t="s">
        <v>606</v>
      </c>
      <c r="K79" t="s">
        <v>267</v>
      </c>
      <c r="L79" t="s">
        <v>340</v>
      </c>
      <c r="N79" t="s">
        <v>269</v>
      </c>
      <c r="O79" t="s">
        <v>270</v>
      </c>
      <c r="P79" t="s">
        <v>385</v>
      </c>
      <c r="Q79">
        <v>12.19</v>
      </c>
      <c r="R79">
        <v>9.9600000000000009</v>
      </c>
      <c r="S79" t="s">
        <v>372</v>
      </c>
      <c r="T79">
        <v>2</v>
      </c>
      <c r="U79">
        <v>0.77</v>
      </c>
      <c r="V79">
        <v>0.08</v>
      </c>
      <c r="W79">
        <v>1.83</v>
      </c>
      <c r="Z79">
        <v>1.92</v>
      </c>
      <c r="AA79">
        <v>2.21</v>
      </c>
      <c r="AD79" t="s">
        <v>590</v>
      </c>
    </row>
    <row r="80" spans="1:31" ht="16" x14ac:dyDescent="0.2">
      <c r="A80" t="s">
        <v>442</v>
      </c>
      <c r="B80" t="s">
        <v>28</v>
      </c>
      <c r="C80" s="3" t="s">
        <v>88</v>
      </c>
      <c r="D80" t="s">
        <v>440</v>
      </c>
      <c r="E80" t="s">
        <v>384</v>
      </c>
      <c r="F80">
        <f>(4.25+4.22+4.21)/3</f>
        <v>4.2266666666666666</v>
      </c>
      <c r="G80">
        <f>(1.42+1.41+1.45)/3</f>
        <v>1.4266666666666667</v>
      </c>
      <c r="H80">
        <v>99</v>
      </c>
      <c r="I80" t="s">
        <v>677</v>
      </c>
      <c r="J80" t="s">
        <v>606</v>
      </c>
      <c r="K80" t="s">
        <v>267</v>
      </c>
      <c r="L80" t="s">
        <v>340</v>
      </c>
      <c r="N80" t="s">
        <v>269</v>
      </c>
      <c r="O80" t="s">
        <v>270</v>
      </c>
      <c r="P80" t="s">
        <v>385</v>
      </c>
      <c r="Q80">
        <v>12.56</v>
      </c>
      <c r="R80">
        <v>9.59</v>
      </c>
      <c r="S80" t="s">
        <v>372</v>
      </c>
      <c r="T80">
        <v>2</v>
      </c>
      <c r="U80">
        <v>0.84</v>
      </c>
      <c r="V80">
        <v>0.09</v>
      </c>
      <c r="W80">
        <v>2.12</v>
      </c>
      <c r="Z80">
        <v>2.2799999999999998</v>
      </c>
      <c r="AA80">
        <v>2.52</v>
      </c>
      <c r="AD80" t="s">
        <v>590</v>
      </c>
    </row>
    <row r="81" spans="1:31" ht="16" x14ac:dyDescent="0.2">
      <c r="A81" t="s">
        <v>443</v>
      </c>
      <c r="B81" t="s">
        <v>28</v>
      </c>
      <c r="C81" s="3" t="s">
        <v>91</v>
      </c>
      <c r="D81" t="s">
        <v>444</v>
      </c>
      <c r="E81" t="s">
        <v>321</v>
      </c>
      <c r="F81">
        <v>3.855</v>
      </c>
      <c r="G81">
        <f>(1.52+1.35+1.27)/3</f>
        <v>1.3800000000000001</v>
      </c>
      <c r="H81">
        <v>127.7</v>
      </c>
      <c r="I81" t="s">
        <v>677</v>
      </c>
      <c r="J81" t="s">
        <v>606</v>
      </c>
      <c r="K81" t="s">
        <v>267</v>
      </c>
      <c r="L81" t="s">
        <v>340</v>
      </c>
      <c r="N81" t="s">
        <v>269</v>
      </c>
      <c r="O81" t="s">
        <v>270</v>
      </c>
      <c r="P81" t="s">
        <v>385</v>
      </c>
      <c r="Q81">
        <v>14.1</v>
      </c>
      <c r="R81">
        <v>11.88</v>
      </c>
      <c r="S81" t="s">
        <v>372</v>
      </c>
      <c r="T81">
        <v>3</v>
      </c>
      <c r="U81">
        <v>0.85</v>
      </c>
      <c r="V81">
        <v>0.08</v>
      </c>
      <c r="W81">
        <v>2.23</v>
      </c>
      <c r="Z81">
        <v>2.0699999999999998</v>
      </c>
      <c r="AA81">
        <v>2.37</v>
      </c>
      <c r="AD81" t="s">
        <v>590</v>
      </c>
    </row>
    <row r="82" spans="1:31" ht="16" x14ac:dyDescent="0.2">
      <c r="A82" t="s">
        <v>445</v>
      </c>
      <c r="B82" t="s">
        <v>28</v>
      </c>
      <c r="C82" s="3" t="s">
        <v>91</v>
      </c>
      <c r="D82" t="s">
        <v>444</v>
      </c>
      <c r="E82" t="s">
        <v>384</v>
      </c>
      <c r="F82">
        <f>(2.7+2.68+2.6)/3</f>
        <v>2.66</v>
      </c>
      <c r="G82">
        <f>(1.1+1.15+1.2)/3</f>
        <v>1.1500000000000001</v>
      </c>
      <c r="H82">
        <v>104.7</v>
      </c>
      <c r="I82" t="s">
        <v>677</v>
      </c>
      <c r="J82" t="s">
        <v>606</v>
      </c>
      <c r="K82" t="s">
        <v>267</v>
      </c>
      <c r="L82" t="s">
        <v>340</v>
      </c>
      <c r="N82" t="s">
        <v>269</v>
      </c>
      <c r="O82" t="s">
        <v>270</v>
      </c>
      <c r="P82" t="s">
        <v>385</v>
      </c>
      <c r="Q82">
        <v>12.22</v>
      </c>
      <c r="R82">
        <v>10.18</v>
      </c>
      <c r="S82" t="s">
        <v>372</v>
      </c>
      <c r="T82">
        <v>3</v>
      </c>
      <c r="U82">
        <v>0.57999999999999996</v>
      </c>
      <c r="V82">
        <v>0.08</v>
      </c>
      <c r="W82">
        <v>1.83</v>
      </c>
      <c r="Z82">
        <v>1.52</v>
      </c>
      <c r="AA82">
        <v>2.88</v>
      </c>
      <c r="AD82" t="s">
        <v>590</v>
      </c>
    </row>
    <row r="83" spans="1:31" ht="16" x14ac:dyDescent="0.2">
      <c r="A83" t="s">
        <v>446</v>
      </c>
      <c r="B83" t="s">
        <v>28</v>
      </c>
      <c r="C83" s="3" t="s">
        <v>91</v>
      </c>
      <c r="D83" t="s">
        <v>444</v>
      </c>
      <c r="E83" t="s">
        <v>384</v>
      </c>
      <c r="F83">
        <f>(4.02+4.01+4.03)/3</f>
        <v>4.0199999999999996</v>
      </c>
      <c r="G83">
        <f>(1.13+1.21+1.2)/3</f>
        <v>1.18</v>
      </c>
      <c r="H83">
        <v>86.7</v>
      </c>
      <c r="I83" t="s">
        <v>677</v>
      </c>
      <c r="J83" t="s">
        <v>606</v>
      </c>
      <c r="K83" t="s">
        <v>267</v>
      </c>
      <c r="L83" t="s">
        <v>352</v>
      </c>
      <c r="N83" t="s">
        <v>269</v>
      </c>
      <c r="O83" t="s">
        <v>270</v>
      </c>
      <c r="P83" t="s">
        <v>385</v>
      </c>
      <c r="Q83">
        <v>13.49</v>
      </c>
      <c r="R83">
        <v>11.26</v>
      </c>
      <c r="S83" t="s">
        <v>372</v>
      </c>
      <c r="T83">
        <v>3</v>
      </c>
      <c r="U83">
        <v>0.79</v>
      </c>
      <c r="V83">
        <v>0.08</v>
      </c>
      <c r="W83">
        <v>2.2400000000000002</v>
      </c>
      <c r="Z83">
        <v>2.31</v>
      </c>
      <c r="AA83">
        <v>1.7</v>
      </c>
      <c r="AD83" t="s">
        <v>590</v>
      </c>
    </row>
    <row r="84" spans="1:31" ht="16" x14ac:dyDescent="0.2">
      <c r="A84" t="s">
        <v>447</v>
      </c>
      <c r="B84" t="s">
        <v>18</v>
      </c>
      <c r="C84" s="3" t="s">
        <v>94</v>
      </c>
      <c r="D84" t="s">
        <v>448</v>
      </c>
      <c r="E84" t="s">
        <v>384</v>
      </c>
      <c r="F84">
        <f>(1.36+1.13+1.31)/3</f>
        <v>1.2666666666666668</v>
      </c>
      <c r="G84">
        <f>(1.05+1.12+1.03)/3</f>
        <v>1.0666666666666667</v>
      </c>
      <c r="H84">
        <v>145</v>
      </c>
      <c r="I84" t="s">
        <v>786</v>
      </c>
      <c r="J84" t="s">
        <v>606</v>
      </c>
      <c r="K84" t="s">
        <v>276</v>
      </c>
      <c r="L84" t="s">
        <v>340</v>
      </c>
      <c r="N84" t="s">
        <v>269</v>
      </c>
      <c r="O84" t="s">
        <v>324</v>
      </c>
      <c r="P84" t="s">
        <v>385</v>
      </c>
      <c r="Q84">
        <v>16.04</v>
      </c>
      <c r="R84">
        <v>14.51</v>
      </c>
      <c r="S84" t="s">
        <v>435</v>
      </c>
      <c r="T84">
        <v>2</v>
      </c>
      <c r="U84">
        <v>0.52</v>
      </c>
      <c r="V84">
        <v>7.0000000000000007E-2</v>
      </c>
      <c r="W84">
        <v>1.97</v>
      </c>
      <c r="Z84">
        <v>1.68</v>
      </c>
      <c r="AA84">
        <v>3.68</v>
      </c>
      <c r="AD84" t="s">
        <v>590</v>
      </c>
    </row>
    <row r="85" spans="1:31" ht="16" x14ac:dyDescent="0.2">
      <c r="A85" t="s">
        <v>449</v>
      </c>
      <c r="B85" t="s">
        <v>18</v>
      </c>
      <c r="C85" s="3" t="s">
        <v>94</v>
      </c>
      <c r="D85" t="s">
        <v>448</v>
      </c>
      <c r="E85" t="s">
        <v>384</v>
      </c>
      <c r="F85">
        <v>1.7450000000000001</v>
      </c>
      <c r="G85">
        <f>(0.99+1.03+1.04)/3</f>
        <v>1.02</v>
      </c>
      <c r="H85">
        <v>185.7</v>
      </c>
      <c r="I85" t="s">
        <v>295</v>
      </c>
      <c r="J85" t="s">
        <v>606</v>
      </c>
      <c r="K85" t="s">
        <v>276</v>
      </c>
      <c r="L85" t="s">
        <v>352</v>
      </c>
      <c r="N85" t="s">
        <v>269</v>
      </c>
      <c r="O85" t="s">
        <v>270</v>
      </c>
      <c r="P85" t="s">
        <v>271</v>
      </c>
      <c r="Q85">
        <v>14.55</v>
      </c>
      <c r="R85">
        <v>12.08</v>
      </c>
      <c r="S85" t="s">
        <v>435</v>
      </c>
      <c r="T85">
        <v>3</v>
      </c>
      <c r="U85">
        <v>0.6</v>
      </c>
      <c r="V85">
        <v>0.08</v>
      </c>
      <c r="W85">
        <v>1.85</v>
      </c>
      <c r="Z85">
        <v>1.95</v>
      </c>
      <c r="AA85">
        <v>3.1</v>
      </c>
      <c r="AD85" t="s">
        <v>590</v>
      </c>
    </row>
    <row r="86" spans="1:31" ht="16" x14ac:dyDescent="0.2">
      <c r="A86" t="s">
        <v>450</v>
      </c>
      <c r="B86" t="s">
        <v>18</v>
      </c>
      <c r="C86" s="3" t="s">
        <v>94</v>
      </c>
      <c r="D86" t="s">
        <v>448</v>
      </c>
      <c r="E86" t="s">
        <v>384</v>
      </c>
      <c r="F86">
        <f>(1.64+1.6+1.82)/3</f>
        <v>1.6866666666666668</v>
      </c>
      <c r="G86">
        <f>(1.12+1.11+1.06)/3</f>
        <v>1.0966666666666669</v>
      </c>
      <c r="H86">
        <v>152.30000000000001</v>
      </c>
      <c r="I86" t="s">
        <v>786</v>
      </c>
      <c r="J86" t="s">
        <v>606</v>
      </c>
      <c r="K86" t="s">
        <v>276</v>
      </c>
      <c r="L86" t="s">
        <v>352</v>
      </c>
      <c r="N86" t="s">
        <v>269</v>
      </c>
      <c r="O86" t="s">
        <v>270</v>
      </c>
      <c r="P86" t="s">
        <v>271</v>
      </c>
      <c r="Q86">
        <v>14.23</v>
      </c>
      <c r="R86">
        <v>12.79</v>
      </c>
      <c r="S86" t="s">
        <v>451</v>
      </c>
      <c r="T86">
        <v>3</v>
      </c>
      <c r="U86">
        <v>0.69</v>
      </c>
      <c r="V86">
        <v>0.09</v>
      </c>
      <c r="W86">
        <v>2.2000000000000002</v>
      </c>
      <c r="Z86">
        <v>2.66</v>
      </c>
      <c r="AA86">
        <v>1.9</v>
      </c>
      <c r="AD86" t="s">
        <v>590</v>
      </c>
    </row>
    <row r="87" spans="1:31" ht="16" x14ac:dyDescent="0.2">
      <c r="A87" t="s">
        <v>452</v>
      </c>
      <c r="B87" t="s">
        <v>18</v>
      </c>
      <c r="C87" s="3" t="s">
        <v>97</v>
      </c>
      <c r="D87" t="s">
        <v>453</v>
      </c>
      <c r="E87" t="s">
        <v>384</v>
      </c>
      <c r="F87">
        <v>1.5249999999999999</v>
      </c>
      <c r="G87">
        <f>(1.1+0.98+1.08)/3</f>
        <v>1.0533333333333335</v>
      </c>
      <c r="H87">
        <v>180</v>
      </c>
      <c r="I87" t="s">
        <v>282</v>
      </c>
      <c r="J87" t="s">
        <v>606</v>
      </c>
      <c r="K87" t="s">
        <v>276</v>
      </c>
      <c r="L87" t="s">
        <v>340</v>
      </c>
      <c r="N87" t="s">
        <v>269</v>
      </c>
      <c r="O87" t="s">
        <v>270</v>
      </c>
      <c r="P87" t="s">
        <v>271</v>
      </c>
      <c r="Q87">
        <v>15.47</v>
      </c>
      <c r="R87">
        <v>13.45</v>
      </c>
      <c r="S87" t="s">
        <v>451</v>
      </c>
      <c r="T87">
        <v>3</v>
      </c>
      <c r="U87">
        <v>0.63</v>
      </c>
      <c r="V87">
        <v>0.08</v>
      </c>
      <c r="W87">
        <v>2.2999999999999998</v>
      </c>
      <c r="Z87">
        <v>1.79</v>
      </c>
      <c r="AA87">
        <v>3.09</v>
      </c>
      <c r="AD87" t="s">
        <v>590</v>
      </c>
    </row>
    <row r="88" spans="1:31" ht="16" x14ac:dyDescent="0.2">
      <c r="A88" t="s">
        <v>454</v>
      </c>
      <c r="B88" t="s">
        <v>18</v>
      </c>
      <c r="C88" s="3" t="s">
        <v>97</v>
      </c>
      <c r="D88" t="s">
        <v>453</v>
      </c>
      <c r="E88" t="s">
        <v>384</v>
      </c>
      <c r="F88">
        <f>(1.31+1.29+1.27)/3</f>
        <v>1.29</v>
      </c>
      <c r="G88">
        <f>(0.86+0.93+0.91)/3</f>
        <v>0.9</v>
      </c>
      <c r="H88">
        <v>120</v>
      </c>
      <c r="I88" t="s">
        <v>677</v>
      </c>
      <c r="J88" t="s">
        <v>606</v>
      </c>
      <c r="K88" t="s">
        <v>276</v>
      </c>
      <c r="L88" t="s">
        <v>340</v>
      </c>
      <c r="N88" t="s">
        <v>269</v>
      </c>
      <c r="O88" t="s">
        <v>270</v>
      </c>
      <c r="P88" t="s">
        <v>271</v>
      </c>
      <c r="Q88">
        <v>14</v>
      </c>
      <c r="R88">
        <v>13.36</v>
      </c>
      <c r="S88" t="s">
        <v>455</v>
      </c>
      <c r="T88">
        <v>3</v>
      </c>
      <c r="U88">
        <v>0.43</v>
      </c>
      <c r="V88">
        <v>0.05</v>
      </c>
      <c r="W88">
        <v>1.89</v>
      </c>
      <c r="Z88">
        <v>1.72</v>
      </c>
      <c r="AA88">
        <v>3.31</v>
      </c>
      <c r="AD88" t="s">
        <v>590</v>
      </c>
    </row>
    <row r="89" spans="1:31" ht="16" x14ac:dyDescent="0.2">
      <c r="A89" t="s">
        <v>456</v>
      </c>
      <c r="B89" t="s">
        <v>18</v>
      </c>
      <c r="C89" s="3" t="s">
        <v>97</v>
      </c>
      <c r="D89" t="s">
        <v>453</v>
      </c>
      <c r="E89" t="s">
        <v>384</v>
      </c>
      <c r="F89">
        <f>(1.47+1.2+1.32)/3</f>
        <v>1.33</v>
      </c>
      <c r="G89">
        <f>(1.07+0.92+1.02)/3</f>
        <v>1.0033333333333334</v>
      </c>
      <c r="H89">
        <v>155</v>
      </c>
      <c r="I89" t="s">
        <v>786</v>
      </c>
      <c r="J89" t="s">
        <v>606</v>
      </c>
      <c r="K89" t="s">
        <v>276</v>
      </c>
      <c r="L89" t="s">
        <v>340</v>
      </c>
      <c r="N89" t="s">
        <v>269</v>
      </c>
      <c r="O89" t="s">
        <v>270</v>
      </c>
      <c r="P89" t="s">
        <v>271</v>
      </c>
      <c r="Q89">
        <v>15.66</v>
      </c>
      <c r="R89">
        <v>14.25</v>
      </c>
      <c r="S89" t="s">
        <v>451</v>
      </c>
      <c r="T89">
        <v>3</v>
      </c>
      <c r="U89">
        <v>0.42</v>
      </c>
      <c r="V89">
        <v>7.0000000000000007E-2</v>
      </c>
      <c r="W89">
        <v>2.02</v>
      </c>
      <c r="Z89">
        <v>2.48</v>
      </c>
      <c r="AA89">
        <v>2.74</v>
      </c>
      <c r="AD89" t="s">
        <v>590</v>
      </c>
    </row>
    <row r="90" spans="1:31" ht="16" x14ac:dyDescent="0.2">
      <c r="A90" t="s">
        <v>457</v>
      </c>
      <c r="B90" t="s">
        <v>10</v>
      </c>
      <c r="C90" s="3" t="s">
        <v>100</v>
      </c>
      <c r="D90" t="s">
        <v>458</v>
      </c>
      <c r="E90" t="s">
        <v>384</v>
      </c>
      <c r="F90">
        <f>(1.39+1.32+1.38)/3</f>
        <v>1.3633333333333333</v>
      </c>
      <c r="G90">
        <f>(1.02+1.01+1)/3</f>
        <v>1.01</v>
      </c>
      <c r="H90">
        <v>201.3</v>
      </c>
      <c r="I90" t="s">
        <v>363</v>
      </c>
      <c r="J90" t="s">
        <v>589</v>
      </c>
      <c r="K90" t="s">
        <v>276</v>
      </c>
      <c r="L90" t="s">
        <v>352</v>
      </c>
      <c r="N90" t="s">
        <v>360</v>
      </c>
      <c r="O90" t="s">
        <v>324</v>
      </c>
      <c r="P90" t="s">
        <v>271</v>
      </c>
      <c r="Q90">
        <v>11.33</v>
      </c>
      <c r="R90">
        <v>10.1</v>
      </c>
      <c r="S90" t="s">
        <v>372</v>
      </c>
      <c r="T90">
        <v>2</v>
      </c>
      <c r="U90">
        <v>0.45</v>
      </c>
      <c r="V90">
        <v>0.06</v>
      </c>
      <c r="W90">
        <v>1.68</v>
      </c>
      <c r="Z90">
        <v>1.59</v>
      </c>
      <c r="AA90">
        <v>2.89</v>
      </c>
      <c r="AD90" t="s">
        <v>590</v>
      </c>
    </row>
    <row r="91" spans="1:31" ht="16" x14ac:dyDescent="0.2">
      <c r="A91" t="s">
        <v>459</v>
      </c>
      <c r="B91" t="s">
        <v>10</v>
      </c>
      <c r="C91" s="3" t="s">
        <v>100</v>
      </c>
      <c r="D91" t="s">
        <v>458</v>
      </c>
      <c r="E91" t="s">
        <v>384</v>
      </c>
      <c r="F91">
        <f>(1.57+1.62+1.61)/3</f>
        <v>1.6000000000000003</v>
      </c>
      <c r="G91">
        <f>(0.93+0.95+1)/3</f>
        <v>0.96</v>
      </c>
      <c r="H91">
        <v>243.7</v>
      </c>
      <c r="I91" t="s">
        <v>326</v>
      </c>
      <c r="J91" t="s">
        <v>589</v>
      </c>
      <c r="K91" t="s">
        <v>276</v>
      </c>
      <c r="L91" t="s">
        <v>352</v>
      </c>
      <c r="N91" t="s">
        <v>360</v>
      </c>
      <c r="O91" t="s">
        <v>324</v>
      </c>
      <c r="P91" t="s">
        <v>271</v>
      </c>
      <c r="Q91">
        <v>17.11</v>
      </c>
      <c r="R91">
        <v>12.73</v>
      </c>
      <c r="S91" t="s">
        <v>372</v>
      </c>
      <c r="T91">
        <v>0</v>
      </c>
      <c r="U91">
        <v>0.53</v>
      </c>
      <c r="V91">
        <v>0.08</v>
      </c>
      <c r="W91">
        <v>1.69</v>
      </c>
      <c r="Z91">
        <v>1.8</v>
      </c>
      <c r="AA91">
        <v>3.38</v>
      </c>
      <c r="AD91" t="s">
        <v>590</v>
      </c>
    </row>
    <row r="92" spans="1:31" ht="16" x14ac:dyDescent="0.2">
      <c r="A92" t="s">
        <v>460</v>
      </c>
      <c r="B92" t="s">
        <v>10</v>
      </c>
      <c r="C92" s="3" t="s">
        <v>100</v>
      </c>
      <c r="D92" t="s">
        <v>458</v>
      </c>
      <c r="E92" t="s">
        <v>384</v>
      </c>
      <c r="F92">
        <f>(1.48+1.46+1.49)/3</f>
        <v>1.4766666666666666</v>
      </c>
      <c r="G92">
        <f>(0.91+0.89+0.92)/3</f>
        <v>0.90666666666666673</v>
      </c>
      <c r="H92">
        <v>245.3</v>
      </c>
      <c r="I92" t="s">
        <v>326</v>
      </c>
      <c r="J92" t="s">
        <v>589</v>
      </c>
      <c r="K92" t="s">
        <v>276</v>
      </c>
      <c r="L92" t="s">
        <v>352</v>
      </c>
      <c r="N92" t="s">
        <v>360</v>
      </c>
      <c r="O92" t="s">
        <v>270</v>
      </c>
      <c r="P92" t="s">
        <v>271</v>
      </c>
      <c r="Q92">
        <v>8.89</v>
      </c>
      <c r="R92">
        <v>6.9</v>
      </c>
      <c r="S92" t="s">
        <v>372</v>
      </c>
      <c r="T92">
        <v>0</v>
      </c>
      <c r="U92">
        <v>0.39</v>
      </c>
      <c r="V92">
        <v>0.06</v>
      </c>
      <c r="W92">
        <v>1.31</v>
      </c>
      <c r="Z92">
        <v>1.31</v>
      </c>
      <c r="AA92">
        <v>2.1800000000000002</v>
      </c>
      <c r="AD92" t="s">
        <v>590</v>
      </c>
    </row>
    <row r="93" spans="1:31" ht="16" x14ac:dyDescent="0.2">
      <c r="A93" t="s">
        <v>461</v>
      </c>
      <c r="B93" t="s">
        <v>10</v>
      </c>
      <c r="C93" s="3" t="s">
        <v>103</v>
      </c>
      <c r="D93" t="s">
        <v>462</v>
      </c>
      <c r="E93" t="s">
        <v>384</v>
      </c>
      <c r="F93">
        <f>(1.09+1.01+1.04)/3</f>
        <v>1.0466666666666666</v>
      </c>
      <c r="G93">
        <f>(0.84+0.89+0.88)/3</f>
        <v>0.87</v>
      </c>
      <c r="H93">
        <v>219</v>
      </c>
      <c r="I93" t="s">
        <v>326</v>
      </c>
      <c r="J93" t="s">
        <v>589</v>
      </c>
      <c r="K93" t="s">
        <v>276</v>
      </c>
      <c r="L93" t="s">
        <v>352</v>
      </c>
      <c r="N93" t="s">
        <v>360</v>
      </c>
      <c r="O93" t="s">
        <v>324</v>
      </c>
      <c r="P93" t="s">
        <v>271</v>
      </c>
      <c r="Q93">
        <v>11.79</v>
      </c>
      <c r="R93">
        <v>9.5399999999999991</v>
      </c>
      <c r="S93" t="s">
        <v>372</v>
      </c>
      <c r="T93">
        <v>0</v>
      </c>
      <c r="U93">
        <v>0.45</v>
      </c>
      <c r="V93">
        <v>0.06</v>
      </c>
      <c r="W93">
        <v>1.68</v>
      </c>
      <c r="X93" s="5"/>
      <c r="Z93">
        <v>1.82</v>
      </c>
      <c r="AA93">
        <v>1.78</v>
      </c>
      <c r="AD93" t="s">
        <v>590</v>
      </c>
      <c r="AE93" s="5" t="s">
        <v>721</v>
      </c>
    </row>
    <row r="94" spans="1:31" ht="16" x14ac:dyDescent="0.2">
      <c r="A94" t="s">
        <v>464</v>
      </c>
      <c r="B94" t="s">
        <v>10</v>
      </c>
      <c r="C94" s="3" t="s">
        <v>103</v>
      </c>
      <c r="D94" t="s">
        <v>462</v>
      </c>
      <c r="E94" t="s">
        <v>384</v>
      </c>
      <c r="F94">
        <f>(1.13+1.94+1.2)/3</f>
        <v>1.4233333333333331</v>
      </c>
      <c r="G94">
        <f>(0.99+0.91+0.93)/3</f>
        <v>0.94333333333333336</v>
      </c>
      <c r="H94">
        <v>175.3</v>
      </c>
      <c r="I94" t="s">
        <v>348</v>
      </c>
      <c r="J94" t="s">
        <v>348</v>
      </c>
      <c r="K94" t="s">
        <v>339</v>
      </c>
      <c r="L94" t="s">
        <v>352</v>
      </c>
      <c r="O94" t="s">
        <v>324</v>
      </c>
      <c r="P94" t="s">
        <v>271</v>
      </c>
      <c r="Q94" t="s">
        <v>465</v>
      </c>
      <c r="R94">
        <v>12.03</v>
      </c>
      <c r="S94" t="s">
        <v>372</v>
      </c>
      <c r="T94">
        <v>0</v>
      </c>
      <c r="U94">
        <v>0.53</v>
      </c>
      <c r="V94">
        <v>7.0000000000000007E-2</v>
      </c>
      <c r="W94">
        <v>1.95</v>
      </c>
      <c r="X94" s="5"/>
      <c r="Z94">
        <v>2.52</v>
      </c>
      <c r="AA94">
        <v>3.28</v>
      </c>
      <c r="AD94" t="s">
        <v>590</v>
      </c>
      <c r="AE94" s="5" t="s">
        <v>722</v>
      </c>
    </row>
    <row r="95" spans="1:31" ht="16" x14ac:dyDescent="0.2">
      <c r="A95" t="s">
        <v>467</v>
      </c>
      <c r="B95" t="s">
        <v>10</v>
      </c>
      <c r="C95" s="3" t="s">
        <v>103</v>
      </c>
      <c r="D95" t="s">
        <v>462</v>
      </c>
      <c r="E95" t="s">
        <v>384</v>
      </c>
      <c r="F95">
        <f>(1.27+1.26+1.25)/3</f>
        <v>1.26</v>
      </c>
      <c r="G95">
        <f>(0.91+0.89+0.95)/3</f>
        <v>0.91666666666666663</v>
      </c>
      <c r="H95">
        <v>197.7</v>
      </c>
      <c r="I95" t="s">
        <v>295</v>
      </c>
      <c r="J95" t="s">
        <v>589</v>
      </c>
      <c r="K95" t="s">
        <v>276</v>
      </c>
      <c r="L95" t="s">
        <v>352</v>
      </c>
      <c r="N95" t="s">
        <v>269</v>
      </c>
      <c r="O95" t="s">
        <v>324</v>
      </c>
      <c r="P95" t="s">
        <v>271</v>
      </c>
      <c r="Q95">
        <v>13.58</v>
      </c>
      <c r="R95">
        <v>11.67</v>
      </c>
      <c r="S95" t="s">
        <v>372</v>
      </c>
      <c r="T95">
        <v>0</v>
      </c>
      <c r="U95">
        <v>0.54</v>
      </c>
      <c r="V95">
        <v>0.06</v>
      </c>
      <c r="W95">
        <v>2.02</v>
      </c>
      <c r="X95" s="5"/>
      <c r="Z95">
        <v>2.63</v>
      </c>
      <c r="AA95">
        <v>2.6</v>
      </c>
      <c r="AD95" t="s">
        <v>590</v>
      </c>
      <c r="AE95" s="5" t="s">
        <v>721</v>
      </c>
    </row>
    <row r="96" spans="1:31" ht="16" x14ac:dyDescent="0.2">
      <c r="A96" t="s">
        <v>468</v>
      </c>
      <c r="B96" t="s">
        <v>10</v>
      </c>
      <c r="C96" s="3" t="s">
        <v>103</v>
      </c>
      <c r="D96" t="s">
        <v>462</v>
      </c>
      <c r="E96" t="s">
        <v>384</v>
      </c>
      <c r="F96">
        <f>(1.24+1.19+1.26)/3</f>
        <v>1.2299999999999998</v>
      </c>
      <c r="G96">
        <f>(0.93+0.92+0.95)/3</f>
        <v>0.93333333333333324</v>
      </c>
      <c r="H96">
        <v>145</v>
      </c>
      <c r="I96" t="s">
        <v>786</v>
      </c>
      <c r="J96" t="s">
        <v>348</v>
      </c>
      <c r="K96" t="s">
        <v>276</v>
      </c>
      <c r="L96" t="s">
        <v>352</v>
      </c>
      <c r="N96" t="s">
        <v>269</v>
      </c>
      <c r="O96" t="s">
        <v>324</v>
      </c>
      <c r="P96" t="s">
        <v>271</v>
      </c>
      <c r="Q96">
        <v>12.68</v>
      </c>
      <c r="R96">
        <v>11.16</v>
      </c>
      <c r="S96" t="s">
        <v>372</v>
      </c>
      <c r="T96">
        <v>0</v>
      </c>
      <c r="U96">
        <v>0.43</v>
      </c>
      <c r="V96">
        <v>0.06</v>
      </c>
      <c r="W96">
        <v>1.99</v>
      </c>
      <c r="X96" s="5"/>
      <c r="Z96">
        <v>2.16</v>
      </c>
      <c r="AA96">
        <v>2.86</v>
      </c>
      <c r="AD96" t="s">
        <v>590</v>
      </c>
      <c r="AE96" s="5" t="s">
        <v>721</v>
      </c>
    </row>
    <row r="97" spans="1:31" ht="16" x14ac:dyDescent="0.2">
      <c r="A97" t="s">
        <v>469</v>
      </c>
      <c r="B97" t="s">
        <v>18</v>
      </c>
      <c r="C97" s="3" t="s">
        <v>106</v>
      </c>
      <c r="D97" t="s">
        <v>105</v>
      </c>
      <c r="E97" t="s">
        <v>384</v>
      </c>
      <c r="F97">
        <v>1.04</v>
      </c>
      <c r="G97">
        <f>(0.81+0.85+0.89)/3</f>
        <v>0.85000000000000009</v>
      </c>
      <c r="H97">
        <v>186.7</v>
      </c>
      <c r="I97" t="s">
        <v>295</v>
      </c>
      <c r="J97" t="s">
        <v>348</v>
      </c>
      <c r="K97" t="s">
        <v>276</v>
      </c>
      <c r="L97" t="s">
        <v>352</v>
      </c>
      <c r="N97" t="s">
        <v>360</v>
      </c>
      <c r="O97" t="s">
        <v>270</v>
      </c>
      <c r="P97" t="s">
        <v>271</v>
      </c>
      <c r="Q97">
        <v>9.09</v>
      </c>
      <c r="R97">
        <v>7.69</v>
      </c>
      <c r="S97" t="s">
        <v>451</v>
      </c>
      <c r="T97">
        <v>1</v>
      </c>
      <c r="U97">
        <v>0.51</v>
      </c>
      <c r="V97">
        <v>7.0000000000000007E-2</v>
      </c>
      <c r="W97">
        <v>1.57</v>
      </c>
      <c r="Z97">
        <v>1.49</v>
      </c>
      <c r="AA97">
        <v>1.18</v>
      </c>
      <c r="AD97" t="s">
        <v>590</v>
      </c>
    </row>
    <row r="98" spans="1:31" ht="16" x14ac:dyDescent="0.2">
      <c r="A98" t="s">
        <v>470</v>
      </c>
      <c r="B98" t="s">
        <v>18</v>
      </c>
      <c r="C98" s="3" t="s">
        <v>106</v>
      </c>
      <c r="D98" t="s">
        <v>105</v>
      </c>
      <c r="E98" t="s">
        <v>384</v>
      </c>
      <c r="F98">
        <f>(1.04+1.2+1.21)/3</f>
        <v>1.1500000000000001</v>
      </c>
      <c r="G98">
        <f>(0.81+0.79+0.86)/3</f>
        <v>0.82</v>
      </c>
      <c r="H98">
        <v>177</v>
      </c>
      <c r="I98" t="s">
        <v>348</v>
      </c>
      <c r="J98" t="s">
        <v>606</v>
      </c>
      <c r="K98" t="s">
        <v>339</v>
      </c>
      <c r="L98" t="s">
        <v>352</v>
      </c>
      <c r="N98" t="s">
        <v>269</v>
      </c>
      <c r="O98" t="s">
        <v>270</v>
      </c>
      <c r="P98" t="s">
        <v>271</v>
      </c>
      <c r="Q98">
        <v>12.76</v>
      </c>
      <c r="R98">
        <v>10.5</v>
      </c>
      <c r="S98" t="s">
        <v>451</v>
      </c>
      <c r="T98">
        <v>2</v>
      </c>
      <c r="U98">
        <v>0.51</v>
      </c>
      <c r="V98">
        <v>0.09</v>
      </c>
      <c r="W98">
        <v>2</v>
      </c>
      <c r="Z98">
        <v>2.12</v>
      </c>
      <c r="AA98">
        <v>2.44</v>
      </c>
      <c r="AD98" t="s">
        <v>590</v>
      </c>
    </row>
    <row r="99" spans="1:31" ht="16" x14ac:dyDescent="0.2">
      <c r="A99" t="s">
        <v>471</v>
      </c>
      <c r="B99" t="s">
        <v>18</v>
      </c>
      <c r="C99" s="3" t="s">
        <v>106</v>
      </c>
      <c r="D99" t="s">
        <v>105</v>
      </c>
      <c r="E99" t="s">
        <v>384</v>
      </c>
      <c r="F99">
        <f>(1.12+1.13+1.12)/3</f>
        <v>1.1233333333333333</v>
      </c>
      <c r="G99">
        <f>(0.89+0.79+0.92)/3</f>
        <v>0.8666666666666667</v>
      </c>
      <c r="H99">
        <v>156</v>
      </c>
      <c r="I99" t="s">
        <v>677</v>
      </c>
      <c r="J99" t="s">
        <v>348</v>
      </c>
      <c r="K99" t="s">
        <v>339</v>
      </c>
      <c r="L99" t="s">
        <v>352</v>
      </c>
      <c r="N99" t="s">
        <v>269</v>
      </c>
      <c r="O99" t="s">
        <v>270</v>
      </c>
      <c r="P99" t="s">
        <v>271</v>
      </c>
      <c r="Q99">
        <v>10.86</v>
      </c>
      <c r="R99">
        <v>9.3699999999999992</v>
      </c>
      <c r="S99" t="s">
        <v>451</v>
      </c>
      <c r="T99">
        <v>0</v>
      </c>
      <c r="U99">
        <v>0.63</v>
      </c>
      <c r="V99">
        <v>0.08</v>
      </c>
      <c r="W99">
        <v>1.6</v>
      </c>
      <c r="Z99">
        <v>1.69</v>
      </c>
      <c r="AA99">
        <v>2.73</v>
      </c>
      <c r="AD99" t="s">
        <v>590</v>
      </c>
    </row>
    <row r="100" spans="1:31" ht="16" x14ac:dyDescent="0.2">
      <c r="A100" t="s">
        <v>472</v>
      </c>
      <c r="B100" t="s">
        <v>10</v>
      </c>
      <c r="C100" t="s">
        <v>473</v>
      </c>
      <c r="D100" t="s">
        <v>474</v>
      </c>
      <c r="E100" t="s">
        <v>384</v>
      </c>
      <c r="F100">
        <f>(1.07+1.02+1.06)/3</f>
        <v>1.05</v>
      </c>
      <c r="G100">
        <f>(0.91+0.91+0.86)/3</f>
        <v>0.89333333333333342</v>
      </c>
      <c r="H100">
        <v>104.7</v>
      </c>
      <c r="I100" t="s">
        <v>677</v>
      </c>
      <c r="J100" t="s">
        <v>589</v>
      </c>
      <c r="K100" t="s">
        <v>276</v>
      </c>
      <c r="L100" t="s">
        <v>352</v>
      </c>
      <c r="N100" t="s">
        <v>360</v>
      </c>
      <c r="O100" t="s">
        <v>270</v>
      </c>
      <c r="P100" t="s">
        <v>271</v>
      </c>
      <c r="Q100">
        <v>10.67</v>
      </c>
      <c r="R100">
        <v>8.26</v>
      </c>
      <c r="S100" t="s">
        <v>372</v>
      </c>
      <c r="T100">
        <v>3</v>
      </c>
      <c r="U100">
        <v>0.5</v>
      </c>
      <c r="V100">
        <v>0.09</v>
      </c>
      <c r="W100">
        <v>1.7</v>
      </c>
      <c r="X100" s="5"/>
      <c r="Z100">
        <v>1.87</v>
      </c>
      <c r="AA100">
        <v>2.1800000000000002</v>
      </c>
      <c r="AD100" t="s">
        <v>590</v>
      </c>
      <c r="AE100" s="5" t="s">
        <v>721</v>
      </c>
    </row>
    <row r="101" spans="1:31" ht="16" x14ac:dyDescent="0.2">
      <c r="A101" s="5" t="s">
        <v>475</v>
      </c>
      <c r="B101" t="s">
        <v>10</v>
      </c>
      <c r="C101" t="s">
        <v>473</v>
      </c>
      <c r="D101" t="s">
        <v>474</v>
      </c>
      <c r="E101" t="s">
        <v>321</v>
      </c>
      <c r="H101">
        <v>160.30000000000001</v>
      </c>
      <c r="I101" t="s">
        <v>348</v>
      </c>
      <c r="K101" t="s">
        <v>276</v>
      </c>
      <c r="L101" t="s">
        <v>352</v>
      </c>
      <c r="N101" t="s">
        <v>360</v>
      </c>
      <c r="O101" t="s">
        <v>270</v>
      </c>
      <c r="P101" t="s">
        <v>271</v>
      </c>
      <c r="Q101">
        <v>12.39</v>
      </c>
      <c r="R101">
        <v>10.11</v>
      </c>
      <c r="S101" t="s">
        <v>372</v>
      </c>
      <c r="X101" s="5"/>
      <c r="AE101" s="5" t="s">
        <v>784</v>
      </c>
    </row>
    <row r="102" spans="1:31" ht="16" x14ac:dyDescent="0.2">
      <c r="A102" s="5" t="s">
        <v>477</v>
      </c>
      <c r="B102" t="s">
        <v>10</v>
      </c>
      <c r="C102" t="s">
        <v>473</v>
      </c>
      <c r="D102" t="s">
        <v>474</v>
      </c>
      <c r="E102" t="s">
        <v>335</v>
      </c>
      <c r="N102" t="s">
        <v>277</v>
      </c>
      <c r="O102" t="s">
        <v>270</v>
      </c>
      <c r="P102" t="s">
        <v>271</v>
      </c>
      <c r="Q102">
        <v>7.26</v>
      </c>
      <c r="R102">
        <v>5.65</v>
      </c>
      <c r="X102" s="5"/>
      <c r="AE102" s="5" t="s">
        <v>723</v>
      </c>
    </row>
    <row r="103" spans="1:31" ht="16" x14ac:dyDescent="0.2">
      <c r="A103" t="s">
        <v>479</v>
      </c>
      <c r="B103" t="s">
        <v>10</v>
      </c>
      <c r="C103" t="s">
        <v>114</v>
      </c>
      <c r="D103" t="s">
        <v>480</v>
      </c>
      <c r="E103" t="s">
        <v>321</v>
      </c>
      <c r="F103">
        <v>1.34</v>
      </c>
      <c r="G103">
        <v>0.86</v>
      </c>
      <c r="H103">
        <v>194.5</v>
      </c>
      <c r="I103" t="s">
        <v>363</v>
      </c>
      <c r="J103" t="s">
        <v>589</v>
      </c>
      <c r="K103" t="s">
        <v>276</v>
      </c>
      <c r="L103" t="s">
        <v>268</v>
      </c>
      <c r="O103" t="s">
        <v>270</v>
      </c>
      <c r="P103" t="s">
        <v>271</v>
      </c>
      <c r="Q103">
        <v>7.85</v>
      </c>
      <c r="R103">
        <v>5.55</v>
      </c>
      <c r="S103" t="s">
        <v>372</v>
      </c>
      <c r="T103">
        <v>0</v>
      </c>
      <c r="U103">
        <v>0.28999999999999998</v>
      </c>
      <c r="V103">
        <v>0.04</v>
      </c>
      <c r="W103">
        <v>1.48</v>
      </c>
      <c r="X103" s="5"/>
      <c r="Z103">
        <v>1.81</v>
      </c>
      <c r="AA103">
        <v>1.57</v>
      </c>
      <c r="AD103" t="s">
        <v>590</v>
      </c>
      <c r="AE103" s="5" t="s">
        <v>481</v>
      </c>
    </row>
    <row r="104" spans="1:31" ht="16" x14ac:dyDescent="0.2">
      <c r="A104" t="s">
        <v>482</v>
      </c>
      <c r="B104" t="s">
        <v>10</v>
      </c>
      <c r="C104" t="s">
        <v>114</v>
      </c>
      <c r="D104" t="s">
        <v>480</v>
      </c>
      <c r="E104" t="s">
        <v>321</v>
      </c>
      <c r="F104">
        <f>(1.2+1.16+1.18)/3</f>
        <v>1.18</v>
      </c>
      <c r="G104">
        <f>(0.92+0.87+0.8)/3</f>
        <v>0.86333333333333329</v>
      </c>
      <c r="H104">
        <v>233</v>
      </c>
      <c r="I104" t="s">
        <v>326</v>
      </c>
      <c r="J104" t="s">
        <v>589</v>
      </c>
      <c r="K104" t="s">
        <v>276</v>
      </c>
      <c r="L104" t="s">
        <v>268</v>
      </c>
      <c r="N104" t="s">
        <v>269</v>
      </c>
      <c r="O104" t="s">
        <v>270</v>
      </c>
      <c r="P104" t="s">
        <v>271</v>
      </c>
      <c r="Q104">
        <v>8.6999999999999993</v>
      </c>
      <c r="R104">
        <v>7.48</v>
      </c>
      <c r="S104" t="s">
        <v>372</v>
      </c>
      <c r="T104">
        <v>2</v>
      </c>
      <c r="U104">
        <v>0.44</v>
      </c>
      <c r="V104">
        <v>0.05</v>
      </c>
      <c r="W104">
        <v>1.61</v>
      </c>
      <c r="Z104">
        <v>1.76</v>
      </c>
      <c r="AA104">
        <v>1.89</v>
      </c>
      <c r="AD104" t="s">
        <v>590</v>
      </c>
    </row>
    <row r="105" spans="1:31" ht="16" x14ac:dyDescent="0.2">
      <c r="A105" t="s">
        <v>483</v>
      </c>
      <c r="B105" t="s">
        <v>10</v>
      </c>
      <c r="C105" t="s">
        <v>114</v>
      </c>
      <c r="D105" t="s">
        <v>480</v>
      </c>
      <c r="E105" t="s">
        <v>384</v>
      </c>
      <c r="F105">
        <f>(1.52+1.3+1.43)/3</f>
        <v>1.4166666666666667</v>
      </c>
      <c r="G105">
        <f>(0.9+0.92+0.93)/3</f>
        <v>0.91666666666666663</v>
      </c>
      <c r="H105">
        <v>241.3</v>
      </c>
      <c r="I105" t="s">
        <v>326</v>
      </c>
      <c r="J105" t="s">
        <v>589</v>
      </c>
      <c r="K105" t="s">
        <v>276</v>
      </c>
      <c r="L105" t="s">
        <v>268</v>
      </c>
      <c r="N105" t="s">
        <v>360</v>
      </c>
      <c r="O105" t="s">
        <v>270</v>
      </c>
      <c r="P105" t="s">
        <v>271</v>
      </c>
      <c r="Q105">
        <v>9.7799999999999994</v>
      </c>
      <c r="R105">
        <v>7.8</v>
      </c>
      <c r="S105" t="s">
        <v>372</v>
      </c>
      <c r="T105">
        <v>0</v>
      </c>
      <c r="U105">
        <v>0.53</v>
      </c>
      <c r="V105">
        <v>0.06</v>
      </c>
      <c r="W105">
        <v>1.44</v>
      </c>
      <c r="Z105">
        <v>1.91</v>
      </c>
      <c r="AA105">
        <v>2.1800000000000002</v>
      </c>
      <c r="AD105" t="s">
        <v>590</v>
      </c>
    </row>
    <row r="106" spans="1:31" ht="16" x14ac:dyDescent="0.2">
      <c r="A106" t="s">
        <v>484</v>
      </c>
      <c r="B106" t="s">
        <v>18</v>
      </c>
      <c r="C106" t="s">
        <v>118</v>
      </c>
      <c r="D106" t="s">
        <v>116</v>
      </c>
      <c r="E106" t="s">
        <v>384</v>
      </c>
      <c r="F106">
        <v>0.85</v>
      </c>
      <c r="G106">
        <f>(0.72+0.73+0.86)/3</f>
        <v>0.77</v>
      </c>
      <c r="H106">
        <v>169.3</v>
      </c>
      <c r="I106" t="s">
        <v>786</v>
      </c>
      <c r="J106" t="s">
        <v>348</v>
      </c>
      <c r="K106" t="s">
        <v>276</v>
      </c>
      <c r="L106" t="s">
        <v>352</v>
      </c>
      <c r="N106" t="s">
        <v>360</v>
      </c>
      <c r="O106" t="s">
        <v>270</v>
      </c>
      <c r="P106" t="s">
        <v>271</v>
      </c>
      <c r="Q106">
        <v>14.11</v>
      </c>
      <c r="R106">
        <v>12.32</v>
      </c>
      <c r="S106" t="s">
        <v>372</v>
      </c>
      <c r="T106">
        <v>0</v>
      </c>
      <c r="W106">
        <v>1.7</v>
      </c>
      <c r="Z106">
        <v>1.51</v>
      </c>
      <c r="AA106">
        <v>2.89</v>
      </c>
      <c r="AD106" t="s">
        <v>590</v>
      </c>
    </row>
    <row r="107" spans="1:31" ht="16" x14ac:dyDescent="0.2">
      <c r="A107" t="s">
        <v>485</v>
      </c>
      <c r="B107" t="s">
        <v>18</v>
      </c>
      <c r="C107" t="s">
        <v>118</v>
      </c>
      <c r="D107" t="s">
        <v>116</v>
      </c>
      <c r="E107" t="s">
        <v>384</v>
      </c>
      <c r="F107">
        <f>(0.69+0.66+0.68)/3</f>
        <v>0.67666666666666675</v>
      </c>
      <c r="G107">
        <f>(0.86+0.74+0.88)/3</f>
        <v>0.82666666666666666</v>
      </c>
      <c r="H107">
        <v>177.7</v>
      </c>
      <c r="I107" t="s">
        <v>295</v>
      </c>
      <c r="J107" t="s">
        <v>589</v>
      </c>
      <c r="K107" t="s">
        <v>276</v>
      </c>
      <c r="L107" t="s">
        <v>352</v>
      </c>
      <c r="N107" t="s">
        <v>277</v>
      </c>
      <c r="O107" t="s">
        <v>270</v>
      </c>
      <c r="P107" t="s">
        <v>271</v>
      </c>
      <c r="Q107">
        <v>9.44</v>
      </c>
      <c r="R107">
        <v>5.8</v>
      </c>
      <c r="S107" t="s">
        <v>455</v>
      </c>
      <c r="T107">
        <v>3</v>
      </c>
      <c r="U107">
        <v>0.31</v>
      </c>
      <c r="V107">
        <v>0.05</v>
      </c>
      <c r="W107">
        <v>1.49</v>
      </c>
      <c r="Z107">
        <v>1.37</v>
      </c>
      <c r="AA107">
        <v>1.66</v>
      </c>
      <c r="AD107" t="s">
        <v>590</v>
      </c>
    </row>
    <row r="108" spans="1:31" ht="16" x14ac:dyDescent="0.2">
      <c r="A108" t="s">
        <v>486</v>
      </c>
      <c r="B108" t="s">
        <v>18</v>
      </c>
      <c r="C108" t="s">
        <v>118</v>
      </c>
      <c r="D108" t="s">
        <v>116</v>
      </c>
      <c r="E108" t="s">
        <v>384</v>
      </c>
      <c r="F108">
        <f>(0.87+1.03+0.97)/3</f>
        <v>0.95666666666666667</v>
      </c>
      <c r="G108">
        <f>(0.84+0.73+0.86)/3</f>
        <v>0.80999999999999994</v>
      </c>
      <c r="H108">
        <v>156</v>
      </c>
      <c r="I108" t="s">
        <v>786</v>
      </c>
      <c r="J108" t="s">
        <v>348</v>
      </c>
      <c r="K108" t="s">
        <v>276</v>
      </c>
      <c r="L108" t="s">
        <v>340</v>
      </c>
      <c r="N108" t="s">
        <v>360</v>
      </c>
      <c r="O108" t="s">
        <v>270</v>
      </c>
      <c r="P108" t="s">
        <v>271</v>
      </c>
      <c r="Q108">
        <v>11.43</v>
      </c>
      <c r="R108">
        <v>9.08</v>
      </c>
      <c r="S108" t="s">
        <v>455</v>
      </c>
      <c r="T108">
        <v>1</v>
      </c>
      <c r="W108">
        <v>1.48</v>
      </c>
      <c r="Z108">
        <v>1.25</v>
      </c>
      <c r="AA108">
        <v>1.57</v>
      </c>
      <c r="AD108" t="s">
        <v>590</v>
      </c>
    </row>
    <row r="109" spans="1:31" ht="16" x14ac:dyDescent="0.2">
      <c r="A109" t="s">
        <v>487</v>
      </c>
      <c r="B109" t="s">
        <v>10</v>
      </c>
      <c r="C109" t="s">
        <v>120</v>
      </c>
      <c r="D109" t="s">
        <v>116</v>
      </c>
      <c r="E109" t="s">
        <v>321</v>
      </c>
      <c r="F109">
        <f>(0.9+0.85+0.89)/3</f>
        <v>0.88</v>
      </c>
      <c r="G109">
        <f>(0.83+0.9+0.81)/3</f>
        <v>0.84666666666666668</v>
      </c>
      <c r="H109">
        <v>123.3</v>
      </c>
      <c r="I109" t="s">
        <v>677</v>
      </c>
      <c r="J109" t="s">
        <v>589</v>
      </c>
      <c r="K109" t="s">
        <v>276</v>
      </c>
      <c r="L109" t="s">
        <v>268</v>
      </c>
      <c r="N109" t="s">
        <v>277</v>
      </c>
      <c r="O109" t="s">
        <v>324</v>
      </c>
      <c r="P109" t="s">
        <v>271</v>
      </c>
      <c r="Q109">
        <v>7.87</v>
      </c>
      <c r="R109">
        <v>5.58</v>
      </c>
      <c r="S109" t="s">
        <v>372</v>
      </c>
      <c r="T109">
        <v>0</v>
      </c>
      <c r="U109">
        <v>0.41</v>
      </c>
      <c r="V109">
        <v>0.06</v>
      </c>
      <c r="W109">
        <v>1.73</v>
      </c>
      <c r="X109" s="7"/>
      <c r="Z109">
        <v>2.2400000000000002</v>
      </c>
      <c r="AA109">
        <v>1.88</v>
      </c>
      <c r="AD109" t="s">
        <v>590</v>
      </c>
      <c r="AE109" s="7" t="s">
        <v>724</v>
      </c>
    </row>
    <row r="110" spans="1:31" ht="16" x14ac:dyDescent="0.2">
      <c r="A110" t="s">
        <v>489</v>
      </c>
      <c r="B110" t="s">
        <v>10</v>
      </c>
      <c r="C110" t="s">
        <v>120</v>
      </c>
      <c r="D110" t="s">
        <v>116</v>
      </c>
      <c r="E110" t="s">
        <v>321</v>
      </c>
      <c r="F110">
        <f>(1.11+1.11+1.18)/3</f>
        <v>1.1333333333333335</v>
      </c>
      <c r="G110">
        <f>(0.82+0.89+0.86)/3</f>
        <v>0.85666666666666658</v>
      </c>
      <c r="H110">
        <v>147.69999999999999</v>
      </c>
      <c r="I110" t="s">
        <v>786</v>
      </c>
      <c r="J110" t="s">
        <v>589</v>
      </c>
      <c r="K110" t="s">
        <v>276</v>
      </c>
      <c r="L110" t="s">
        <v>268</v>
      </c>
      <c r="N110" t="s">
        <v>360</v>
      </c>
      <c r="O110" t="s">
        <v>324</v>
      </c>
      <c r="P110" t="s">
        <v>271</v>
      </c>
      <c r="Q110">
        <v>10.24</v>
      </c>
      <c r="R110">
        <v>8.1999999999999993</v>
      </c>
      <c r="S110" t="s">
        <v>372</v>
      </c>
      <c r="T110">
        <v>0</v>
      </c>
      <c r="U110">
        <v>0.34</v>
      </c>
      <c r="V110">
        <v>0.04</v>
      </c>
      <c r="W110">
        <v>1.94</v>
      </c>
      <c r="X110" s="7"/>
      <c r="Z110">
        <v>2.0499999999999998</v>
      </c>
      <c r="AA110">
        <v>2.41</v>
      </c>
      <c r="AD110" t="s">
        <v>590</v>
      </c>
      <c r="AE110" s="7" t="s">
        <v>724</v>
      </c>
    </row>
    <row r="111" spans="1:31" ht="16" x14ac:dyDescent="0.2">
      <c r="A111" t="s">
        <v>490</v>
      </c>
      <c r="B111" t="s">
        <v>10</v>
      </c>
      <c r="C111" t="s">
        <v>120</v>
      </c>
      <c r="D111" t="s">
        <v>116</v>
      </c>
      <c r="E111" t="s">
        <v>321</v>
      </c>
      <c r="F111">
        <f>(1.09+1.11+1.1)/3</f>
        <v>1.1000000000000001</v>
      </c>
      <c r="G111">
        <f>(0.81+0.83+0.86)/3</f>
        <v>0.83333333333333337</v>
      </c>
      <c r="H111">
        <v>146.69999999999999</v>
      </c>
      <c r="I111" t="s">
        <v>786</v>
      </c>
      <c r="J111" t="s">
        <v>589</v>
      </c>
      <c r="K111" t="s">
        <v>276</v>
      </c>
      <c r="L111" t="s">
        <v>268</v>
      </c>
      <c r="N111" t="s">
        <v>277</v>
      </c>
      <c r="O111" t="s">
        <v>324</v>
      </c>
      <c r="P111" t="s">
        <v>271</v>
      </c>
      <c r="Q111">
        <v>7.91</v>
      </c>
      <c r="R111">
        <v>6.14</v>
      </c>
      <c r="S111" t="s">
        <v>372</v>
      </c>
      <c r="T111">
        <v>0</v>
      </c>
      <c r="U111">
        <v>0.41</v>
      </c>
      <c r="V111">
        <v>0.05</v>
      </c>
      <c r="W111">
        <v>1.68</v>
      </c>
      <c r="X111" s="7"/>
      <c r="Z111">
        <v>1.81</v>
      </c>
      <c r="AA111">
        <v>1.87</v>
      </c>
      <c r="AD111" t="s">
        <v>590</v>
      </c>
      <c r="AE111" s="7" t="s">
        <v>724</v>
      </c>
    </row>
    <row r="112" spans="1:31" ht="16" x14ac:dyDescent="0.2">
      <c r="A112" t="s">
        <v>491</v>
      </c>
      <c r="B112" t="s">
        <v>10</v>
      </c>
      <c r="C112" t="s">
        <v>120</v>
      </c>
      <c r="D112" t="s">
        <v>116</v>
      </c>
      <c r="E112" t="s">
        <v>321</v>
      </c>
      <c r="F112">
        <v>0.9</v>
      </c>
      <c r="G112">
        <f>(0.82+0.9+0.81)/3</f>
        <v>0.84333333333333338</v>
      </c>
      <c r="H112">
        <v>202</v>
      </c>
      <c r="I112" t="s">
        <v>363</v>
      </c>
      <c r="J112" t="s">
        <v>589</v>
      </c>
      <c r="K112" t="s">
        <v>276</v>
      </c>
      <c r="L112" t="s">
        <v>268</v>
      </c>
      <c r="N112" t="s">
        <v>277</v>
      </c>
      <c r="O112" t="s">
        <v>324</v>
      </c>
      <c r="P112" t="s">
        <v>271</v>
      </c>
      <c r="Q112">
        <v>8.06</v>
      </c>
      <c r="R112">
        <v>6.76</v>
      </c>
      <c r="S112" t="s">
        <v>372</v>
      </c>
      <c r="T112">
        <v>0</v>
      </c>
      <c r="U112">
        <v>0.42</v>
      </c>
      <c r="V112">
        <v>0.04</v>
      </c>
      <c r="W112">
        <v>1.67</v>
      </c>
      <c r="Z112">
        <v>1.47</v>
      </c>
      <c r="AA112">
        <v>1.68</v>
      </c>
      <c r="AD112" t="s">
        <v>590</v>
      </c>
    </row>
    <row r="113" spans="1:31" ht="16" x14ac:dyDescent="0.2">
      <c r="A113" t="s">
        <v>492</v>
      </c>
      <c r="B113" t="s">
        <v>10</v>
      </c>
      <c r="C113" t="s">
        <v>120</v>
      </c>
      <c r="D113" t="s">
        <v>116</v>
      </c>
      <c r="E113" t="s">
        <v>384</v>
      </c>
      <c r="F113">
        <f>(0.89+0.86+0.97)/3</f>
        <v>0.90666666666666662</v>
      </c>
      <c r="G113">
        <f>(0.81+0.73+0.78)/3</f>
        <v>0.77333333333333343</v>
      </c>
      <c r="H113">
        <v>241.7</v>
      </c>
      <c r="I113" t="s">
        <v>326</v>
      </c>
      <c r="J113" t="s">
        <v>589</v>
      </c>
      <c r="K113" t="s">
        <v>276</v>
      </c>
      <c r="L113" t="s">
        <v>268</v>
      </c>
      <c r="N113" t="s">
        <v>277</v>
      </c>
      <c r="O113" t="s">
        <v>324</v>
      </c>
      <c r="P113" t="s">
        <v>271</v>
      </c>
      <c r="Q113">
        <v>9.58</v>
      </c>
      <c r="R113">
        <v>7.32</v>
      </c>
      <c r="S113" t="s">
        <v>372</v>
      </c>
      <c r="T113">
        <v>0</v>
      </c>
      <c r="U113">
        <v>0.35</v>
      </c>
      <c r="V113">
        <v>0.05</v>
      </c>
      <c r="W113">
        <v>1.45</v>
      </c>
      <c r="Z113">
        <v>1.56</v>
      </c>
      <c r="AA113">
        <v>1.82</v>
      </c>
      <c r="AD113" t="s">
        <v>590</v>
      </c>
    </row>
    <row r="114" spans="1:31" ht="16" x14ac:dyDescent="0.2">
      <c r="A114" t="s">
        <v>493</v>
      </c>
      <c r="B114" t="s">
        <v>10</v>
      </c>
      <c r="C114" t="s">
        <v>120</v>
      </c>
      <c r="D114" t="s">
        <v>116</v>
      </c>
      <c r="E114" t="s">
        <v>321</v>
      </c>
      <c r="F114">
        <f>(0.8+0.82+0.79)/3</f>
        <v>0.80333333333333334</v>
      </c>
      <c r="G114">
        <f>(0.75+0.7+0.79)/3</f>
        <v>0.7466666666666667</v>
      </c>
      <c r="H114">
        <v>223.7</v>
      </c>
      <c r="I114" t="s">
        <v>326</v>
      </c>
      <c r="J114" t="s">
        <v>589</v>
      </c>
      <c r="K114" t="s">
        <v>276</v>
      </c>
      <c r="L114" t="s">
        <v>268</v>
      </c>
      <c r="N114" t="s">
        <v>360</v>
      </c>
      <c r="O114" t="s">
        <v>324</v>
      </c>
      <c r="P114" t="s">
        <v>271</v>
      </c>
      <c r="Q114">
        <v>9.41</v>
      </c>
      <c r="R114">
        <v>6.77</v>
      </c>
      <c r="S114" t="s">
        <v>372</v>
      </c>
      <c r="T114">
        <v>0</v>
      </c>
      <c r="U114">
        <v>0.41</v>
      </c>
      <c r="V114">
        <v>0.06</v>
      </c>
      <c r="W114">
        <v>1.49</v>
      </c>
      <c r="Z114">
        <v>1.67</v>
      </c>
      <c r="AA114">
        <v>2.13</v>
      </c>
      <c r="AD114" t="s">
        <v>590</v>
      </c>
    </row>
    <row r="115" spans="1:31" ht="16" x14ac:dyDescent="0.2">
      <c r="A115" t="s">
        <v>494</v>
      </c>
      <c r="B115" t="s">
        <v>18</v>
      </c>
      <c r="C115" t="s">
        <v>123</v>
      </c>
      <c r="D115" t="s">
        <v>116</v>
      </c>
      <c r="E115" t="s">
        <v>384</v>
      </c>
      <c r="F115">
        <f>(1.01+0.98+0.98)/3</f>
        <v>0.98999999999999988</v>
      </c>
      <c r="G115">
        <f>(0.82+0.9+0.86)/3</f>
        <v>0.86</v>
      </c>
      <c r="H115">
        <v>142.69999999999999</v>
      </c>
      <c r="I115" t="s">
        <v>786</v>
      </c>
      <c r="J115" t="s">
        <v>348</v>
      </c>
      <c r="K115" t="s">
        <v>339</v>
      </c>
      <c r="L115" t="s">
        <v>352</v>
      </c>
      <c r="N115" t="s">
        <v>269</v>
      </c>
      <c r="O115" t="s">
        <v>270</v>
      </c>
      <c r="P115" t="s">
        <v>271</v>
      </c>
      <c r="Q115">
        <v>12.13</v>
      </c>
      <c r="R115">
        <v>9.6999999999999993</v>
      </c>
      <c r="S115" t="s">
        <v>372</v>
      </c>
      <c r="T115">
        <v>1</v>
      </c>
      <c r="U115">
        <v>0.22</v>
      </c>
      <c r="V115">
        <v>0.08</v>
      </c>
      <c r="W115">
        <v>2.0299999999999998</v>
      </c>
      <c r="Z115">
        <v>1.84</v>
      </c>
      <c r="AA115">
        <v>2.34</v>
      </c>
      <c r="AD115" t="s">
        <v>590</v>
      </c>
    </row>
    <row r="116" spans="1:31" ht="16" x14ac:dyDescent="0.2">
      <c r="A116" t="s">
        <v>495</v>
      </c>
      <c r="B116" t="s">
        <v>18</v>
      </c>
      <c r="C116" t="s">
        <v>123</v>
      </c>
      <c r="D116" t="s">
        <v>116</v>
      </c>
      <c r="E116" t="s">
        <v>384</v>
      </c>
      <c r="F116">
        <f>(1.42+1.58+1.63)/3</f>
        <v>1.5433333333333332</v>
      </c>
      <c r="G116">
        <f>(1.02+0.93+0.96)/3</f>
        <v>0.97000000000000008</v>
      </c>
      <c r="H116">
        <v>190.3</v>
      </c>
      <c r="I116" t="s">
        <v>348</v>
      </c>
      <c r="J116" t="s">
        <v>606</v>
      </c>
      <c r="K116" t="s">
        <v>339</v>
      </c>
      <c r="L116" t="s">
        <v>340</v>
      </c>
      <c r="N116" t="s">
        <v>269</v>
      </c>
      <c r="O116" t="s">
        <v>270</v>
      </c>
      <c r="P116" t="s">
        <v>271</v>
      </c>
      <c r="Q116">
        <v>17.690000000000001</v>
      </c>
      <c r="R116">
        <v>14.84</v>
      </c>
      <c r="S116" t="s">
        <v>451</v>
      </c>
      <c r="T116">
        <v>2</v>
      </c>
      <c r="U116">
        <v>0.39</v>
      </c>
      <c r="V116">
        <v>7.0000000000000007E-2</v>
      </c>
      <c r="W116">
        <v>2.2999999999999998</v>
      </c>
      <c r="AD116" t="s">
        <v>590</v>
      </c>
    </row>
    <row r="117" spans="1:31" ht="16" x14ac:dyDescent="0.2">
      <c r="A117" t="s">
        <v>496</v>
      </c>
      <c r="B117" t="s">
        <v>18</v>
      </c>
      <c r="C117" t="s">
        <v>123</v>
      </c>
      <c r="D117" t="s">
        <v>116</v>
      </c>
      <c r="E117" t="s">
        <v>384</v>
      </c>
      <c r="F117">
        <f>(1.25+1.2+1.12)/3</f>
        <v>1.1900000000000002</v>
      </c>
      <c r="G117">
        <f>(0.98+0.82+1.01)/3</f>
        <v>0.93666666666666654</v>
      </c>
      <c r="H117">
        <v>194.3</v>
      </c>
      <c r="I117" t="s">
        <v>363</v>
      </c>
      <c r="J117" t="s">
        <v>606</v>
      </c>
      <c r="K117" t="s">
        <v>276</v>
      </c>
      <c r="L117" t="s">
        <v>352</v>
      </c>
      <c r="N117" t="s">
        <v>269</v>
      </c>
      <c r="O117" t="s">
        <v>270</v>
      </c>
      <c r="P117" t="s">
        <v>271</v>
      </c>
      <c r="Q117">
        <v>12.67</v>
      </c>
      <c r="R117">
        <v>10.8</v>
      </c>
      <c r="S117" t="s">
        <v>451</v>
      </c>
      <c r="T117">
        <v>0</v>
      </c>
      <c r="U117">
        <v>0.65</v>
      </c>
      <c r="V117">
        <v>0.08</v>
      </c>
      <c r="W117">
        <v>2.2400000000000002</v>
      </c>
      <c r="Z117">
        <v>2.44</v>
      </c>
      <c r="AA117">
        <v>2.31</v>
      </c>
      <c r="AD117" t="s">
        <v>590</v>
      </c>
    </row>
    <row r="118" spans="1:31" ht="16" x14ac:dyDescent="0.2">
      <c r="A118" t="s">
        <v>497</v>
      </c>
      <c r="B118" t="s">
        <v>18</v>
      </c>
      <c r="C118" t="s">
        <v>123</v>
      </c>
      <c r="D118" t="s">
        <v>116</v>
      </c>
      <c r="E118" t="s">
        <v>384</v>
      </c>
      <c r="F118">
        <f>(1.4+1.41+1.33)/3</f>
        <v>1.38</v>
      </c>
      <c r="G118">
        <f>(1.03+1.08+1.09)/3</f>
        <v>1.0666666666666667</v>
      </c>
      <c r="H118">
        <v>207</v>
      </c>
      <c r="I118" t="s">
        <v>363</v>
      </c>
      <c r="J118" t="s">
        <v>606</v>
      </c>
      <c r="K118" t="s">
        <v>276</v>
      </c>
      <c r="L118" t="s">
        <v>352</v>
      </c>
      <c r="N118" t="s">
        <v>269</v>
      </c>
      <c r="O118" t="s">
        <v>270</v>
      </c>
      <c r="P118" t="s">
        <v>271</v>
      </c>
      <c r="Q118">
        <v>13.72</v>
      </c>
      <c r="R118">
        <v>11.93</v>
      </c>
      <c r="S118" t="s">
        <v>498</v>
      </c>
      <c r="T118">
        <v>3</v>
      </c>
      <c r="U118">
        <v>0.72</v>
      </c>
      <c r="V118">
        <v>0.08</v>
      </c>
      <c r="W118">
        <v>2.23</v>
      </c>
      <c r="Z118">
        <v>2.68</v>
      </c>
      <c r="AA118">
        <v>2.25</v>
      </c>
      <c r="AD118" t="s">
        <v>590</v>
      </c>
    </row>
    <row r="119" spans="1:31" ht="16" x14ac:dyDescent="0.2">
      <c r="A119" t="s">
        <v>499</v>
      </c>
      <c r="B119" t="s">
        <v>18</v>
      </c>
      <c r="C119" t="s">
        <v>127</v>
      </c>
      <c r="D119" t="s">
        <v>125</v>
      </c>
      <c r="E119" t="s">
        <v>384</v>
      </c>
      <c r="F119">
        <f>(0.92+0.84+0.87)/3</f>
        <v>0.87666666666666659</v>
      </c>
      <c r="G119">
        <f>(0.77+0.82+0.79)/3</f>
        <v>0.79333333333333333</v>
      </c>
      <c r="H119">
        <v>171</v>
      </c>
      <c r="I119" t="s">
        <v>295</v>
      </c>
      <c r="J119" t="s">
        <v>348</v>
      </c>
      <c r="K119" t="s">
        <v>339</v>
      </c>
      <c r="L119" t="s">
        <v>352</v>
      </c>
      <c r="N119" t="s">
        <v>269</v>
      </c>
      <c r="O119" t="s">
        <v>270</v>
      </c>
      <c r="P119" t="s">
        <v>271</v>
      </c>
      <c r="Q119">
        <v>6.67</v>
      </c>
      <c r="R119">
        <v>5.32</v>
      </c>
      <c r="S119" t="s">
        <v>451</v>
      </c>
      <c r="T119">
        <v>3</v>
      </c>
      <c r="U119">
        <v>0.22</v>
      </c>
      <c r="V119">
        <v>0.04</v>
      </c>
      <c r="W119">
        <v>1.71</v>
      </c>
      <c r="Z119">
        <v>1.3</v>
      </c>
      <c r="AA119">
        <v>1.89</v>
      </c>
      <c r="AD119" t="s">
        <v>590</v>
      </c>
    </row>
    <row r="120" spans="1:31" ht="16" x14ac:dyDescent="0.2">
      <c r="A120" t="s">
        <v>500</v>
      </c>
      <c r="B120" t="s">
        <v>10</v>
      </c>
      <c r="C120" t="s">
        <v>129</v>
      </c>
      <c r="D120" t="s">
        <v>14</v>
      </c>
      <c r="E120" t="s">
        <v>384</v>
      </c>
      <c r="F120">
        <f>(1.23+1.39+1.3)/3</f>
        <v>1.3066666666666666</v>
      </c>
      <c r="G120">
        <f>(0.93+1.03+0.82)/3</f>
        <v>0.92666666666666664</v>
      </c>
      <c r="H120">
        <v>225</v>
      </c>
      <c r="I120" t="s">
        <v>326</v>
      </c>
      <c r="J120" t="s">
        <v>348</v>
      </c>
      <c r="K120" t="s">
        <v>276</v>
      </c>
      <c r="L120" t="s">
        <v>352</v>
      </c>
      <c r="N120" t="s">
        <v>360</v>
      </c>
      <c r="O120" t="s">
        <v>270</v>
      </c>
      <c r="P120" t="s">
        <v>271</v>
      </c>
      <c r="Q120">
        <v>11.89</v>
      </c>
      <c r="R120">
        <v>10.09</v>
      </c>
      <c r="S120" t="s">
        <v>372</v>
      </c>
      <c r="T120">
        <v>3</v>
      </c>
      <c r="U120">
        <v>0.5</v>
      </c>
      <c r="V120">
        <v>0.05</v>
      </c>
      <c r="W120">
        <v>2.02</v>
      </c>
      <c r="Z120">
        <v>1.77</v>
      </c>
      <c r="AA120">
        <v>4.3600000000000003</v>
      </c>
      <c r="AD120" t="s">
        <v>590</v>
      </c>
    </row>
    <row r="121" spans="1:31" ht="16" x14ac:dyDescent="0.2">
      <c r="A121" t="s">
        <v>501</v>
      </c>
      <c r="B121" t="s">
        <v>10</v>
      </c>
      <c r="C121" t="s">
        <v>129</v>
      </c>
      <c r="D121" t="s">
        <v>14</v>
      </c>
      <c r="E121" t="s">
        <v>384</v>
      </c>
      <c r="F121">
        <v>1</v>
      </c>
      <c r="G121">
        <f>(0.81+0.88+0.83)/3</f>
        <v>0.84</v>
      </c>
      <c r="H121">
        <v>231</v>
      </c>
      <c r="I121" t="s">
        <v>326</v>
      </c>
      <c r="J121" t="s">
        <v>348</v>
      </c>
      <c r="K121" t="s">
        <v>276</v>
      </c>
      <c r="L121" t="s">
        <v>352</v>
      </c>
      <c r="N121" t="s">
        <v>269</v>
      </c>
      <c r="O121" t="s">
        <v>270</v>
      </c>
      <c r="P121" t="s">
        <v>271</v>
      </c>
      <c r="Q121">
        <v>12.56</v>
      </c>
      <c r="R121">
        <v>10.61</v>
      </c>
      <c r="S121" t="s">
        <v>372</v>
      </c>
      <c r="T121">
        <v>1</v>
      </c>
      <c r="U121">
        <v>0.63</v>
      </c>
      <c r="V121">
        <v>7.0000000000000007E-2</v>
      </c>
      <c r="W121">
        <v>2.85</v>
      </c>
      <c r="Z121">
        <v>1.54</v>
      </c>
      <c r="AA121">
        <v>4.9800000000000004</v>
      </c>
      <c r="AD121" t="s">
        <v>590</v>
      </c>
    </row>
    <row r="122" spans="1:31" ht="16" x14ac:dyDescent="0.2">
      <c r="A122" t="s">
        <v>502</v>
      </c>
      <c r="B122" t="s">
        <v>10</v>
      </c>
      <c r="C122" t="s">
        <v>129</v>
      </c>
      <c r="D122" t="s">
        <v>14</v>
      </c>
      <c r="E122" t="s">
        <v>321</v>
      </c>
      <c r="F122">
        <f>(1.14+1.12+1.17)/3</f>
        <v>1.1433333333333333</v>
      </c>
      <c r="G122">
        <f>(0.78+0.84+0.86)/3</f>
        <v>0.82666666666666666</v>
      </c>
      <c r="H122">
        <v>215.7</v>
      </c>
      <c r="I122" t="s">
        <v>326</v>
      </c>
      <c r="J122" t="s">
        <v>589</v>
      </c>
      <c r="K122" t="s">
        <v>276</v>
      </c>
      <c r="L122" t="s">
        <v>268</v>
      </c>
      <c r="N122" t="s">
        <v>360</v>
      </c>
      <c r="O122" t="s">
        <v>270</v>
      </c>
      <c r="P122" t="s">
        <v>271</v>
      </c>
      <c r="Q122">
        <v>7.94</v>
      </c>
      <c r="R122">
        <v>6.33</v>
      </c>
      <c r="S122" t="s">
        <v>372</v>
      </c>
      <c r="T122">
        <v>0</v>
      </c>
      <c r="U122">
        <v>0.5</v>
      </c>
      <c r="V122">
        <v>0.04</v>
      </c>
      <c r="W122">
        <v>1.53</v>
      </c>
      <c r="Z122">
        <v>1.51</v>
      </c>
      <c r="AA122">
        <v>2.1</v>
      </c>
      <c r="AD122" t="s">
        <v>590</v>
      </c>
    </row>
    <row r="123" spans="1:31" ht="16" x14ac:dyDescent="0.2">
      <c r="A123" t="s">
        <v>503</v>
      </c>
      <c r="B123" t="s">
        <v>10</v>
      </c>
      <c r="C123" t="s">
        <v>132</v>
      </c>
      <c r="D123" t="s">
        <v>504</v>
      </c>
      <c r="E123" t="s">
        <v>384</v>
      </c>
      <c r="F123">
        <f>(1.32+1.29+1.22)/3</f>
        <v>1.2766666666666666</v>
      </c>
      <c r="G123">
        <f>(0.86+0.79+0.82)/3</f>
        <v>0.82333333333333325</v>
      </c>
      <c r="H123">
        <v>221</v>
      </c>
      <c r="I123" t="s">
        <v>326</v>
      </c>
      <c r="J123" t="s">
        <v>589</v>
      </c>
      <c r="K123" t="s">
        <v>276</v>
      </c>
      <c r="L123" t="s">
        <v>268</v>
      </c>
      <c r="N123" t="s">
        <v>360</v>
      </c>
      <c r="O123" t="s">
        <v>270</v>
      </c>
      <c r="P123" t="s">
        <v>271</v>
      </c>
      <c r="Q123">
        <v>10.67</v>
      </c>
      <c r="R123">
        <v>8.36</v>
      </c>
      <c r="S123" t="s">
        <v>372</v>
      </c>
      <c r="T123">
        <v>1</v>
      </c>
      <c r="U123">
        <v>0.52</v>
      </c>
      <c r="V123">
        <v>0.06</v>
      </c>
      <c r="W123">
        <v>1.66</v>
      </c>
      <c r="Z123">
        <v>1.72</v>
      </c>
      <c r="AA123">
        <v>4.67</v>
      </c>
      <c r="AD123" t="s">
        <v>590</v>
      </c>
    </row>
    <row r="124" spans="1:31" ht="16" x14ac:dyDescent="0.2">
      <c r="A124" t="s">
        <v>505</v>
      </c>
      <c r="B124" t="s">
        <v>10</v>
      </c>
      <c r="C124" t="s">
        <v>132</v>
      </c>
      <c r="D124" t="s">
        <v>504</v>
      </c>
      <c r="E124" t="s">
        <v>384</v>
      </c>
      <c r="F124">
        <f>(1.13+1.18+1.02)/3</f>
        <v>1.1099999999999999</v>
      </c>
      <c r="G124">
        <f>(0.75+0.78+0.84)/3</f>
        <v>0.79</v>
      </c>
      <c r="H124">
        <v>175.7</v>
      </c>
      <c r="I124" t="s">
        <v>295</v>
      </c>
      <c r="J124" t="s">
        <v>589</v>
      </c>
      <c r="K124" t="s">
        <v>276</v>
      </c>
      <c r="L124" t="s">
        <v>268</v>
      </c>
      <c r="N124" t="s">
        <v>360</v>
      </c>
      <c r="O124" t="s">
        <v>270</v>
      </c>
      <c r="P124" t="s">
        <v>271</v>
      </c>
      <c r="Q124">
        <v>10.39</v>
      </c>
      <c r="R124">
        <v>9.1</v>
      </c>
      <c r="S124" t="s">
        <v>372</v>
      </c>
      <c r="T124">
        <v>0</v>
      </c>
      <c r="U124">
        <v>0.51</v>
      </c>
      <c r="V124">
        <v>0.06</v>
      </c>
      <c r="W124">
        <v>1.78</v>
      </c>
      <c r="Z124">
        <v>1.6</v>
      </c>
      <c r="AA124">
        <v>3.09</v>
      </c>
      <c r="AD124" t="s">
        <v>590</v>
      </c>
    </row>
    <row r="125" spans="1:31" ht="16" x14ac:dyDescent="0.2">
      <c r="A125" t="s">
        <v>506</v>
      </c>
      <c r="B125" t="s">
        <v>10</v>
      </c>
      <c r="C125" t="s">
        <v>132</v>
      </c>
      <c r="D125" t="s">
        <v>504</v>
      </c>
      <c r="E125" t="s">
        <v>384</v>
      </c>
      <c r="F125">
        <f>(0.81+0.85+1.01)/3</f>
        <v>0.89</v>
      </c>
      <c r="G125">
        <f>(0.79+0.82+0.8)/3</f>
        <v>0.80333333333333334</v>
      </c>
      <c r="H125">
        <v>205</v>
      </c>
      <c r="I125" t="s">
        <v>326</v>
      </c>
      <c r="J125" t="s">
        <v>589</v>
      </c>
      <c r="K125" t="s">
        <v>276</v>
      </c>
      <c r="L125" t="s">
        <v>268</v>
      </c>
      <c r="N125" t="s">
        <v>269</v>
      </c>
      <c r="O125" t="s">
        <v>270</v>
      </c>
      <c r="P125" t="s">
        <v>271</v>
      </c>
      <c r="Q125">
        <v>10.11</v>
      </c>
      <c r="R125">
        <v>8.34</v>
      </c>
      <c r="S125" t="s">
        <v>372</v>
      </c>
      <c r="T125">
        <v>0</v>
      </c>
      <c r="U125">
        <v>0.31</v>
      </c>
      <c r="V125">
        <v>0.06</v>
      </c>
      <c r="W125">
        <v>1.61</v>
      </c>
      <c r="Z125">
        <v>1.26</v>
      </c>
      <c r="AA125">
        <v>2.98</v>
      </c>
      <c r="AD125" t="s">
        <v>590</v>
      </c>
    </row>
    <row r="126" spans="1:31" ht="16" x14ac:dyDescent="0.2">
      <c r="A126" t="s">
        <v>507</v>
      </c>
      <c r="B126" t="s">
        <v>10</v>
      </c>
      <c r="C126" t="s">
        <v>136</v>
      </c>
      <c r="D126" t="s">
        <v>508</v>
      </c>
      <c r="E126" t="s">
        <v>321</v>
      </c>
      <c r="F126">
        <f>(1.46+1.52+1.54)/3</f>
        <v>1.5066666666666666</v>
      </c>
      <c r="G126">
        <f>(1.04+1.07+1.02)/3</f>
        <v>1.0433333333333334</v>
      </c>
      <c r="H126">
        <v>163.30000000000001</v>
      </c>
      <c r="I126" t="s">
        <v>786</v>
      </c>
      <c r="J126" t="s">
        <v>589</v>
      </c>
      <c r="K126" t="s">
        <v>276</v>
      </c>
      <c r="L126" t="s">
        <v>268</v>
      </c>
      <c r="N126" t="s">
        <v>269</v>
      </c>
      <c r="O126" t="s">
        <v>270</v>
      </c>
      <c r="P126" t="s">
        <v>271</v>
      </c>
      <c r="Q126">
        <v>14.72</v>
      </c>
      <c r="R126">
        <v>11.57</v>
      </c>
      <c r="S126" t="s">
        <v>372</v>
      </c>
      <c r="T126">
        <v>0</v>
      </c>
      <c r="U126">
        <v>0.52</v>
      </c>
      <c r="V126">
        <v>7.0000000000000007E-2</v>
      </c>
      <c r="W126">
        <v>2.48</v>
      </c>
      <c r="X126" s="5"/>
      <c r="Z126">
        <v>2.48</v>
      </c>
      <c r="AA126">
        <v>2.64</v>
      </c>
      <c r="AD126" t="s">
        <v>590</v>
      </c>
      <c r="AE126" s="5" t="s">
        <v>725</v>
      </c>
    </row>
    <row r="127" spans="1:31" ht="16" x14ac:dyDescent="0.2">
      <c r="A127" t="s">
        <v>510</v>
      </c>
      <c r="B127" t="s">
        <v>10</v>
      </c>
      <c r="C127" t="s">
        <v>136</v>
      </c>
      <c r="D127" t="s">
        <v>508</v>
      </c>
      <c r="E127" t="s">
        <v>384</v>
      </c>
      <c r="F127">
        <f>(1.4+1.51+1.39)/3</f>
        <v>1.4333333333333333</v>
      </c>
      <c r="G127">
        <f>(0.75+0.96+0.83)/3</f>
        <v>0.84666666666666668</v>
      </c>
      <c r="H127">
        <v>184.3</v>
      </c>
      <c r="I127" t="s">
        <v>295</v>
      </c>
      <c r="J127" t="s">
        <v>589</v>
      </c>
      <c r="K127" t="s">
        <v>276</v>
      </c>
      <c r="L127" t="s">
        <v>352</v>
      </c>
      <c r="N127" t="s">
        <v>269</v>
      </c>
      <c r="O127" t="s">
        <v>270</v>
      </c>
      <c r="P127" t="s">
        <v>271</v>
      </c>
      <c r="Q127">
        <v>13.75</v>
      </c>
      <c r="R127">
        <v>10.92</v>
      </c>
      <c r="S127" t="s">
        <v>372</v>
      </c>
      <c r="T127">
        <v>1</v>
      </c>
      <c r="U127">
        <v>0.42</v>
      </c>
      <c r="V127">
        <v>0.08</v>
      </c>
      <c r="W127">
        <v>2.31</v>
      </c>
      <c r="X127" s="5"/>
      <c r="Z127">
        <v>2.1800000000000002</v>
      </c>
      <c r="AA127">
        <v>4.08</v>
      </c>
      <c r="AD127" t="s">
        <v>590</v>
      </c>
      <c r="AE127" s="5" t="s">
        <v>725</v>
      </c>
    </row>
    <row r="128" spans="1:31" ht="16" x14ac:dyDescent="0.2">
      <c r="A128" t="s">
        <v>511</v>
      </c>
      <c r="B128" t="s">
        <v>10</v>
      </c>
      <c r="C128" t="s">
        <v>136</v>
      </c>
      <c r="D128" t="s">
        <v>508</v>
      </c>
      <c r="E128" t="s">
        <v>384</v>
      </c>
      <c r="F128">
        <f>(1.2+1.3+1.31)/3</f>
        <v>1.27</v>
      </c>
      <c r="G128">
        <f>(1.11+1.18+1.09)/3</f>
        <v>1.1266666666666667</v>
      </c>
      <c r="H128">
        <v>155.30000000000001</v>
      </c>
      <c r="I128" t="s">
        <v>786</v>
      </c>
      <c r="J128" t="s">
        <v>589</v>
      </c>
      <c r="K128" t="s">
        <v>276</v>
      </c>
      <c r="L128" t="s">
        <v>268</v>
      </c>
      <c r="N128" t="s">
        <v>360</v>
      </c>
      <c r="O128" t="s">
        <v>324</v>
      </c>
      <c r="P128" t="s">
        <v>271</v>
      </c>
      <c r="Q128">
        <v>14.09</v>
      </c>
      <c r="R128">
        <v>11.06</v>
      </c>
      <c r="S128" t="s">
        <v>372</v>
      </c>
      <c r="T128">
        <v>0</v>
      </c>
      <c r="U128">
        <v>0.49</v>
      </c>
      <c r="V128">
        <v>0.08</v>
      </c>
      <c r="W128">
        <v>2.21</v>
      </c>
      <c r="X128" s="5"/>
      <c r="Z128">
        <v>2.92</v>
      </c>
      <c r="AA128">
        <v>2.67</v>
      </c>
      <c r="AD128" t="s">
        <v>590</v>
      </c>
      <c r="AE128" s="5" t="s">
        <v>725</v>
      </c>
    </row>
    <row r="129" spans="1:31" ht="16" x14ac:dyDescent="0.2">
      <c r="A129" t="s">
        <v>512</v>
      </c>
      <c r="B129" t="s">
        <v>10</v>
      </c>
      <c r="C129" t="s">
        <v>139</v>
      </c>
      <c r="D129" t="s">
        <v>513</v>
      </c>
      <c r="E129" t="s">
        <v>384</v>
      </c>
      <c r="F129">
        <f>(1.27+1.58+1.43)/3</f>
        <v>1.4266666666666667</v>
      </c>
      <c r="G129">
        <f>(0.74+0.92+0.9)/3</f>
        <v>0.85333333333333339</v>
      </c>
      <c r="H129">
        <v>180.7</v>
      </c>
      <c r="I129" t="s">
        <v>295</v>
      </c>
      <c r="J129" t="s">
        <v>589</v>
      </c>
      <c r="K129" t="s">
        <v>276</v>
      </c>
      <c r="L129" t="s">
        <v>352</v>
      </c>
      <c r="N129" t="s">
        <v>360</v>
      </c>
      <c r="O129" t="s">
        <v>270</v>
      </c>
      <c r="P129" t="s">
        <v>271</v>
      </c>
      <c r="Q129">
        <v>12.76</v>
      </c>
      <c r="R129">
        <v>9.5</v>
      </c>
      <c r="S129" t="s">
        <v>372</v>
      </c>
      <c r="T129">
        <v>1</v>
      </c>
      <c r="U129">
        <v>0.44</v>
      </c>
      <c r="V129">
        <v>0.06</v>
      </c>
      <c r="W129">
        <v>2.09</v>
      </c>
      <c r="X129" s="5"/>
      <c r="Z129">
        <v>2.29</v>
      </c>
      <c r="AA129">
        <v>4.2699999999999996</v>
      </c>
      <c r="AD129" t="s">
        <v>590</v>
      </c>
      <c r="AE129" s="5" t="s">
        <v>725</v>
      </c>
    </row>
    <row r="130" spans="1:31" ht="16" x14ac:dyDescent="0.2">
      <c r="A130" t="s">
        <v>514</v>
      </c>
      <c r="B130" t="s">
        <v>10</v>
      </c>
      <c r="C130" t="s">
        <v>139</v>
      </c>
      <c r="D130" t="s">
        <v>513</v>
      </c>
      <c r="E130" t="s">
        <v>384</v>
      </c>
      <c r="F130">
        <f>(1.7+1.52+1.68)/3</f>
        <v>1.6333333333333331</v>
      </c>
      <c r="G130">
        <f>(0.82+0.86+0.81)/3</f>
        <v>0.83000000000000007</v>
      </c>
      <c r="H130">
        <v>215</v>
      </c>
      <c r="I130" t="s">
        <v>326</v>
      </c>
      <c r="J130" t="s">
        <v>589</v>
      </c>
      <c r="K130" t="s">
        <v>276</v>
      </c>
      <c r="L130" t="s">
        <v>268</v>
      </c>
      <c r="N130" t="s">
        <v>360</v>
      </c>
      <c r="O130" t="s">
        <v>270</v>
      </c>
      <c r="P130" t="s">
        <v>271</v>
      </c>
      <c r="Q130">
        <v>10.69</v>
      </c>
      <c r="R130">
        <v>8.0399999999999991</v>
      </c>
      <c r="S130" t="s">
        <v>372</v>
      </c>
      <c r="T130">
        <v>0</v>
      </c>
      <c r="U130">
        <v>0.42</v>
      </c>
      <c r="V130">
        <v>0.05</v>
      </c>
      <c r="W130">
        <v>1.72</v>
      </c>
      <c r="X130" s="5"/>
      <c r="Z130">
        <v>1.58</v>
      </c>
      <c r="AA130">
        <v>3.51</v>
      </c>
      <c r="AD130" t="s">
        <v>590</v>
      </c>
      <c r="AE130" s="5" t="s">
        <v>725</v>
      </c>
    </row>
    <row r="131" spans="1:31" ht="16" x14ac:dyDescent="0.2">
      <c r="A131" t="s">
        <v>515</v>
      </c>
      <c r="B131" t="s">
        <v>10</v>
      </c>
      <c r="C131" t="s">
        <v>139</v>
      </c>
      <c r="D131" t="s">
        <v>513</v>
      </c>
      <c r="E131" t="s">
        <v>384</v>
      </c>
      <c r="F131">
        <v>1.31</v>
      </c>
      <c r="G131">
        <f>(0.83+0.84+0.88)/3</f>
        <v>0.85</v>
      </c>
      <c r="H131">
        <v>156</v>
      </c>
      <c r="I131" t="s">
        <v>786</v>
      </c>
      <c r="J131" t="s">
        <v>589</v>
      </c>
      <c r="K131" t="s">
        <v>276</v>
      </c>
      <c r="L131" t="s">
        <v>352</v>
      </c>
      <c r="N131" t="s">
        <v>360</v>
      </c>
      <c r="O131" t="s">
        <v>270</v>
      </c>
      <c r="P131" t="s">
        <v>271</v>
      </c>
      <c r="Q131">
        <v>11.36</v>
      </c>
      <c r="R131">
        <v>8.36</v>
      </c>
      <c r="S131" t="s">
        <v>372</v>
      </c>
      <c r="T131">
        <v>0</v>
      </c>
      <c r="U131">
        <v>0.54</v>
      </c>
      <c r="V131">
        <v>0.06</v>
      </c>
      <c r="W131">
        <v>1.93</v>
      </c>
      <c r="X131" s="5"/>
      <c r="Z131">
        <v>1.69</v>
      </c>
      <c r="AA131">
        <v>3.53</v>
      </c>
      <c r="AD131" t="s">
        <v>590</v>
      </c>
      <c r="AE131" s="5" t="s">
        <v>725</v>
      </c>
    </row>
    <row r="132" spans="1:31" ht="16" x14ac:dyDescent="0.2">
      <c r="A132" t="s">
        <v>516</v>
      </c>
      <c r="B132" t="s">
        <v>10</v>
      </c>
      <c r="C132" t="s">
        <v>142</v>
      </c>
      <c r="D132" t="s">
        <v>517</v>
      </c>
      <c r="E132" t="s">
        <v>384</v>
      </c>
      <c r="F132">
        <f>(1.1+1.09+1.11)/3</f>
        <v>1.1000000000000003</v>
      </c>
      <c r="G132">
        <f>(0.87+0.79+0.89)/3</f>
        <v>0.85000000000000009</v>
      </c>
      <c r="H132">
        <v>243.3</v>
      </c>
      <c r="I132" t="s">
        <v>326</v>
      </c>
      <c r="J132" t="s">
        <v>589</v>
      </c>
      <c r="K132" t="s">
        <v>276</v>
      </c>
      <c r="L132" t="s">
        <v>268</v>
      </c>
      <c r="N132" t="s">
        <v>360</v>
      </c>
      <c r="O132" t="s">
        <v>270</v>
      </c>
      <c r="P132" t="s">
        <v>271</v>
      </c>
      <c r="Q132">
        <v>11.11</v>
      </c>
      <c r="R132">
        <v>9.3699999999999992</v>
      </c>
      <c r="S132" t="s">
        <v>372</v>
      </c>
      <c r="T132">
        <v>0</v>
      </c>
      <c r="U132">
        <v>0.43</v>
      </c>
      <c r="V132">
        <v>0.06</v>
      </c>
      <c r="W132">
        <v>1.82</v>
      </c>
      <c r="Z132">
        <v>1.82</v>
      </c>
      <c r="AA132">
        <v>2.4900000000000002</v>
      </c>
      <c r="AD132" t="s">
        <v>295</v>
      </c>
    </row>
    <row r="133" spans="1:31" ht="16" x14ac:dyDescent="0.2">
      <c r="A133" t="s">
        <v>518</v>
      </c>
      <c r="B133" t="s">
        <v>10</v>
      </c>
      <c r="C133" t="s">
        <v>142</v>
      </c>
      <c r="D133" t="s">
        <v>517</v>
      </c>
      <c r="E133" t="s">
        <v>384</v>
      </c>
      <c r="F133">
        <f>(1.16+1.33+1.38)/3</f>
        <v>1.29</v>
      </c>
      <c r="G133">
        <f>(0.94+0.9+0.94)/3</f>
        <v>0.92666666666666664</v>
      </c>
      <c r="H133">
        <v>213</v>
      </c>
      <c r="I133" t="s">
        <v>326</v>
      </c>
      <c r="J133" t="s">
        <v>589</v>
      </c>
      <c r="K133" t="s">
        <v>276</v>
      </c>
      <c r="L133" t="s">
        <v>268</v>
      </c>
      <c r="N133" t="s">
        <v>269</v>
      </c>
      <c r="O133" t="s">
        <v>270</v>
      </c>
      <c r="P133" t="s">
        <v>271</v>
      </c>
      <c r="Q133">
        <v>12.59</v>
      </c>
      <c r="R133">
        <v>10.29</v>
      </c>
      <c r="S133" t="s">
        <v>372</v>
      </c>
      <c r="T133">
        <v>0</v>
      </c>
      <c r="U133">
        <v>0.15</v>
      </c>
      <c r="V133">
        <v>0.03</v>
      </c>
      <c r="W133">
        <v>2.13</v>
      </c>
      <c r="Z133">
        <v>2.33</v>
      </c>
      <c r="AA133">
        <v>2.86</v>
      </c>
      <c r="AD133" t="s">
        <v>295</v>
      </c>
    </row>
    <row r="134" spans="1:31" ht="16" x14ac:dyDescent="0.2">
      <c r="A134" t="s">
        <v>519</v>
      </c>
      <c r="B134" t="s">
        <v>10</v>
      </c>
      <c r="C134" t="s">
        <v>142</v>
      </c>
      <c r="D134" t="s">
        <v>517</v>
      </c>
      <c r="E134" t="s">
        <v>384</v>
      </c>
      <c r="F134">
        <v>1.2</v>
      </c>
      <c r="G134">
        <v>1.06</v>
      </c>
      <c r="H134">
        <v>215</v>
      </c>
      <c r="I134" t="s">
        <v>326</v>
      </c>
      <c r="J134" t="s">
        <v>589</v>
      </c>
      <c r="K134" t="s">
        <v>276</v>
      </c>
      <c r="L134" t="s">
        <v>268</v>
      </c>
      <c r="N134" t="s">
        <v>360</v>
      </c>
      <c r="O134" t="s">
        <v>324</v>
      </c>
      <c r="P134" t="s">
        <v>271</v>
      </c>
      <c r="Q134">
        <v>13.21</v>
      </c>
      <c r="R134">
        <v>11.15</v>
      </c>
      <c r="S134" t="s">
        <v>372</v>
      </c>
      <c r="T134">
        <v>2</v>
      </c>
      <c r="U134">
        <v>0.28999999999999998</v>
      </c>
      <c r="V134">
        <v>7.0000000000000007E-2</v>
      </c>
      <c r="W134">
        <v>2.37</v>
      </c>
      <c r="Z134">
        <v>2.59</v>
      </c>
      <c r="AA134">
        <v>3.2</v>
      </c>
      <c r="AD134" t="s">
        <v>295</v>
      </c>
    </row>
    <row r="135" spans="1:31" ht="16" x14ac:dyDescent="0.2">
      <c r="A135" t="s">
        <v>520</v>
      </c>
      <c r="B135" t="s">
        <v>28</v>
      </c>
      <c r="C135" t="s">
        <v>145</v>
      </c>
      <c r="D135" t="s">
        <v>732</v>
      </c>
      <c r="E135" t="s">
        <v>384</v>
      </c>
      <c r="F135">
        <v>2.14</v>
      </c>
      <c r="G135">
        <f>(0.96+1.01+0.95)/3</f>
        <v>0.97333333333333327</v>
      </c>
      <c r="H135">
        <v>139.69999999999999</v>
      </c>
      <c r="I135" t="s">
        <v>786</v>
      </c>
      <c r="J135" t="s">
        <v>606</v>
      </c>
      <c r="K135" t="s">
        <v>339</v>
      </c>
      <c r="L135" t="s">
        <v>352</v>
      </c>
      <c r="N135" t="s">
        <v>269</v>
      </c>
      <c r="O135" t="s">
        <v>324</v>
      </c>
      <c r="P135" t="s">
        <v>271</v>
      </c>
      <c r="Q135">
        <v>13.06</v>
      </c>
      <c r="R135">
        <v>11.15</v>
      </c>
      <c r="S135" t="s">
        <v>451</v>
      </c>
      <c r="T135">
        <v>3</v>
      </c>
      <c r="U135">
        <v>0.56999999999999995</v>
      </c>
      <c r="V135">
        <v>0.09</v>
      </c>
      <c r="W135">
        <v>2.06</v>
      </c>
      <c r="Z135">
        <v>1.93</v>
      </c>
      <c r="AA135">
        <v>4.2</v>
      </c>
      <c r="AD135" t="s">
        <v>590</v>
      </c>
    </row>
    <row r="136" spans="1:31" ht="16" x14ac:dyDescent="0.2">
      <c r="A136" t="s">
        <v>522</v>
      </c>
      <c r="B136" t="s">
        <v>28</v>
      </c>
      <c r="C136" t="s">
        <v>145</v>
      </c>
      <c r="D136" t="s">
        <v>732</v>
      </c>
      <c r="E136" t="s">
        <v>384</v>
      </c>
      <c r="F136">
        <f>(2.93+2.79+2.68)/3</f>
        <v>2.8000000000000003</v>
      </c>
      <c r="G136">
        <f>(1.09+1.07+1.04)/3</f>
        <v>1.0666666666666667</v>
      </c>
      <c r="H136">
        <v>81</v>
      </c>
      <c r="I136" t="s">
        <v>677</v>
      </c>
      <c r="J136" t="s">
        <v>606</v>
      </c>
      <c r="K136" t="s">
        <v>267</v>
      </c>
      <c r="L136" t="s">
        <v>352</v>
      </c>
      <c r="N136" t="s">
        <v>269</v>
      </c>
      <c r="O136" t="s">
        <v>324</v>
      </c>
      <c r="P136" t="s">
        <v>271</v>
      </c>
      <c r="Q136">
        <v>14.76</v>
      </c>
      <c r="R136">
        <v>12.99</v>
      </c>
      <c r="S136" t="s">
        <v>451</v>
      </c>
      <c r="T136">
        <v>3</v>
      </c>
      <c r="U136">
        <v>0.6</v>
      </c>
      <c r="V136">
        <v>0.06</v>
      </c>
      <c r="W136">
        <v>2.13</v>
      </c>
      <c r="X136" s="5"/>
      <c r="Z136">
        <v>2.0099999999999998</v>
      </c>
      <c r="AA136">
        <v>3.54</v>
      </c>
      <c r="AD136" t="s">
        <v>590</v>
      </c>
      <c r="AE136" s="5" t="s">
        <v>523</v>
      </c>
    </row>
    <row r="137" spans="1:31" ht="16" x14ac:dyDescent="0.2">
      <c r="A137" t="s">
        <v>524</v>
      </c>
      <c r="B137" t="s">
        <v>28</v>
      </c>
      <c r="C137" t="s">
        <v>145</v>
      </c>
      <c r="D137" t="s">
        <v>732</v>
      </c>
      <c r="E137" t="s">
        <v>384</v>
      </c>
      <c r="F137">
        <f>(2.21+2.19+2.48)/3</f>
        <v>2.2933333333333334</v>
      </c>
      <c r="G137">
        <f>(1+0.96+0.91)/3</f>
        <v>0.95666666666666667</v>
      </c>
      <c r="H137">
        <v>127.3</v>
      </c>
      <c r="I137" t="s">
        <v>786</v>
      </c>
      <c r="J137" t="s">
        <v>606</v>
      </c>
      <c r="K137" t="s">
        <v>267</v>
      </c>
      <c r="L137" t="s">
        <v>352</v>
      </c>
      <c r="N137" t="s">
        <v>269</v>
      </c>
      <c r="O137" t="s">
        <v>324</v>
      </c>
      <c r="P137" t="s">
        <v>271</v>
      </c>
      <c r="Q137">
        <v>12.7</v>
      </c>
      <c r="R137">
        <v>10.66</v>
      </c>
      <c r="S137" t="s">
        <v>372</v>
      </c>
      <c r="T137">
        <v>3</v>
      </c>
      <c r="U137">
        <v>0.34</v>
      </c>
      <c r="V137">
        <v>0.05</v>
      </c>
      <c r="W137">
        <v>1.99</v>
      </c>
      <c r="X137" s="5"/>
      <c r="Z137">
        <v>1.78</v>
      </c>
      <c r="AA137">
        <v>4.5199999999999996</v>
      </c>
      <c r="AD137" t="s">
        <v>590</v>
      </c>
      <c r="AE137" s="5" t="s">
        <v>523</v>
      </c>
    </row>
    <row r="138" spans="1:31" ht="16" x14ac:dyDescent="0.2">
      <c r="A138" t="s">
        <v>525</v>
      </c>
      <c r="B138" t="s">
        <v>10</v>
      </c>
      <c r="C138" t="s">
        <v>147</v>
      </c>
      <c r="D138" t="s">
        <v>726</v>
      </c>
      <c r="E138" t="s">
        <v>384</v>
      </c>
      <c r="F138">
        <v>2.3199999999999998</v>
      </c>
      <c r="G138">
        <f>(1.16+1.17+1.13)/3</f>
        <v>1.1533333333333333</v>
      </c>
      <c r="H138">
        <v>168</v>
      </c>
      <c r="I138" t="s">
        <v>786</v>
      </c>
      <c r="J138" t="s">
        <v>348</v>
      </c>
      <c r="K138" t="s">
        <v>276</v>
      </c>
      <c r="L138" t="s">
        <v>352</v>
      </c>
      <c r="N138" t="s">
        <v>269</v>
      </c>
      <c r="O138" t="s">
        <v>270</v>
      </c>
      <c r="P138" t="s">
        <v>271</v>
      </c>
      <c r="Q138">
        <v>16.77</v>
      </c>
      <c r="R138">
        <v>14.45</v>
      </c>
      <c r="S138" t="s">
        <v>372</v>
      </c>
      <c r="T138">
        <v>0</v>
      </c>
      <c r="U138">
        <v>0.62</v>
      </c>
      <c r="V138">
        <v>0.09</v>
      </c>
      <c r="W138">
        <v>2.31</v>
      </c>
      <c r="X138" s="5"/>
      <c r="Z138">
        <v>3.01</v>
      </c>
      <c r="AA138">
        <v>4.22</v>
      </c>
      <c r="AD138" t="s">
        <v>590</v>
      </c>
      <c r="AE138" s="5" t="s">
        <v>727</v>
      </c>
    </row>
    <row r="139" spans="1:31" ht="16" x14ac:dyDescent="0.2">
      <c r="A139" t="s">
        <v>528</v>
      </c>
      <c r="B139" t="s">
        <v>10</v>
      </c>
      <c r="C139" t="s">
        <v>147</v>
      </c>
      <c r="D139" t="s">
        <v>726</v>
      </c>
      <c r="E139" t="s">
        <v>384</v>
      </c>
      <c r="F139">
        <v>1.93</v>
      </c>
      <c r="G139">
        <f>(0.99+0.96+0.97)/3</f>
        <v>0.97333333333333327</v>
      </c>
      <c r="H139">
        <v>228.3</v>
      </c>
      <c r="I139" t="s">
        <v>326</v>
      </c>
      <c r="J139" t="s">
        <v>606</v>
      </c>
      <c r="K139" t="s">
        <v>276</v>
      </c>
      <c r="L139" t="s">
        <v>268</v>
      </c>
      <c r="N139" t="s">
        <v>269</v>
      </c>
      <c r="O139" t="s">
        <v>270</v>
      </c>
      <c r="P139" t="s">
        <v>271</v>
      </c>
      <c r="Q139">
        <v>13.08</v>
      </c>
      <c r="R139">
        <v>10.58</v>
      </c>
      <c r="S139" t="s">
        <v>372</v>
      </c>
      <c r="T139">
        <v>0</v>
      </c>
      <c r="U139">
        <v>0.61</v>
      </c>
      <c r="V139">
        <v>0.08</v>
      </c>
      <c r="W139">
        <v>2.09</v>
      </c>
      <c r="X139" s="5"/>
      <c r="Z139">
        <v>2.12</v>
      </c>
      <c r="AA139">
        <v>3.69</v>
      </c>
      <c r="AD139" t="s">
        <v>590</v>
      </c>
      <c r="AE139" s="5" t="s">
        <v>728</v>
      </c>
    </row>
    <row r="140" spans="1:31" ht="16" x14ac:dyDescent="0.2">
      <c r="A140" t="s">
        <v>530</v>
      </c>
      <c r="B140" t="s">
        <v>10</v>
      </c>
      <c r="C140" t="s">
        <v>147</v>
      </c>
      <c r="D140" t="s">
        <v>726</v>
      </c>
      <c r="E140" t="s">
        <v>384</v>
      </c>
      <c r="F140">
        <f>(1.69+1.69+1.75)/3</f>
        <v>1.71</v>
      </c>
      <c r="G140">
        <f>(1+0.98+1.02)/3</f>
        <v>1</v>
      </c>
      <c r="H140">
        <v>199.3</v>
      </c>
      <c r="I140" t="s">
        <v>363</v>
      </c>
      <c r="J140" t="s">
        <v>348</v>
      </c>
      <c r="K140" t="s">
        <v>276</v>
      </c>
      <c r="L140" t="s">
        <v>352</v>
      </c>
      <c r="N140" t="s">
        <v>360</v>
      </c>
      <c r="O140" t="s">
        <v>270</v>
      </c>
      <c r="P140" t="s">
        <v>271</v>
      </c>
      <c r="Q140">
        <v>14.72</v>
      </c>
      <c r="R140">
        <v>11.59</v>
      </c>
      <c r="S140" t="s">
        <v>372</v>
      </c>
      <c r="T140">
        <v>1</v>
      </c>
      <c r="U140">
        <v>0.71</v>
      </c>
      <c r="V140">
        <v>0.09</v>
      </c>
      <c r="W140">
        <v>2.2400000000000002</v>
      </c>
      <c r="X140" s="5"/>
      <c r="Z140">
        <v>2.61</v>
      </c>
      <c r="AA140">
        <v>5.18</v>
      </c>
      <c r="AD140" t="s">
        <v>295</v>
      </c>
      <c r="AE140" s="5" t="s">
        <v>729</v>
      </c>
    </row>
    <row r="141" spans="1:31" ht="16" x14ac:dyDescent="0.2">
      <c r="A141" t="s">
        <v>532</v>
      </c>
      <c r="B141" t="s">
        <v>10</v>
      </c>
      <c r="C141" t="s">
        <v>151</v>
      </c>
      <c r="D141" t="s">
        <v>150</v>
      </c>
      <c r="E141" t="s">
        <v>321</v>
      </c>
      <c r="F141">
        <f>(0.91+0.83+0.92)/3</f>
        <v>0.88666666666666671</v>
      </c>
      <c r="G141">
        <f>(0.84+0.89+0.85)/3</f>
        <v>0.86</v>
      </c>
      <c r="H141">
        <v>163.30000000000001</v>
      </c>
      <c r="I141" t="s">
        <v>786</v>
      </c>
      <c r="J141" t="s">
        <v>589</v>
      </c>
      <c r="K141" t="s">
        <v>276</v>
      </c>
      <c r="L141" t="s">
        <v>340</v>
      </c>
      <c r="N141" t="s">
        <v>269</v>
      </c>
      <c r="O141" t="s">
        <v>324</v>
      </c>
      <c r="P141" t="s">
        <v>271</v>
      </c>
      <c r="Q141">
        <v>9.27</v>
      </c>
      <c r="R141">
        <v>8.0500000000000007</v>
      </c>
      <c r="S141" t="s">
        <v>372</v>
      </c>
      <c r="T141">
        <v>0</v>
      </c>
      <c r="U141">
        <v>0.5</v>
      </c>
      <c r="V141">
        <v>0.09</v>
      </c>
      <c r="W141">
        <v>2.04</v>
      </c>
      <c r="X141" s="5"/>
      <c r="Z141">
        <v>2.4</v>
      </c>
      <c r="AA141">
        <v>2.94</v>
      </c>
      <c r="AD141" t="s">
        <v>295</v>
      </c>
      <c r="AE141" s="5" t="s">
        <v>728</v>
      </c>
    </row>
    <row r="142" spans="1:31" ht="16" x14ac:dyDescent="0.2">
      <c r="A142" t="s">
        <v>533</v>
      </c>
      <c r="B142" t="s">
        <v>10</v>
      </c>
      <c r="C142" t="s">
        <v>151</v>
      </c>
      <c r="D142" t="s">
        <v>150</v>
      </c>
      <c r="E142" t="s">
        <v>384</v>
      </c>
      <c r="F142">
        <f>(1.22+1.23+1.2)/3</f>
        <v>1.2166666666666668</v>
      </c>
      <c r="G142">
        <f>(0.95+0.96+1.01)/3</f>
        <v>0.97333333333333327</v>
      </c>
      <c r="H142">
        <v>218.3</v>
      </c>
      <c r="I142" t="s">
        <v>326</v>
      </c>
      <c r="J142" t="s">
        <v>589</v>
      </c>
      <c r="K142" t="s">
        <v>276</v>
      </c>
      <c r="L142" t="s">
        <v>268</v>
      </c>
      <c r="N142" t="s">
        <v>269</v>
      </c>
      <c r="O142" t="s">
        <v>324</v>
      </c>
      <c r="P142" t="s">
        <v>271</v>
      </c>
      <c r="Q142">
        <v>12.75</v>
      </c>
      <c r="R142">
        <v>10.54</v>
      </c>
      <c r="S142" t="s">
        <v>372</v>
      </c>
      <c r="T142">
        <v>1</v>
      </c>
      <c r="U142">
        <v>0.44</v>
      </c>
      <c r="V142">
        <v>0.09</v>
      </c>
      <c r="W142">
        <v>2.29</v>
      </c>
      <c r="X142" s="5"/>
      <c r="Z142">
        <v>1.78</v>
      </c>
      <c r="AA142">
        <v>2.77</v>
      </c>
      <c r="AD142" t="s">
        <v>590</v>
      </c>
      <c r="AE142" s="5" t="s">
        <v>728</v>
      </c>
    </row>
    <row r="143" spans="1:31" ht="16" x14ac:dyDescent="0.2">
      <c r="A143" t="s">
        <v>534</v>
      </c>
      <c r="B143" t="s">
        <v>10</v>
      </c>
      <c r="C143" t="s">
        <v>151</v>
      </c>
      <c r="D143" t="s">
        <v>150</v>
      </c>
      <c r="E143" t="s">
        <v>384</v>
      </c>
      <c r="F143">
        <f>(1.14+1.22+1.1)/3</f>
        <v>1.1533333333333333</v>
      </c>
      <c r="G143">
        <f>(0.97+0.96+0.96)/3</f>
        <v>0.96333333333333326</v>
      </c>
      <c r="H143">
        <v>91</v>
      </c>
      <c r="I143" t="s">
        <v>535</v>
      </c>
      <c r="J143" t="s">
        <v>589</v>
      </c>
      <c r="K143" t="s">
        <v>339</v>
      </c>
      <c r="L143" t="s">
        <v>352</v>
      </c>
      <c r="N143" t="s">
        <v>269</v>
      </c>
      <c r="O143" t="s">
        <v>324</v>
      </c>
      <c r="P143" t="s">
        <v>271</v>
      </c>
      <c r="Q143">
        <v>12.15</v>
      </c>
      <c r="R143">
        <v>9.91</v>
      </c>
      <c r="S143" t="s">
        <v>372</v>
      </c>
      <c r="T143">
        <v>0</v>
      </c>
      <c r="U143">
        <v>0.43</v>
      </c>
      <c r="V143">
        <v>7.0000000000000007E-2</v>
      </c>
      <c r="W143">
        <v>2.08</v>
      </c>
      <c r="X143" s="5"/>
      <c r="Z143">
        <v>2.27</v>
      </c>
      <c r="AA143">
        <v>2.59</v>
      </c>
      <c r="AD143" t="s">
        <v>590</v>
      </c>
      <c r="AE143" s="5" t="s">
        <v>730</v>
      </c>
    </row>
    <row r="144" spans="1:31" ht="16" x14ac:dyDescent="0.2">
      <c r="A144" t="s">
        <v>537</v>
      </c>
      <c r="B144" t="s">
        <v>10</v>
      </c>
      <c r="C144" t="s">
        <v>151</v>
      </c>
      <c r="D144" t="s">
        <v>150</v>
      </c>
      <c r="E144" t="s">
        <v>384</v>
      </c>
      <c r="F144">
        <f>(1.02+1.03+0.99)/3</f>
        <v>1.0133333333333334</v>
      </c>
      <c r="G144">
        <f>(0.87+0.89+0.85)/3</f>
        <v>0.87</v>
      </c>
      <c r="H144">
        <v>162.30000000000001</v>
      </c>
      <c r="I144" t="s">
        <v>285</v>
      </c>
      <c r="J144" t="s">
        <v>589</v>
      </c>
      <c r="K144" t="s">
        <v>276</v>
      </c>
      <c r="L144" t="s">
        <v>352</v>
      </c>
      <c r="N144" t="s">
        <v>269</v>
      </c>
      <c r="O144" t="s">
        <v>324</v>
      </c>
      <c r="P144" t="s">
        <v>271</v>
      </c>
      <c r="Q144">
        <v>9.6300000000000008</v>
      </c>
      <c r="R144">
        <v>8.3699999999999992</v>
      </c>
      <c r="S144" t="s">
        <v>372</v>
      </c>
      <c r="T144">
        <v>0</v>
      </c>
      <c r="U144">
        <v>0.46</v>
      </c>
      <c r="V144">
        <v>7.0000000000000007E-2</v>
      </c>
      <c r="W144">
        <v>1.76</v>
      </c>
      <c r="X144" s="5"/>
      <c r="Z144">
        <v>1.98</v>
      </c>
      <c r="AA144">
        <v>2.68</v>
      </c>
      <c r="AD144" t="s">
        <v>590</v>
      </c>
      <c r="AE144" s="5" t="s">
        <v>728</v>
      </c>
    </row>
    <row r="145" spans="1:31" ht="16" x14ac:dyDescent="0.2">
      <c r="A145" t="s">
        <v>538</v>
      </c>
      <c r="B145" t="s">
        <v>10</v>
      </c>
      <c r="C145" t="s">
        <v>154</v>
      </c>
      <c r="D145" t="s">
        <v>153</v>
      </c>
      <c r="E145" t="s">
        <v>384</v>
      </c>
      <c r="F145">
        <f>(1.11+1.13+1)/3</f>
        <v>1.08</v>
      </c>
      <c r="G145">
        <f>(0.91+1+0.98)/3</f>
        <v>0.96333333333333337</v>
      </c>
      <c r="H145">
        <v>110</v>
      </c>
      <c r="I145" t="s">
        <v>535</v>
      </c>
      <c r="J145" t="s">
        <v>589</v>
      </c>
      <c r="K145" t="s">
        <v>276</v>
      </c>
      <c r="L145" t="s">
        <v>268</v>
      </c>
      <c r="N145" t="s">
        <v>269</v>
      </c>
      <c r="O145" t="s">
        <v>324</v>
      </c>
      <c r="P145" t="s">
        <v>271</v>
      </c>
      <c r="Q145">
        <v>12.19</v>
      </c>
      <c r="R145">
        <v>10.1</v>
      </c>
      <c r="S145" t="s">
        <v>372</v>
      </c>
      <c r="T145">
        <v>0</v>
      </c>
      <c r="U145">
        <v>0.47</v>
      </c>
      <c r="V145">
        <v>0.08</v>
      </c>
      <c r="W145">
        <v>2.04</v>
      </c>
      <c r="X145" s="5"/>
      <c r="Z145">
        <v>2.38</v>
      </c>
      <c r="AA145">
        <v>2.8</v>
      </c>
      <c r="AD145" t="s">
        <v>590</v>
      </c>
      <c r="AE145" s="5" t="s">
        <v>730</v>
      </c>
    </row>
    <row r="146" spans="1:31" ht="16" x14ac:dyDescent="0.2">
      <c r="A146" t="s">
        <v>539</v>
      </c>
      <c r="B146" t="s">
        <v>10</v>
      </c>
      <c r="C146" t="s">
        <v>154</v>
      </c>
      <c r="D146" t="s">
        <v>153</v>
      </c>
      <c r="E146" t="s">
        <v>384</v>
      </c>
      <c r="F146">
        <v>1.08</v>
      </c>
      <c r="G146">
        <f>(0.89+0.82+0.86)/3</f>
        <v>0.85666666666666658</v>
      </c>
      <c r="H146">
        <v>211.7</v>
      </c>
      <c r="I146" t="s">
        <v>326</v>
      </c>
      <c r="J146" t="s">
        <v>589</v>
      </c>
      <c r="K146" t="s">
        <v>276</v>
      </c>
      <c r="L146" t="s">
        <v>268</v>
      </c>
      <c r="N146" t="s">
        <v>360</v>
      </c>
      <c r="O146" t="s">
        <v>324</v>
      </c>
      <c r="P146" t="s">
        <v>271</v>
      </c>
      <c r="Q146">
        <v>15.56</v>
      </c>
      <c r="R146">
        <v>11.58</v>
      </c>
      <c r="S146" t="s">
        <v>372</v>
      </c>
      <c r="T146">
        <v>0</v>
      </c>
      <c r="U146">
        <v>0.23</v>
      </c>
      <c r="V146">
        <v>0.04</v>
      </c>
      <c r="W146">
        <v>2.12</v>
      </c>
      <c r="Z146">
        <v>2.25</v>
      </c>
      <c r="AA146">
        <v>3.83</v>
      </c>
      <c r="AD146" t="s">
        <v>590</v>
      </c>
    </row>
    <row r="147" spans="1:31" ht="16" x14ac:dyDescent="0.2">
      <c r="A147" t="s">
        <v>540</v>
      </c>
      <c r="B147" t="s">
        <v>10</v>
      </c>
      <c r="C147" t="s">
        <v>154</v>
      </c>
      <c r="D147" t="s">
        <v>153</v>
      </c>
      <c r="E147" t="s">
        <v>321</v>
      </c>
      <c r="F147">
        <f>(1.16+1.09+1.15)/3</f>
        <v>1.1333333333333333</v>
      </c>
      <c r="G147">
        <f>(0.94+0.98+1.03)/3</f>
        <v>0.98333333333333339</v>
      </c>
      <c r="H147">
        <v>217</v>
      </c>
      <c r="I147" t="s">
        <v>326</v>
      </c>
      <c r="J147" t="s">
        <v>589</v>
      </c>
      <c r="K147" t="s">
        <v>276</v>
      </c>
      <c r="L147" t="s">
        <v>268</v>
      </c>
      <c r="N147" t="s">
        <v>360</v>
      </c>
      <c r="O147" t="s">
        <v>324</v>
      </c>
      <c r="P147" t="s">
        <v>271</v>
      </c>
      <c r="Q147">
        <v>13.2</v>
      </c>
      <c r="R147">
        <v>10.69</v>
      </c>
      <c r="S147" t="s">
        <v>372</v>
      </c>
      <c r="T147">
        <v>0</v>
      </c>
      <c r="U147">
        <v>0.38</v>
      </c>
      <c r="V147">
        <v>0.06</v>
      </c>
      <c r="W147">
        <v>2.19</v>
      </c>
      <c r="Z147">
        <v>2.27</v>
      </c>
      <c r="AA147">
        <v>2.88</v>
      </c>
      <c r="AD147" t="s">
        <v>590</v>
      </c>
    </row>
    <row r="148" spans="1:31" ht="16" x14ac:dyDescent="0.2">
      <c r="A148" t="s">
        <v>541</v>
      </c>
      <c r="B148" t="s">
        <v>10</v>
      </c>
      <c r="C148" t="s">
        <v>157</v>
      </c>
      <c r="D148" t="s">
        <v>542</v>
      </c>
      <c r="E148" t="s">
        <v>384</v>
      </c>
      <c r="F148">
        <f>(0.81+0.75+0.8)/3</f>
        <v>0.78666666666666674</v>
      </c>
      <c r="G148">
        <f>(0.87+0.85+0.76)/3</f>
        <v>0.82666666666666666</v>
      </c>
      <c r="H148">
        <v>131</v>
      </c>
      <c r="I148" t="s">
        <v>345</v>
      </c>
      <c r="J148" t="s">
        <v>589</v>
      </c>
      <c r="K148" t="s">
        <v>276</v>
      </c>
      <c r="L148" t="s">
        <v>352</v>
      </c>
      <c r="N148" t="s">
        <v>269</v>
      </c>
      <c r="O148" t="s">
        <v>324</v>
      </c>
      <c r="P148" t="s">
        <v>271</v>
      </c>
      <c r="Q148">
        <v>11.1</v>
      </c>
      <c r="R148">
        <v>9.09</v>
      </c>
      <c r="S148" t="s">
        <v>372</v>
      </c>
      <c r="T148">
        <v>0</v>
      </c>
      <c r="U148">
        <v>0.36</v>
      </c>
      <c r="V148">
        <v>0.06</v>
      </c>
      <c r="W148">
        <v>1.61</v>
      </c>
      <c r="X148" s="5"/>
      <c r="Z148">
        <v>1.73</v>
      </c>
      <c r="AA148">
        <v>2.2799999999999998</v>
      </c>
      <c r="AD148" t="s">
        <v>590</v>
      </c>
      <c r="AE148" s="5" t="s">
        <v>724</v>
      </c>
    </row>
    <row r="149" spans="1:31" ht="16" x14ac:dyDescent="0.2">
      <c r="A149" t="s">
        <v>543</v>
      </c>
      <c r="B149" t="s">
        <v>10</v>
      </c>
      <c r="C149" t="s">
        <v>157</v>
      </c>
      <c r="D149" t="s">
        <v>542</v>
      </c>
      <c r="E149" t="s">
        <v>384</v>
      </c>
      <c r="F149">
        <v>1.19</v>
      </c>
      <c r="G149">
        <f>(0.98+0.87+0.9)/3</f>
        <v>0.91666666666666663</v>
      </c>
      <c r="H149">
        <v>195.3</v>
      </c>
      <c r="I149" t="s">
        <v>295</v>
      </c>
      <c r="J149" t="s">
        <v>589</v>
      </c>
      <c r="K149" t="s">
        <v>276</v>
      </c>
      <c r="L149" t="s">
        <v>352</v>
      </c>
      <c r="N149" t="s">
        <v>360</v>
      </c>
      <c r="O149" t="s">
        <v>324</v>
      </c>
      <c r="P149" t="s">
        <v>271</v>
      </c>
      <c r="Q149">
        <v>12.76</v>
      </c>
      <c r="R149">
        <v>9.3800000000000008</v>
      </c>
      <c r="S149" t="s">
        <v>372</v>
      </c>
      <c r="T149">
        <v>0</v>
      </c>
      <c r="U149">
        <v>0.44</v>
      </c>
      <c r="V149">
        <v>0.05</v>
      </c>
      <c r="W149">
        <v>1.92</v>
      </c>
      <c r="Z149">
        <v>2.2599999999999998</v>
      </c>
      <c r="AA149">
        <v>3.36</v>
      </c>
      <c r="AD149" t="s">
        <v>590</v>
      </c>
    </row>
    <row r="150" spans="1:31" ht="16" x14ac:dyDescent="0.2">
      <c r="A150" t="s">
        <v>544</v>
      </c>
      <c r="B150" t="s">
        <v>10</v>
      </c>
      <c r="C150" t="s">
        <v>157</v>
      </c>
      <c r="D150" t="s">
        <v>542</v>
      </c>
      <c r="E150" t="s">
        <v>384</v>
      </c>
      <c r="F150">
        <f>(1.22+1.41+1.3)/3</f>
        <v>1.3099999999999998</v>
      </c>
      <c r="G150">
        <f>(1.08+0.98+1.03)/3</f>
        <v>1.03</v>
      </c>
      <c r="H150">
        <v>198.7</v>
      </c>
      <c r="I150" t="s">
        <v>363</v>
      </c>
      <c r="J150" t="s">
        <v>589</v>
      </c>
      <c r="K150" t="s">
        <v>276</v>
      </c>
      <c r="L150" t="s">
        <v>352</v>
      </c>
      <c r="N150" t="s">
        <v>360</v>
      </c>
      <c r="O150" t="s">
        <v>324</v>
      </c>
      <c r="P150" t="s">
        <v>271</v>
      </c>
      <c r="Q150">
        <v>13.84</v>
      </c>
      <c r="R150">
        <v>10.72</v>
      </c>
      <c r="S150" t="s">
        <v>372</v>
      </c>
      <c r="T150">
        <v>2</v>
      </c>
      <c r="U150">
        <v>0.46</v>
      </c>
      <c r="V150">
        <v>0.06</v>
      </c>
      <c r="W150">
        <v>2.08</v>
      </c>
      <c r="Z150">
        <v>2.19</v>
      </c>
      <c r="AA150">
        <v>3.37</v>
      </c>
      <c r="AD150" t="s">
        <v>590</v>
      </c>
    </row>
    <row r="151" spans="1:31" ht="16" x14ac:dyDescent="0.2">
      <c r="A151" t="s">
        <v>545</v>
      </c>
      <c r="B151" t="s">
        <v>10</v>
      </c>
      <c r="C151" t="s">
        <v>160</v>
      </c>
      <c r="D151" t="s">
        <v>546</v>
      </c>
      <c r="E151" t="s">
        <v>384</v>
      </c>
      <c r="F151">
        <f>(1.12+1.11+1.18)/3</f>
        <v>1.1366666666666667</v>
      </c>
      <c r="G151">
        <f>(0.87+0.89+0.86)/3</f>
        <v>0.87333333333333341</v>
      </c>
      <c r="H151">
        <v>180</v>
      </c>
      <c r="I151" t="s">
        <v>295</v>
      </c>
      <c r="J151" t="s">
        <v>589</v>
      </c>
      <c r="K151" t="s">
        <v>276</v>
      </c>
      <c r="L151" t="s">
        <v>352</v>
      </c>
      <c r="N151" t="s">
        <v>269</v>
      </c>
      <c r="O151" t="s">
        <v>324</v>
      </c>
      <c r="P151" t="s">
        <v>271</v>
      </c>
      <c r="Q151">
        <v>11.45</v>
      </c>
      <c r="R151">
        <v>9.4</v>
      </c>
      <c r="S151" t="s">
        <v>372</v>
      </c>
      <c r="T151">
        <v>0</v>
      </c>
      <c r="U151">
        <v>0.48</v>
      </c>
      <c r="V151">
        <v>0.05</v>
      </c>
      <c r="W151">
        <v>1.98</v>
      </c>
      <c r="Z151">
        <v>2.09</v>
      </c>
      <c r="AA151">
        <v>2.7</v>
      </c>
      <c r="AD151" t="s">
        <v>295</v>
      </c>
    </row>
    <row r="152" spans="1:31" ht="16" x14ac:dyDescent="0.2">
      <c r="A152" t="s">
        <v>547</v>
      </c>
      <c r="B152" t="s">
        <v>10</v>
      </c>
      <c r="C152" t="s">
        <v>160</v>
      </c>
      <c r="D152" t="s">
        <v>546</v>
      </c>
      <c r="E152" t="s">
        <v>321</v>
      </c>
      <c r="F152">
        <f>(1.1+1.13+1.08)/3</f>
        <v>1.1033333333333333</v>
      </c>
      <c r="G152">
        <f>(0.81+0.88+0.89)/3</f>
        <v>0.86</v>
      </c>
      <c r="H152">
        <v>210.3</v>
      </c>
      <c r="I152" t="s">
        <v>363</v>
      </c>
      <c r="J152" t="s">
        <v>589</v>
      </c>
      <c r="K152" t="s">
        <v>276</v>
      </c>
      <c r="L152" t="s">
        <v>352</v>
      </c>
      <c r="N152" t="s">
        <v>360</v>
      </c>
      <c r="O152" t="s">
        <v>270</v>
      </c>
      <c r="P152" t="s">
        <v>271</v>
      </c>
      <c r="Q152">
        <v>10.01</v>
      </c>
      <c r="R152">
        <v>8.56</v>
      </c>
      <c r="S152" t="s">
        <v>372</v>
      </c>
      <c r="T152">
        <v>0</v>
      </c>
      <c r="U152">
        <v>0.56999999999999995</v>
      </c>
      <c r="V152">
        <v>0.04</v>
      </c>
      <c r="W152">
        <v>1.96</v>
      </c>
      <c r="Z152">
        <v>2.0099999999999998</v>
      </c>
      <c r="AA152">
        <v>3.42</v>
      </c>
      <c r="AD152" t="s">
        <v>295</v>
      </c>
    </row>
    <row r="153" spans="1:31" ht="16" x14ac:dyDescent="0.2">
      <c r="A153" t="s">
        <v>548</v>
      </c>
      <c r="B153" t="s">
        <v>10</v>
      </c>
      <c r="C153" t="s">
        <v>160</v>
      </c>
      <c r="D153" t="s">
        <v>546</v>
      </c>
      <c r="E153" t="s">
        <v>384</v>
      </c>
      <c r="F153">
        <f>(0.95+1+0.97)/3</f>
        <v>0.97333333333333327</v>
      </c>
      <c r="G153">
        <f>(0.85+0.84+0.83)/3</f>
        <v>0.84</v>
      </c>
      <c r="H153">
        <v>240.3</v>
      </c>
      <c r="I153" t="s">
        <v>326</v>
      </c>
      <c r="J153" t="s">
        <v>589</v>
      </c>
      <c r="K153" t="s">
        <v>276</v>
      </c>
      <c r="L153" t="s">
        <v>268</v>
      </c>
      <c r="N153" t="s">
        <v>277</v>
      </c>
      <c r="O153" t="s">
        <v>270</v>
      </c>
      <c r="P153" t="s">
        <v>271</v>
      </c>
      <c r="Q153">
        <v>9.34</v>
      </c>
      <c r="R153">
        <v>6.68</v>
      </c>
      <c r="S153" t="s">
        <v>372</v>
      </c>
      <c r="T153">
        <v>0</v>
      </c>
      <c r="U153">
        <v>0.33</v>
      </c>
      <c r="V153">
        <v>0.02</v>
      </c>
      <c r="W153">
        <v>1.47</v>
      </c>
      <c r="Z153">
        <v>1.64</v>
      </c>
      <c r="AA153">
        <v>2.1800000000000002</v>
      </c>
      <c r="AD153" t="s">
        <v>295</v>
      </c>
    </row>
    <row r="154" spans="1:31" ht="16" x14ac:dyDescent="0.2">
      <c r="A154" t="s">
        <v>549</v>
      </c>
      <c r="B154" t="s">
        <v>10</v>
      </c>
      <c r="C154" t="s">
        <v>164</v>
      </c>
      <c r="D154" t="s">
        <v>550</v>
      </c>
      <c r="E154" t="s">
        <v>384</v>
      </c>
      <c r="F154">
        <v>1.43</v>
      </c>
      <c r="G154">
        <f>(0.81+0.96+0.95)/3</f>
        <v>0.90666666666666662</v>
      </c>
      <c r="H154">
        <v>159.30000000000001</v>
      </c>
      <c r="I154" t="s">
        <v>786</v>
      </c>
      <c r="J154" t="s">
        <v>589</v>
      </c>
      <c r="K154" t="s">
        <v>276</v>
      </c>
      <c r="L154" t="s">
        <v>352</v>
      </c>
      <c r="N154" t="s">
        <v>269</v>
      </c>
      <c r="O154" t="s">
        <v>324</v>
      </c>
      <c r="P154" t="s">
        <v>271</v>
      </c>
      <c r="Q154">
        <v>14.05</v>
      </c>
      <c r="R154">
        <v>10.92</v>
      </c>
      <c r="S154" t="s">
        <v>372</v>
      </c>
      <c r="T154">
        <v>0</v>
      </c>
      <c r="U154">
        <v>0.62</v>
      </c>
      <c r="V154">
        <v>0.06</v>
      </c>
      <c r="W154">
        <v>2.14</v>
      </c>
      <c r="X154" s="5"/>
      <c r="Z154">
        <v>2.09</v>
      </c>
      <c r="AA154">
        <v>3.84</v>
      </c>
      <c r="AD154" t="s">
        <v>590</v>
      </c>
      <c r="AE154" s="5" t="s">
        <v>724</v>
      </c>
    </row>
    <row r="155" spans="1:31" ht="16" x14ac:dyDescent="0.2">
      <c r="A155" t="s">
        <v>551</v>
      </c>
      <c r="B155" t="s">
        <v>10</v>
      </c>
      <c r="C155" t="s">
        <v>164</v>
      </c>
      <c r="D155" t="s">
        <v>550</v>
      </c>
      <c r="E155" t="s">
        <v>384</v>
      </c>
      <c r="F155">
        <f>(1.01+1.03+1/1)/3</f>
        <v>1.0133333333333334</v>
      </c>
      <c r="G155">
        <f>(0.69+0.67+0.76)/3</f>
        <v>0.70666666666666667</v>
      </c>
      <c r="H155">
        <v>220.3</v>
      </c>
      <c r="I155" t="s">
        <v>326</v>
      </c>
      <c r="J155" t="s">
        <v>589</v>
      </c>
      <c r="K155" t="s">
        <v>276</v>
      </c>
      <c r="L155" t="s">
        <v>352</v>
      </c>
      <c r="N155" t="s">
        <v>277</v>
      </c>
      <c r="O155" t="s">
        <v>324</v>
      </c>
      <c r="P155" t="s">
        <v>271</v>
      </c>
      <c r="Q155">
        <v>10.97</v>
      </c>
      <c r="R155">
        <v>8.09</v>
      </c>
      <c r="S155" t="s">
        <v>372</v>
      </c>
      <c r="T155">
        <v>0</v>
      </c>
      <c r="U155">
        <v>0.39</v>
      </c>
      <c r="V155">
        <v>0.04</v>
      </c>
      <c r="W155">
        <v>1.57</v>
      </c>
      <c r="Z155">
        <v>1.67</v>
      </c>
      <c r="AA155">
        <v>2.83</v>
      </c>
      <c r="AD155" t="s">
        <v>590</v>
      </c>
    </row>
    <row r="156" spans="1:31" ht="16" x14ac:dyDescent="0.2">
      <c r="A156" t="s">
        <v>552</v>
      </c>
      <c r="B156" t="s">
        <v>10</v>
      </c>
      <c r="C156" t="s">
        <v>164</v>
      </c>
      <c r="D156" t="s">
        <v>550</v>
      </c>
      <c r="E156" t="s">
        <v>384</v>
      </c>
      <c r="F156">
        <f>(1.64+1.45+1.51)/3</f>
        <v>1.5333333333333332</v>
      </c>
      <c r="G156">
        <f>(0.92+0.93+0.9)/3</f>
        <v>0.91666666666666663</v>
      </c>
      <c r="H156">
        <v>165.7</v>
      </c>
      <c r="I156" t="s">
        <v>786</v>
      </c>
      <c r="J156" t="s">
        <v>589</v>
      </c>
      <c r="K156" t="s">
        <v>276</v>
      </c>
      <c r="L156" t="s">
        <v>268</v>
      </c>
      <c r="N156" t="s">
        <v>269</v>
      </c>
      <c r="O156" t="s">
        <v>324</v>
      </c>
      <c r="P156" t="s">
        <v>271</v>
      </c>
      <c r="Q156">
        <v>13.44</v>
      </c>
      <c r="R156">
        <v>10.64</v>
      </c>
      <c r="S156" t="s">
        <v>372</v>
      </c>
      <c r="T156">
        <v>3</v>
      </c>
      <c r="U156">
        <v>0.54</v>
      </c>
      <c r="V156">
        <v>0.06</v>
      </c>
      <c r="W156">
        <v>2.0699999999999998</v>
      </c>
      <c r="X156" s="5"/>
      <c r="Z156">
        <v>2.36</v>
      </c>
      <c r="AA156">
        <v>2.86</v>
      </c>
      <c r="AD156" t="s">
        <v>590</v>
      </c>
      <c r="AE156" s="5" t="s">
        <v>724</v>
      </c>
    </row>
    <row r="157" spans="1:31" ht="16" x14ac:dyDescent="0.2">
      <c r="A157" s="5" t="s">
        <v>553</v>
      </c>
      <c r="B157" t="s">
        <v>10</v>
      </c>
      <c r="C157" t="s">
        <v>554</v>
      </c>
      <c r="D157" t="s">
        <v>166</v>
      </c>
      <c r="E157" t="s">
        <v>335</v>
      </c>
      <c r="N157" t="s">
        <v>360</v>
      </c>
      <c r="O157" t="s">
        <v>324</v>
      </c>
      <c r="P157" t="s">
        <v>271</v>
      </c>
      <c r="Q157">
        <v>12.32</v>
      </c>
      <c r="R157">
        <v>9.9700000000000006</v>
      </c>
      <c r="AE157" t="s">
        <v>555</v>
      </c>
    </row>
    <row r="158" spans="1:31" ht="16" x14ac:dyDescent="0.2">
      <c r="A158" s="5" t="s">
        <v>556</v>
      </c>
      <c r="B158" t="s">
        <v>10</v>
      </c>
      <c r="C158" t="s">
        <v>554</v>
      </c>
      <c r="D158" t="s">
        <v>166</v>
      </c>
      <c r="E158" t="s">
        <v>335</v>
      </c>
      <c r="N158" t="s">
        <v>269</v>
      </c>
      <c r="O158" t="s">
        <v>324</v>
      </c>
      <c r="P158" t="s">
        <v>271</v>
      </c>
      <c r="Q158">
        <v>8.7200000000000006</v>
      </c>
      <c r="R158">
        <v>7.17</v>
      </c>
      <c r="AE158" t="s">
        <v>555</v>
      </c>
    </row>
    <row r="159" spans="1:31" ht="16" x14ac:dyDescent="0.2">
      <c r="A159" s="5" t="s">
        <v>557</v>
      </c>
      <c r="B159" t="s">
        <v>10</v>
      </c>
      <c r="C159" t="s">
        <v>554</v>
      </c>
      <c r="D159" t="s">
        <v>166</v>
      </c>
      <c r="E159" t="s">
        <v>335</v>
      </c>
      <c r="N159" t="s">
        <v>360</v>
      </c>
      <c r="O159" t="s">
        <v>270</v>
      </c>
      <c r="P159" t="s">
        <v>271</v>
      </c>
      <c r="Q159">
        <v>9.16</v>
      </c>
      <c r="R159">
        <v>7.3</v>
      </c>
      <c r="AE159" t="s">
        <v>555</v>
      </c>
    </row>
    <row r="160" spans="1:31" ht="16" x14ac:dyDescent="0.2">
      <c r="A160" t="s">
        <v>558</v>
      </c>
      <c r="B160" t="s">
        <v>10</v>
      </c>
      <c r="C160" t="s">
        <v>554</v>
      </c>
      <c r="D160" t="s">
        <v>166</v>
      </c>
      <c r="E160" t="s">
        <v>321</v>
      </c>
      <c r="F160">
        <f>(0.81+0.79+0.8)/3</f>
        <v>0.80000000000000016</v>
      </c>
      <c r="G160">
        <f>(0.73+0.79+0.8)/3</f>
        <v>0.77333333333333343</v>
      </c>
      <c r="H160">
        <v>183.3</v>
      </c>
      <c r="I160" t="s">
        <v>295</v>
      </c>
      <c r="J160" t="s">
        <v>589</v>
      </c>
      <c r="K160" t="s">
        <v>276</v>
      </c>
      <c r="L160" t="s">
        <v>268</v>
      </c>
      <c r="N160" t="s">
        <v>360</v>
      </c>
      <c r="O160" t="s">
        <v>270</v>
      </c>
      <c r="P160" t="s">
        <v>271</v>
      </c>
      <c r="Q160">
        <v>9.42</v>
      </c>
      <c r="R160">
        <v>7.49</v>
      </c>
      <c r="S160" t="s">
        <v>372</v>
      </c>
      <c r="T160">
        <v>0</v>
      </c>
      <c r="U160">
        <v>0.38</v>
      </c>
      <c r="V160">
        <v>0.05</v>
      </c>
      <c r="W160">
        <v>1.69</v>
      </c>
      <c r="Z160">
        <v>1.68</v>
      </c>
      <c r="AA160">
        <v>3.12</v>
      </c>
      <c r="AD160" t="s">
        <v>295</v>
      </c>
    </row>
    <row r="161" spans="1:31" ht="16" x14ac:dyDescent="0.2">
      <c r="A161" t="s">
        <v>559</v>
      </c>
      <c r="B161" t="s">
        <v>10</v>
      </c>
      <c r="C161" t="s">
        <v>560</v>
      </c>
      <c r="D161" t="s">
        <v>169</v>
      </c>
      <c r="E161" t="s">
        <v>384</v>
      </c>
      <c r="F161">
        <f>(1.09+1.11+1.1)/3</f>
        <v>1.1000000000000001</v>
      </c>
      <c r="G161">
        <f>(0.86+0.79+0.87)/3</f>
        <v>0.84</v>
      </c>
      <c r="H161">
        <v>213.3</v>
      </c>
      <c r="I161" t="s">
        <v>326</v>
      </c>
      <c r="J161" t="s">
        <v>589</v>
      </c>
      <c r="K161" t="s">
        <v>276</v>
      </c>
      <c r="L161" t="s">
        <v>268</v>
      </c>
      <c r="N161" t="s">
        <v>360</v>
      </c>
      <c r="O161" t="s">
        <v>270</v>
      </c>
      <c r="P161" t="s">
        <v>271</v>
      </c>
      <c r="Q161">
        <v>10.33</v>
      </c>
      <c r="R161">
        <v>7.89</v>
      </c>
      <c r="S161" t="s">
        <v>372</v>
      </c>
      <c r="T161">
        <v>0</v>
      </c>
      <c r="U161">
        <v>0.47</v>
      </c>
      <c r="V161">
        <v>0.05</v>
      </c>
      <c r="W161">
        <v>1.84</v>
      </c>
      <c r="Z161">
        <v>1.98</v>
      </c>
      <c r="AA161">
        <v>4.2300000000000004</v>
      </c>
      <c r="AD161" t="s">
        <v>590</v>
      </c>
    </row>
    <row r="162" spans="1:31" ht="16" x14ac:dyDescent="0.2">
      <c r="A162" t="s">
        <v>561</v>
      </c>
      <c r="B162" t="s">
        <v>10</v>
      </c>
      <c r="C162" t="s">
        <v>560</v>
      </c>
      <c r="D162" t="s">
        <v>169</v>
      </c>
      <c r="E162" t="s">
        <v>321</v>
      </c>
      <c r="F162">
        <f>(1.09+0.98+1)/3</f>
        <v>1.0233333333333334</v>
      </c>
      <c r="G162">
        <f>(0.9+0.91+0.92)/3</f>
        <v>0.91</v>
      </c>
      <c r="H162">
        <v>244</v>
      </c>
      <c r="I162" t="s">
        <v>326</v>
      </c>
      <c r="J162" t="s">
        <v>589</v>
      </c>
      <c r="K162" t="s">
        <v>276</v>
      </c>
      <c r="L162" t="s">
        <v>268</v>
      </c>
      <c r="N162" t="s">
        <v>360</v>
      </c>
      <c r="O162" t="s">
        <v>270</v>
      </c>
      <c r="P162" t="s">
        <v>271</v>
      </c>
      <c r="Q162">
        <v>10.18</v>
      </c>
      <c r="R162">
        <v>6.69</v>
      </c>
      <c r="S162" t="s">
        <v>372</v>
      </c>
      <c r="T162">
        <v>0</v>
      </c>
      <c r="U162">
        <v>0.49</v>
      </c>
      <c r="V162">
        <v>0.06</v>
      </c>
      <c r="W162">
        <v>1.75</v>
      </c>
      <c r="X162" s="5"/>
      <c r="Z162">
        <v>1.87</v>
      </c>
      <c r="AA162">
        <v>3.01</v>
      </c>
      <c r="AD162" t="s">
        <v>590</v>
      </c>
      <c r="AE162" s="5" t="s">
        <v>562</v>
      </c>
    </row>
    <row r="163" spans="1:31" ht="16" x14ac:dyDescent="0.2">
      <c r="A163" t="s">
        <v>563</v>
      </c>
      <c r="B163" t="s">
        <v>10</v>
      </c>
      <c r="C163" t="s">
        <v>560</v>
      </c>
      <c r="D163" t="s">
        <v>169</v>
      </c>
      <c r="E163" t="s">
        <v>321</v>
      </c>
      <c r="F163">
        <f>(1.13+1.04+1.07)/3</f>
        <v>1.08</v>
      </c>
      <c r="G163">
        <f>(0.7+0.88+0.79)/3</f>
        <v>0.79</v>
      </c>
      <c r="H163">
        <v>230.7</v>
      </c>
      <c r="I163" t="s">
        <v>326</v>
      </c>
      <c r="J163" t="s">
        <v>589</v>
      </c>
      <c r="K163" t="s">
        <v>276</v>
      </c>
      <c r="L163" t="s">
        <v>268</v>
      </c>
      <c r="N163" t="s">
        <v>277</v>
      </c>
      <c r="O163" t="s">
        <v>270</v>
      </c>
      <c r="P163" t="s">
        <v>271</v>
      </c>
      <c r="Q163">
        <v>9.2899999999999991</v>
      </c>
      <c r="R163">
        <v>6.94</v>
      </c>
      <c r="S163" t="s">
        <v>372</v>
      </c>
      <c r="T163">
        <v>0</v>
      </c>
      <c r="U163">
        <v>0.54</v>
      </c>
      <c r="V163">
        <v>0.05</v>
      </c>
      <c r="W163">
        <v>1.77</v>
      </c>
      <c r="Z163">
        <v>1.86</v>
      </c>
      <c r="AA163">
        <v>2.85</v>
      </c>
      <c r="AD163" t="s">
        <v>590</v>
      </c>
    </row>
    <row r="164" spans="1:31" ht="16" x14ac:dyDescent="0.2">
      <c r="A164" t="s">
        <v>564</v>
      </c>
      <c r="B164" t="s">
        <v>10</v>
      </c>
      <c r="C164" t="s">
        <v>565</v>
      </c>
      <c r="D164" t="s">
        <v>171</v>
      </c>
      <c r="E164" t="s">
        <v>384</v>
      </c>
      <c r="F164">
        <f>(1.49+1.28+1.48)/3</f>
        <v>1.4166666666666667</v>
      </c>
      <c r="G164">
        <f>(0.71+0.71+0.9)/3</f>
        <v>0.77333333333333332</v>
      </c>
      <c r="H164">
        <v>233</v>
      </c>
      <c r="I164" t="s">
        <v>326</v>
      </c>
      <c r="J164" t="s">
        <v>589</v>
      </c>
      <c r="K164" t="s">
        <v>276</v>
      </c>
      <c r="L164" t="s">
        <v>352</v>
      </c>
      <c r="N164" t="s">
        <v>360</v>
      </c>
      <c r="O164" t="s">
        <v>324</v>
      </c>
      <c r="P164" t="s">
        <v>271</v>
      </c>
      <c r="Q164">
        <v>12.1</v>
      </c>
      <c r="R164">
        <v>9.59</v>
      </c>
      <c r="S164" t="s">
        <v>372</v>
      </c>
      <c r="T164">
        <v>0</v>
      </c>
      <c r="U164">
        <v>0.65</v>
      </c>
      <c r="V164">
        <v>0.05</v>
      </c>
      <c r="W164">
        <v>2.1</v>
      </c>
      <c r="Z164">
        <v>2.11</v>
      </c>
      <c r="AA164">
        <v>2.27</v>
      </c>
      <c r="AD164" t="s">
        <v>590</v>
      </c>
      <c r="AE164" t="s">
        <v>566</v>
      </c>
    </row>
    <row r="165" spans="1:31" ht="16" x14ac:dyDescent="0.2">
      <c r="A165" t="s">
        <v>567</v>
      </c>
      <c r="B165" t="s">
        <v>10</v>
      </c>
      <c r="C165" t="s">
        <v>565</v>
      </c>
      <c r="D165" t="s">
        <v>171</v>
      </c>
      <c r="E165" t="s">
        <v>384</v>
      </c>
      <c r="F165">
        <f>(1.29+1.38+1.41)/3</f>
        <v>1.36</v>
      </c>
      <c r="G165">
        <f>(0.95+0.84+0.91)/3</f>
        <v>0.9</v>
      </c>
      <c r="H165">
        <v>110.7</v>
      </c>
      <c r="I165" t="s">
        <v>677</v>
      </c>
      <c r="J165" t="s">
        <v>589</v>
      </c>
      <c r="K165" t="s">
        <v>276</v>
      </c>
      <c r="L165" t="s">
        <v>268</v>
      </c>
      <c r="N165" t="s">
        <v>269</v>
      </c>
      <c r="O165" t="s">
        <v>324</v>
      </c>
      <c r="P165" t="s">
        <v>271</v>
      </c>
      <c r="Q165">
        <v>12.82</v>
      </c>
      <c r="R165">
        <v>11</v>
      </c>
      <c r="S165" t="s">
        <v>372</v>
      </c>
      <c r="T165">
        <v>3</v>
      </c>
      <c r="U165">
        <v>0.53</v>
      </c>
      <c r="V165">
        <v>0.06</v>
      </c>
      <c r="W165">
        <v>2.12</v>
      </c>
      <c r="X165" s="5"/>
      <c r="Z165">
        <v>2.21</v>
      </c>
      <c r="AA165">
        <v>3.06</v>
      </c>
      <c r="AD165" t="s">
        <v>590</v>
      </c>
      <c r="AE165" s="5" t="s">
        <v>724</v>
      </c>
    </row>
    <row r="166" spans="1:31" ht="16" x14ac:dyDescent="0.2">
      <c r="A166" t="s">
        <v>568</v>
      </c>
      <c r="B166" t="s">
        <v>10</v>
      </c>
      <c r="C166" t="s">
        <v>565</v>
      </c>
      <c r="D166" t="s">
        <v>171</v>
      </c>
      <c r="E166" t="s">
        <v>384</v>
      </c>
      <c r="F166">
        <f>(1.45+1.43+1.33)/3</f>
        <v>1.4033333333333333</v>
      </c>
      <c r="G166">
        <f>(0.79+0.81+0.82)/3</f>
        <v>0.80666666666666664</v>
      </c>
      <c r="H166">
        <v>203.7</v>
      </c>
      <c r="I166" t="s">
        <v>348</v>
      </c>
      <c r="J166" t="s">
        <v>348</v>
      </c>
      <c r="K166" t="s">
        <v>276</v>
      </c>
      <c r="L166" t="s">
        <v>352</v>
      </c>
      <c r="N166" t="s">
        <v>360</v>
      </c>
      <c r="O166" t="s">
        <v>324</v>
      </c>
      <c r="P166" t="s">
        <v>271</v>
      </c>
      <c r="Q166">
        <v>10.71</v>
      </c>
      <c r="R166">
        <v>8.59</v>
      </c>
      <c r="S166" t="s">
        <v>372</v>
      </c>
      <c r="T166">
        <v>0</v>
      </c>
      <c r="U166">
        <v>0.63</v>
      </c>
      <c r="V166">
        <v>0.05</v>
      </c>
      <c r="W166">
        <v>1.53</v>
      </c>
      <c r="Z166">
        <v>1.72</v>
      </c>
      <c r="AA166">
        <v>1.08</v>
      </c>
      <c r="AD166" t="s">
        <v>590</v>
      </c>
    </row>
    <row r="167" spans="1:31" ht="16" x14ac:dyDescent="0.2">
      <c r="A167" t="s">
        <v>569</v>
      </c>
      <c r="B167" t="s">
        <v>10</v>
      </c>
      <c r="C167" t="s">
        <v>570</v>
      </c>
      <c r="D167" t="s">
        <v>224</v>
      </c>
      <c r="E167" t="s">
        <v>321</v>
      </c>
      <c r="H167">
        <v>232</v>
      </c>
      <c r="I167" t="s">
        <v>326</v>
      </c>
      <c r="K167" t="s">
        <v>276</v>
      </c>
      <c r="L167" t="s">
        <v>340</v>
      </c>
      <c r="N167" t="s">
        <v>269</v>
      </c>
      <c r="O167" t="s">
        <v>324</v>
      </c>
      <c r="P167" t="s">
        <v>271</v>
      </c>
      <c r="Q167">
        <v>14.8</v>
      </c>
      <c r="R167">
        <v>11.39</v>
      </c>
      <c r="S167" t="s">
        <v>372</v>
      </c>
    </row>
    <row r="168" spans="1:31" ht="16" x14ac:dyDescent="0.2">
      <c r="A168" t="s">
        <v>571</v>
      </c>
      <c r="B168" t="s">
        <v>10</v>
      </c>
      <c r="C168" t="s">
        <v>570</v>
      </c>
      <c r="D168" t="s">
        <v>224</v>
      </c>
      <c r="E168" t="s">
        <v>335</v>
      </c>
      <c r="F168">
        <f>(1.69+1.63+1.12)/3</f>
        <v>1.4799999999999998</v>
      </c>
      <c r="G168">
        <f>(0.93+0.95+0.92)/3</f>
        <v>0.93333333333333324</v>
      </c>
      <c r="H168">
        <v>244</v>
      </c>
      <c r="I168" t="s">
        <v>326</v>
      </c>
      <c r="K168" t="s">
        <v>276</v>
      </c>
      <c r="L168" t="s">
        <v>352</v>
      </c>
      <c r="S168" t="s">
        <v>372</v>
      </c>
      <c r="T168">
        <v>0</v>
      </c>
      <c r="X168" s="5"/>
      <c r="AE168" s="5" t="s">
        <v>572</v>
      </c>
    </row>
    <row r="169" spans="1:31" ht="16" x14ac:dyDescent="0.2">
      <c r="A169" t="s">
        <v>573</v>
      </c>
      <c r="B169" t="s">
        <v>10</v>
      </c>
      <c r="C169" t="s">
        <v>570</v>
      </c>
      <c r="D169" t="s">
        <v>224</v>
      </c>
      <c r="E169" t="s">
        <v>335</v>
      </c>
      <c r="F169">
        <f>(1.03+1+1.05)/3</f>
        <v>1.0266666666666666</v>
      </c>
      <c r="G169">
        <f>(0.83+0.81+0.87)/3</f>
        <v>0.83666666666666678</v>
      </c>
      <c r="H169">
        <v>216.3</v>
      </c>
      <c r="I169" t="s">
        <v>326</v>
      </c>
      <c r="K169" t="s">
        <v>276</v>
      </c>
      <c r="L169" t="s">
        <v>268</v>
      </c>
      <c r="S169" t="s">
        <v>372</v>
      </c>
      <c r="T169">
        <v>0</v>
      </c>
      <c r="X169" s="5"/>
      <c r="AE169" s="5" t="s">
        <v>572</v>
      </c>
    </row>
    <row r="170" spans="1:31" ht="16" x14ac:dyDescent="0.2">
      <c r="A170" t="s">
        <v>574</v>
      </c>
      <c r="B170" t="s">
        <v>10</v>
      </c>
      <c r="C170" t="s">
        <v>570</v>
      </c>
      <c r="D170" t="s">
        <v>224</v>
      </c>
      <c r="E170" t="s">
        <v>335</v>
      </c>
      <c r="F170">
        <f>(1.3+1.27+1.26)/3</f>
        <v>1.2766666666666666</v>
      </c>
      <c r="G170">
        <f>(0.81+0.84+0.88)/3</f>
        <v>0.84333333333333327</v>
      </c>
      <c r="H170">
        <v>231.7</v>
      </c>
      <c r="I170" t="s">
        <v>326</v>
      </c>
      <c r="K170" t="s">
        <v>276</v>
      </c>
      <c r="L170" t="s">
        <v>268</v>
      </c>
      <c r="S170" t="s">
        <v>372</v>
      </c>
      <c r="X170" s="5"/>
      <c r="AE170" s="5" t="s">
        <v>572</v>
      </c>
    </row>
    <row r="171" spans="1:31" ht="16" x14ac:dyDescent="0.2">
      <c r="A171" t="s">
        <v>575</v>
      </c>
      <c r="B171" t="s">
        <v>18</v>
      </c>
      <c r="C171" t="s">
        <v>576</v>
      </c>
      <c r="D171" t="s">
        <v>577</v>
      </c>
      <c r="E171" t="s">
        <v>384</v>
      </c>
      <c r="F171">
        <f>(1.15+1.12+1.13)/3</f>
        <v>1.1333333333333333</v>
      </c>
      <c r="G171">
        <f>(0.91+0.91+0.94)/3</f>
        <v>0.91999999999999993</v>
      </c>
      <c r="H171">
        <v>205</v>
      </c>
      <c r="I171" t="s">
        <v>578</v>
      </c>
      <c r="J171" t="s">
        <v>348</v>
      </c>
      <c r="K171" t="s">
        <v>267</v>
      </c>
      <c r="L171" t="s">
        <v>340</v>
      </c>
      <c r="N171" t="s">
        <v>269</v>
      </c>
      <c r="O171" t="s">
        <v>270</v>
      </c>
      <c r="P171" t="s">
        <v>271</v>
      </c>
      <c r="Q171">
        <v>13.65</v>
      </c>
      <c r="R171">
        <v>11.29</v>
      </c>
      <c r="S171" t="s">
        <v>451</v>
      </c>
      <c r="T171">
        <v>3</v>
      </c>
      <c r="U171">
        <v>0.69</v>
      </c>
      <c r="V171">
        <v>0.06</v>
      </c>
      <c r="W171">
        <v>2.21</v>
      </c>
      <c r="Z171">
        <v>1.86</v>
      </c>
      <c r="AA171">
        <v>2.91</v>
      </c>
      <c r="AD171" t="s">
        <v>590</v>
      </c>
    </row>
    <row r="172" spans="1:31" ht="16" x14ac:dyDescent="0.2">
      <c r="A172" t="s">
        <v>579</v>
      </c>
      <c r="B172" t="s">
        <v>18</v>
      </c>
      <c r="C172" t="s">
        <v>576</v>
      </c>
      <c r="D172" t="s">
        <v>577</v>
      </c>
      <c r="E172" t="s">
        <v>384</v>
      </c>
      <c r="F172">
        <f>(0.91+1.1+1.3)/3</f>
        <v>1.1033333333333335</v>
      </c>
      <c r="G172">
        <f>(0.93+1.13+0.98)/3</f>
        <v>1.0133333333333334</v>
      </c>
      <c r="H172">
        <v>122</v>
      </c>
      <c r="I172" t="s">
        <v>345</v>
      </c>
      <c r="J172" t="s">
        <v>348</v>
      </c>
      <c r="K172" t="s">
        <v>276</v>
      </c>
      <c r="L172" t="s">
        <v>340</v>
      </c>
      <c r="N172" t="s">
        <v>269</v>
      </c>
      <c r="O172" t="s">
        <v>270</v>
      </c>
      <c r="P172" t="s">
        <v>271</v>
      </c>
      <c r="Q172">
        <v>12.84</v>
      </c>
      <c r="R172">
        <v>11.16</v>
      </c>
      <c r="S172" t="s">
        <v>455</v>
      </c>
      <c r="T172">
        <v>3</v>
      </c>
      <c r="U172">
        <v>0.51</v>
      </c>
      <c r="V172">
        <v>0.06</v>
      </c>
      <c r="W172">
        <v>2.3199999999999998</v>
      </c>
      <c r="Z172">
        <v>1.73</v>
      </c>
      <c r="AA172">
        <v>2.09</v>
      </c>
      <c r="AD172" t="s">
        <v>590</v>
      </c>
    </row>
    <row r="173" spans="1:31" ht="16" x14ac:dyDescent="0.2">
      <c r="A173" t="s">
        <v>580</v>
      </c>
      <c r="B173" t="s">
        <v>18</v>
      </c>
      <c r="C173" t="s">
        <v>576</v>
      </c>
      <c r="D173" t="s">
        <v>577</v>
      </c>
      <c r="E173" t="s">
        <v>384</v>
      </c>
      <c r="F173">
        <f>(0.97+1.08+1.03)/3</f>
        <v>1.0266666666666666</v>
      </c>
      <c r="G173">
        <f>(0.92+0.95+0.97)/3</f>
        <v>0.94666666666666666</v>
      </c>
      <c r="H173">
        <v>158.30000000000001</v>
      </c>
      <c r="I173" t="s">
        <v>285</v>
      </c>
      <c r="J173" t="s">
        <v>348</v>
      </c>
      <c r="K173" t="s">
        <v>276</v>
      </c>
      <c r="L173" t="s">
        <v>340</v>
      </c>
      <c r="N173" t="s">
        <v>269</v>
      </c>
      <c r="O173" t="s">
        <v>270</v>
      </c>
      <c r="P173" t="s">
        <v>271</v>
      </c>
      <c r="Q173">
        <v>8.8800000000000008</v>
      </c>
      <c r="R173">
        <v>6.93</v>
      </c>
      <c r="S173" t="s">
        <v>451</v>
      </c>
      <c r="T173">
        <v>3</v>
      </c>
      <c r="U173">
        <v>0.7</v>
      </c>
      <c r="V173">
        <v>0.05</v>
      </c>
      <c r="W173">
        <v>1.81</v>
      </c>
      <c r="Z173">
        <v>1.53</v>
      </c>
      <c r="AA173">
        <v>1.62</v>
      </c>
      <c r="AD173" t="s">
        <v>590</v>
      </c>
    </row>
    <row r="174" spans="1:31" ht="16" x14ac:dyDescent="0.2">
      <c r="A174" t="s">
        <v>581</v>
      </c>
      <c r="B174" t="s">
        <v>18</v>
      </c>
      <c r="C174" t="s">
        <v>582</v>
      </c>
      <c r="D174" t="s">
        <v>224</v>
      </c>
      <c r="E174" t="s">
        <v>335</v>
      </c>
      <c r="N174" t="s">
        <v>269</v>
      </c>
      <c r="O174" t="s">
        <v>270</v>
      </c>
      <c r="P174" t="s">
        <v>271</v>
      </c>
      <c r="Q174">
        <v>11.82</v>
      </c>
      <c r="R174">
        <v>9.9600000000000009</v>
      </c>
    </row>
    <row r="175" spans="1:31" ht="16" x14ac:dyDescent="0.2">
      <c r="A175" t="s">
        <v>583</v>
      </c>
      <c r="B175" t="s">
        <v>18</v>
      </c>
      <c r="C175" t="s">
        <v>584</v>
      </c>
      <c r="D175" t="s">
        <v>224</v>
      </c>
      <c r="E175" t="s">
        <v>335</v>
      </c>
      <c r="N175" t="s">
        <v>269</v>
      </c>
      <c r="O175" t="s">
        <v>270</v>
      </c>
      <c r="P175" t="s">
        <v>271</v>
      </c>
      <c r="Q175">
        <v>8.74</v>
      </c>
      <c r="R175">
        <v>7.09</v>
      </c>
    </row>
    <row r="176" spans="1:31" ht="16" x14ac:dyDescent="0.2">
      <c r="A176" t="s">
        <v>585</v>
      </c>
      <c r="B176" t="s">
        <v>18</v>
      </c>
      <c r="C176" t="s">
        <v>586</v>
      </c>
      <c r="D176" t="s">
        <v>224</v>
      </c>
      <c r="E176" t="s">
        <v>384</v>
      </c>
      <c r="F176">
        <f>(1.43 + 1.31 + 1.01) / 3</f>
        <v>1.25</v>
      </c>
      <c r="G176">
        <f>(0.91+0.87+0.84)/3</f>
        <v>0.87333333333333341</v>
      </c>
      <c r="H176">
        <v>137.30000000000001</v>
      </c>
      <c r="I176" t="s">
        <v>345</v>
      </c>
      <c r="J176" t="s">
        <v>348</v>
      </c>
      <c r="K176" t="s">
        <v>276</v>
      </c>
      <c r="L176" t="s">
        <v>352</v>
      </c>
      <c r="N176" t="s">
        <v>360</v>
      </c>
      <c r="O176" t="s">
        <v>270</v>
      </c>
      <c r="P176" t="s">
        <v>271</v>
      </c>
      <c r="Q176">
        <v>10.76</v>
      </c>
      <c r="R176">
        <v>7.97</v>
      </c>
      <c r="S176" t="s">
        <v>372</v>
      </c>
      <c r="T176">
        <v>1</v>
      </c>
      <c r="U176">
        <v>0.44</v>
      </c>
      <c r="V176">
        <v>0.04</v>
      </c>
      <c r="W176">
        <v>1.37</v>
      </c>
      <c r="Z176">
        <v>1.32</v>
      </c>
      <c r="AA176">
        <v>3.32</v>
      </c>
      <c r="AD176" t="s">
        <v>590</v>
      </c>
    </row>
    <row r="177" spans="1:31" ht="15.75" customHeight="1" x14ac:dyDescent="0.2">
      <c r="A177" t="s">
        <v>587</v>
      </c>
      <c r="B177" t="s">
        <v>10</v>
      </c>
      <c r="C177" t="s">
        <v>588</v>
      </c>
      <c r="D177" t="s">
        <v>14</v>
      </c>
      <c r="E177" t="s">
        <v>321</v>
      </c>
      <c r="F177">
        <v>1.28</v>
      </c>
      <c r="G177">
        <v>0.85</v>
      </c>
      <c r="H177">
        <v>236</v>
      </c>
      <c r="I177" t="s">
        <v>326</v>
      </c>
      <c r="J177" t="s">
        <v>589</v>
      </c>
      <c r="K177" t="s">
        <v>276</v>
      </c>
      <c r="L177" t="s">
        <v>268</v>
      </c>
      <c r="N177" t="s">
        <v>360</v>
      </c>
      <c r="O177" t="s">
        <v>324</v>
      </c>
      <c r="P177" t="s">
        <v>271</v>
      </c>
      <c r="Q177">
        <v>12.85</v>
      </c>
      <c r="R177">
        <v>10</v>
      </c>
      <c r="S177" t="s">
        <v>372</v>
      </c>
      <c r="T177">
        <v>1</v>
      </c>
      <c r="U177">
        <v>0.53</v>
      </c>
      <c r="V177">
        <v>0.4</v>
      </c>
      <c r="W177">
        <v>1.59</v>
      </c>
      <c r="X177">
        <v>0.37</v>
      </c>
      <c r="Y177">
        <v>14.48</v>
      </c>
      <c r="Z177" s="32">
        <v>1.53</v>
      </c>
      <c r="AA177">
        <v>3.16</v>
      </c>
      <c r="AD177" t="s">
        <v>590</v>
      </c>
    </row>
    <row r="178" spans="1:31" ht="15.75" customHeight="1" x14ac:dyDescent="0.2">
      <c r="A178" t="s">
        <v>591</v>
      </c>
      <c r="B178" t="s">
        <v>10</v>
      </c>
      <c r="C178" t="s">
        <v>588</v>
      </c>
      <c r="D178" t="s">
        <v>14</v>
      </c>
      <c r="E178" t="s">
        <v>321</v>
      </c>
      <c r="F178">
        <v>1.31</v>
      </c>
      <c r="G178">
        <v>0.85</v>
      </c>
      <c r="H178">
        <v>239</v>
      </c>
      <c r="I178" t="s">
        <v>326</v>
      </c>
      <c r="J178" t="s">
        <v>589</v>
      </c>
      <c r="K178" t="s">
        <v>276</v>
      </c>
      <c r="L178" t="s">
        <v>352</v>
      </c>
      <c r="N178" t="s">
        <v>360</v>
      </c>
      <c r="O178" t="s">
        <v>324</v>
      </c>
      <c r="P178" t="s">
        <v>271</v>
      </c>
      <c r="Q178">
        <v>12.71</v>
      </c>
      <c r="R178">
        <v>10.28</v>
      </c>
      <c r="S178" t="s">
        <v>372</v>
      </c>
      <c r="T178">
        <v>0</v>
      </c>
      <c r="U178">
        <v>0.46</v>
      </c>
      <c r="V178">
        <v>0.5</v>
      </c>
      <c r="W178">
        <v>1.31</v>
      </c>
      <c r="X178">
        <v>0.38</v>
      </c>
      <c r="Y178">
        <v>11.24</v>
      </c>
      <c r="Z178" s="32">
        <v>1.48</v>
      </c>
      <c r="AA178">
        <v>2.48</v>
      </c>
      <c r="AD178" t="s">
        <v>590</v>
      </c>
    </row>
    <row r="179" spans="1:31" ht="15.75" customHeight="1" x14ac:dyDescent="0.2">
      <c r="A179" t="s">
        <v>592</v>
      </c>
      <c r="B179" t="s">
        <v>10</v>
      </c>
      <c r="C179" t="s">
        <v>588</v>
      </c>
      <c r="D179" t="s">
        <v>14</v>
      </c>
      <c r="E179" t="s">
        <v>321</v>
      </c>
      <c r="F179">
        <v>1.1100000000000001</v>
      </c>
      <c r="G179">
        <v>0.72</v>
      </c>
      <c r="H179">
        <f>(230+238)/2</f>
        <v>234</v>
      </c>
      <c r="I179" t="s">
        <v>326</v>
      </c>
      <c r="J179" t="s">
        <v>589</v>
      </c>
      <c r="K179" t="s">
        <v>276</v>
      </c>
      <c r="L179" t="s">
        <v>340</v>
      </c>
      <c r="N179" t="s">
        <v>277</v>
      </c>
      <c r="O179" t="s">
        <v>324</v>
      </c>
      <c r="P179" t="s">
        <v>271</v>
      </c>
      <c r="Q179">
        <v>10.56</v>
      </c>
      <c r="R179">
        <v>7.94</v>
      </c>
      <c r="S179" t="s">
        <v>372</v>
      </c>
      <c r="T179">
        <v>0</v>
      </c>
      <c r="U179">
        <v>0.39</v>
      </c>
      <c r="V179">
        <v>0.5</v>
      </c>
      <c r="W179">
        <v>1.27</v>
      </c>
      <c r="X179">
        <v>0.3</v>
      </c>
      <c r="Y179">
        <v>10.18</v>
      </c>
      <c r="Z179" s="32"/>
      <c r="AA179">
        <v>3.18</v>
      </c>
      <c r="AD179" t="s">
        <v>590</v>
      </c>
    </row>
    <row r="180" spans="1:31" ht="15.75" customHeight="1" x14ac:dyDescent="0.2">
      <c r="A180" t="s">
        <v>593</v>
      </c>
      <c r="B180" t="s">
        <v>10</v>
      </c>
      <c r="C180" t="s">
        <v>180</v>
      </c>
      <c r="D180" t="s">
        <v>14</v>
      </c>
      <c r="E180" t="s">
        <v>321</v>
      </c>
      <c r="F180">
        <v>1.49</v>
      </c>
      <c r="G180">
        <v>0.91</v>
      </c>
      <c r="H180">
        <v>175</v>
      </c>
      <c r="I180" t="s">
        <v>348</v>
      </c>
      <c r="J180" t="s">
        <v>589</v>
      </c>
      <c r="K180" t="s">
        <v>276</v>
      </c>
      <c r="L180" t="s">
        <v>268</v>
      </c>
      <c r="N180" t="s">
        <v>269</v>
      </c>
      <c r="O180" t="s">
        <v>324</v>
      </c>
      <c r="P180" t="s">
        <v>271</v>
      </c>
      <c r="Q180">
        <v>12.98</v>
      </c>
      <c r="R180">
        <v>11.6</v>
      </c>
      <c r="S180" t="s">
        <v>372</v>
      </c>
      <c r="T180">
        <v>0</v>
      </c>
      <c r="U180">
        <v>0.52</v>
      </c>
      <c r="V180">
        <v>0.6</v>
      </c>
      <c r="W180">
        <v>2.16</v>
      </c>
      <c r="X180">
        <v>0.43</v>
      </c>
      <c r="Y180">
        <v>13.06</v>
      </c>
      <c r="Z180" s="32">
        <v>2.2799999999999998</v>
      </c>
      <c r="AA180">
        <v>2.2999999999999998</v>
      </c>
      <c r="AB180" s="32"/>
      <c r="AD180" t="s">
        <v>295</v>
      </c>
    </row>
    <row r="181" spans="1:31" ht="15.75" customHeight="1" x14ac:dyDescent="0.2">
      <c r="A181" t="s">
        <v>594</v>
      </c>
      <c r="B181" t="s">
        <v>10</v>
      </c>
      <c r="C181" t="s">
        <v>180</v>
      </c>
      <c r="D181" t="s">
        <v>14</v>
      </c>
      <c r="E181" t="s">
        <v>321</v>
      </c>
      <c r="F181">
        <v>1.4</v>
      </c>
      <c r="G181">
        <v>0.85</v>
      </c>
      <c r="H181">
        <v>213</v>
      </c>
      <c r="I181" t="s">
        <v>326</v>
      </c>
      <c r="J181" t="s">
        <v>589</v>
      </c>
      <c r="K181" t="s">
        <v>276</v>
      </c>
      <c r="L181" t="s">
        <v>268</v>
      </c>
      <c r="N181" t="s">
        <v>269</v>
      </c>
      <c r="O181" t="s">
        <v>324</v>
      </c>
      <c r="P181" t="s">
        <v>271</v>
      </c>
      <c r="Q181">
        <v>13.05</v>
      </c>
      <c r="R181">
        <v>11.62</v>
      </c>
      <c r="S181" t="s">
        <v>372</v>
      </c>
      <c r="T181">
        <v>1</v>
      </c>
      <c r="U181">
        <v>0.62</v>
      </c>
      <c r="V181">
        <v>0.4</v>
      </c>
      <c r="W181">
        <v>2.04</v>
      </c>
      <c r="X181">
        <v>0.43</v>
      </c>
      <c r="Y181">
        <v>14.31</v>
      </c>
      <c r="Z181" s="32">
        <v>1.94</v>
      </c>
      <c r="AA181">
        <v>3.54</v>
      </c>
      <c r="AB181" s="32"/>
    </row>
    <row r="182" spans="1:31" ht="15.75" customHeight="1" x14ac:dyDescent="0.2">
      <c r="A182" t="s">
        <v>595</v>
      </c>
      <c r="B182" t="s">
        <v>10</v>
      </c>
      <c r="C182" t="s">
        <v>180</v>
      </c>
      <c r="D182" t="s">
        <v>14</v>
      </c>
      <c r="E182" t="s">
        <v>321</v>
      </c>
      <c r="F182">
        <v>1.55</v>
      </c>
      <c r="G182">
        <v>0.9</v>
      </c>
      <c r="H182">
        <v>187</v>
      </c>
      <c r="I182" t="s">
        <v>348</v>
      </c>
      <c r="J182" t="s">
        <v>589</v>
      </c>
      <c r="K182" t="s">
        <v>276</v>
      </c>
      <c r="L182" t="s">
        <v>352</v>
      </c>
      <c r="N182" t="s">
        <v>269</v>
      </c>
      <c r="O182" t="s">
        <v>324</v>
      </c>
      <c r="P182" t="s">
        <v>271</v>
      </c>
      <c r="Q182">
        <v>13.4</v>
      </c>
      <c r="R182">
        <v>11.45</v>
      </c>
      <c r="S182" t="s">
        <v>372</v>
      </c>
      <c r="T182">
        <v>1</v>
      </c>
      <c r="U182">
        <v>0.54</v>
      </c>
      <c r="V182">
        <v>0.6</v>
      </c>
      <c r="W182">
        <v>2.11</v>
      </c>
      <c r="X182">
        <v>0.44</v>
      </c>
      <c r="Y182">
        <v>11.95</v>
      </c>
      <c r="Z182" s="32"/>
      <c r="AA182">
        <v>2.61</v>
      </c>
      <c r="AD182" t="s">
        <v>295</v>
      </c>
      <c r="AE182" t="s">
        <v>596</v>
      </c>
    </row>
    <row r="183" spans="1:31" ht="15.75" customHeight="1" x14ac:dyDescent="0.2">
      <c r="A183" t="s">
        <v>597</v>
      </c>
      <c r="B183" t="s">
        <v>10</v>
      </c>
      <c r="C183" t="s">
        <v>183</v>
      </c>
      <c r="D183" t="s">
        <v>14</v>
      </c>
      <c r="E183" t="s">
        <v>384</v>
      </c>
      <c r="F183">
        <v>1.38</v>
      </c>
      <c r="G183">
        <v>0.99</v>
      </c>
      <c r="H183">
        <v>165</v>
      </c>
      <c r="I183" t="s">
        <v>348</v>
      </c>
      <c r="J183" t="s">
        <v>589</v>
      </c>
      <c r="K183" t="s">
        <v>276</v>
      </c>
      <c r="L183" t="s">
        <v>268</v>
      </c>
      <c r="N183" t="s">
        <v>277</v>
      </c>
      <c r="O183" t="s">
        <v>324</v>
      </c>
      <c r="P183" t="s">
        <v>271</v>
      </c>
      <c r="Q183">
        <v>15.8</v>
      </c>
      <c r="R183">
        <v>12.41</v>
      </c>
      <c r="S183" t="s">
        <v>372</v>
      </c>
      <c r="T183">
        <v>0</v>
      </c>
      <c r="U183">
        <v>0.52</v>
      </c>
      <c r="V183">
        <v>0.7</v>
      </c>
      <c r="W183">
        <v>2.23</v>
      </c>
      <c r="X183">
        <v>0.51</v>
      </c>
      <c r="Y183">
        <v>11.81</v>
      </c>
      <c r="Z183" s="32">
        <v>2.73</v>
      </c>
      <c r="AA183">
        <v>2.31</v>
      </c>
      <c r="AB183" s="32"/>
      <c r="AD183" t="s">
        <v>295</v>
      </c>
      <c r="AE183" t="s">
        <v>596</v>
      </c>
    </row>
    <row r="184" spans="1:31" ht="15.75" customHeight="1" x14ac:dyDescent="0.2">
      <c r="A184" t="s">
        <v>598</v>
      </c>
      <c r="B184" t="s">
        <v>10</v>
      </c>
      <c r="C184" t="s">
        <v>183</v>
      </c>
      <c r="D184" t="s">
        <v>14</v>
      </c>
      <c r="E184" t="s">
        <v>384</v>
      </c>
      <c r="F184">
        <v>1.34</v>
      </c>
      <c r="G184">
        <v>0.95</v>
      </c>
      <c r="H184">
        <v>217</v>
      </c>
      <c r="I184" t="s">
        <v>326</v>
      </c>
      <c r="J184" t="s">
        <v>589</v>
      </c>
      <c r="K184" t="s">
        <v>276</v>
      </c>
      <c r="L184" t="s">
        <v>268</v>
      </c>
      <c r="N184" t="s">
        <v>360</v>
      </c>
      <c r="O184" t="s">
        <v>324</v>
      </c>
      <c r="P184" t="s">
        <v>271</v>
      </c>
      <c r="Q184">
        <v>11.93</v>
      </c>
      <c r="R184">
        <v>10.31</v>
      </c>
      <c r="S184" t="s">
        <v>372</v>
      </c>
      <c r="T184">
        <v>2</v>
      </c>
      <c r="U184">
        <v>0.57999999999999996</v>
      </c>
      <c r="V184">
        <v>0.6</v>
      </c>
      <c r="W184">
        <v>2.17</v>
      </c>
      <c r="X184">
        <v>0.45</v>
      </c>
      <c r="Y184">
        <v>10.27</v>
      </c>
      <c r="Z184" s="32">
        <v>1.86</v>
      </c>
      <c r="AA184">
        <v>2.29</v>
      </c>
      <c r="AB184" s="32"/>
      <c r="AD184" t="s">
        <v>295</v>
      </c>
      <c r="AE184" t="s">
        <v>596</v>
      </c>
    </row>
    <row r="185" spans="1:31" ht="15.75" customHeight="1" x14ac:dyDescent="0.2">
      <c r="A185" t="s">
        <v>599</v>
      </c>
      <c r="B185" t="s">
        <v>10</v>
      </c>
      <c r="C185" t="s">
        <v>183</v>
      </c>
      <c r="D185" t="s">
        <v>14</v>
      </c>
      <c r="E185" t="s">
        <v>384</v>
      </c>
      <c r="F185">
        <v>1.4</v>
      </c>
      <c r="G185">
        <v>0.96</v>
      </c>
      <c r="H185">
        <v>189</v>
      </c>
      <c r="I185" t="s">
        <v>295</v>
      </c>
      <c r="J185" t="s">
        <v>589</v>
      </c>
      <c r="K185" t="s">
        <v>276</v>
      </c>
      <c r="L185" t="s">
        <v>268</v>
      </c>
      <c r="N185" t="s">
        <v>360</v>
      </c>
      <c r="O185" t="s">
        <v>324</v>
      </c>
      <c r="P185" t="s">
        <v>271</v>
      </c>
      <c r="Q185">
        <v>12.96</v>
      </c>
      <c r="R185">
        <v>10.57</v>
      </c>
      <c r="S185" t="s">
        <v>372</v>
      </c>
      <c r="T185">
        <v>0</v>
      </c>
      <c r="U185">
        <v>0.51</v>
      </c>
      <c r="V185">
        <v>0.7</v>
      </c>
      <c r="W185">
        <v>2.2400000000000002</v>
      </c>
      <c r="X185">
        <v>0.46</v>
      </c>
      <c r="Y185">
        <v>11.65</v>
      </c>
      <c r="Z185" s="32"/>
      <c r="AA185">
        <v>2.54</v>
      </c>
      <c r="AD185" t="s">
        <v>295</v>
      </c>
      <c r="AE185" t="s">
        <v>731</v>
      </c>
    </row>
    <row r="186" spans="1:31" ht="15.75" customHeight="1" x14ac:dyDescent="0.2">
      <c r="A186" t="s">
        <v>600</v>
      </c>
      <c r="B186" t="s">
        <v>10</v>
      </c>
      <c r="C186" t="s">
        <v>186</v>
      </c>
      <c r="D186" t="s">
        <v>134</v>
      </c>
      <c r="E186" t="s">
        <v>384</v>
      </c>
      <c r="F186">
        <v>1.67</v>
      </c>
      <c r="G186">
        <v>1.08</v>
      </c>
      <c r="H186">
        <v>147</v>
      </c>
      <c r="I186" t="s">
        <v>786</v>
      </c>
      <c r="J186" t="s">
        <v>589</v>
      </c>
      <c r="K186" t="s">
        <v>339</v>
      </c>
      <c r="L186" t="s">
        <v>268</v>
      </c>
      <c r="N186" t="s">
        <v>360</v>
      </c>
      <c r="O186" t="s">
        <v>270</v>
      </c>
      <c r="P186" t="s">
        <v>271</v>
      </c>
      <c r="Q186">
        <v>15.63</v>
      </c>
      <c r="R186">
        <v>11.31</v>
      </c>
      <c r="S186" t="s">
        <v>372</v>
      </c>
      <c r="T186">
        <v>0</v>
      </c>
      <c r="U186">
        <v>0.57999999999999996</v>
      </c>
      <c r="V186">
        <v>0.7</v>
      </c>
      <c r="W186">
        <v>2.2000000000000002</v>
      </c>
      <c r="X186">
        <v>0.53</v>
      </c>
      <c r="Y186">
        <v>14.46</v>
      </c>
      <c r="Z186" s="32">
        <v>2.39</v>
      </c>
      <c r="AA186">
        <v>2.4900000000000002</v>
      </c>
      <c r="AB186" s="32"/>
      <c r="AD186" t="s">
        <v>295</v>
      </c>
      <c r="AE186" t="s">
        <v>731</v>
      </c>
    </row>
    <row r="187" spans="1:31" ht="15.75" customHeight="1" x14ac:dyDescent="0.2">
      <c r="A187" t="s">
        <v>601</v>
      </c>
      <c r="B187" t="s">
        <v>10</v>
      </c>
      <c r="C187" t="s">
        <v>186</v>
      </c>
      <c r="D187" t="s">
        <v>134</v>
      </c>
      <c r="E187" t="s">
        <v>384</v>
      </c>
      <c r="F187">
        <v>1.46</v>
      </c>
      <c r="G187">
        <v>1.06</v>
      </c>
      <c r="H187">
        <v>181</v>
      </c>
      <c r="I187" t="s">
        <v>295</v>
      </c>
      <c r="J187" t="s">
        <v>589</v>
      </c>
      <c r="K187" t="s">
        <v>276</v>
      </c>
      <c r="L187" t="s">
        <v>268</v>
      </c>
      <c r="N187" t="s">
        <v>360</v>
      </c>
      <c r="O187" t="s">
        <v>270</v>
      </c>
      <c r="P187" t="s">
        <v>271</v>
      </c>
      <c r="Q187">
        <v>13.09</v>
      </c>
      <c r="R187">
        <v>10.11</v>
      </c>
      <c r="S187" t="s">
        <v>372</v>
      </c>
      <c r="T187">
        <v>2</v>
      </c>
      <c r="W187">
        <v>1.87</v>
      </c>
      <c r="X187">
        <v>0.47</v>
      </c>
      <c r="Y187">
        <v>11.83</v>
      </c>
      <c r="Z187" s="32">
        <v>2.34</v>
      </c>
      <c r="AA187">
        <v>2.13</v>
      </c>
      <c r="AB187" s="32"/>
      <c r="AD187" t="s">
        <v>590</v>
      </c>
      <c r="AE187" t="s">
        <v>731</v>
      </c>
    </row>
    <row r="188" spans="1:31" ht="15.75" customHeight="1" x14ac:dyDescent="0.2">
      <c r="A188" t="s">
        <v>602</v>
      </c>
      <c r="B188" t="s">
        <v>10</v>
      </c>
      <c r="C188" t="s">
        <v>186</v>
      </c>
      <c r="D188" t="s">
        <v>134</v>
      </c>
      <c r="E188" t="s">
        <v>384</v>
      </c>
      <c r="F188">
        <v>1.66</v>
      </c>
      <c r="G188">
        <v>0.92</v>
      </c>
      <c r="H188">
        <v>132</v>
      </c>
      <c r="I188" t="s">
        <v>786</v>
      </c>
      <c r="J188" t="s">
        <v>589</v>
      </c>
      <c r="K188" t="s">
        <v>339</v>
      </c>
      <c r="L188" t="s">
        <v>268</v>
      </c>
      <c r="N188" t="s">
        <v>269</v>
      </c>
      <c r="O188" t="s">
        <v>324</v>
      </c>
      <c r="P188" t="s">
        <v>271</v>
      </c>
      <c r="Q188">
        <v>16.559999999999999</v>
      </c>
      <c r="R188">
        <v>13.88</v>
      </c>
      <c r="S188" t="s">
        <v>372</v>
      </c>
      <c r="T188">
        <v>2</v>
      </c>
      <c r="U188">
        <v>0.68</v>
      </c>
      <c r="V188">
        <v>0.7</v>
      </c>
      <c r="W188">
        <v>2.27</v>
      </c>
      <c r="X188">
        <v>0.5</v>
      </c>
      <c r="Y188">
        <v>17.010000000000002</v>
      </c>
      <c r="Z188" s="32"/>
      <c r="AA188">
        <v>3.02</v>
      </c>
      <c r="AD188" t="s">
        <v>295</v>
      </c>
      <c r="AE188" t="s">
        <v>731</v>
      </c>
    </row>
    <row r="189" spans="1:31" ht="15.75" customHeight="1" x14ac:dyDescent="0.2">
      <c r="A189" t="s">
        <v>603</v>
      </c>
      <c r="B189" t="s">
        <v>10</v>
      </c>
      <c r="C189" t="s">
        <v>190</v>
      </c>
      <c r="D189" t="s">
        <v>134</v>
      </c>
      <c r="E189" t="s">
        <v>384</v>
      </c>
      <c r="F189">
        <v>1.33</v>
      </c>
      <c r="G189">
        <v>1.08</v>
      </c>
      <c r="H189">
        <v>125</v>
      </c>
      <c r="I189" t="s">
        <v>677</v>
      </c>
      <c r="J189" t="s">
        <v>589</v>
      </c>
      <c r="K189" t="s">
        <v>276</v>
      </c>
      <c r="L189" t="s">
        <v>268</v>
      </c>
      <c r="N189" t="s">
        <v>360</v>
      </c>
      <c r="O189" t="s">
        <v>324</v>
      </c>
      <c r="P189" t="s">
        <v>271</v>
      </c>
      <c r="Q189">
        <v>16.13</v>
      </c>
      <c r="R189">
        <v>12.21</v>
      </c>
      <c r="S189" t="s">
        <v>372</v>
      </c>
      <c r="T189">
        <v>2</v>
      </c>
      <c r="U189">
        <v>0.63</v>
      </c>
      <c r="V189">
        <v>0.8</v>
      </c>
      <c r="W189">
        <v>2.0299999999999998</v>
      </c>
      <c r="X189">
        <v>0.51</v>
      </c>
      <c r="Y189">
        <v>17.260000000000002</v>
      </c>
      <c r="Z189" s="32">
        <v>2.77</v>
      </c>
      <c r="AA189">
        <v>2.94</v>
      </c>
      <c r="AB189" s="32"/>
      <c r="AD189" t="s">
        <v>590</v>
      </c>
      <c r="AE189" t="s">
        <v>731</v>
      </c>
    </row>
    <row r="190" spans="1:31" ht="15.75" customHeight="1" x14ac:dyDescent="0.2">
      <c r="A190" t="s">
        <v>604</v>
      </c>
      <c r="B190" t="s">
        <v>10</v>
      </c>
      <c r="C190" t="s">
        <v>190</v>
      </c>
      <c r="D190" t="s">
        <v>134</v>
      </c>
      <c r="E190" t="s">
        <v>384</v>
      </c>
      <c r="F190">
        <v>1.75</v>
      </c>
      <c r="G190">
        <v>1.0900000000000001</v>
      </c>
      <c r="H190">
        <v>140</v>
      </c>
      <c r="I190" t="s">
        <v>786</v>
      </c>
      <c r="J190" t="s">
        <v>589</v>
      </c>
      <c r="K190" t="s">
        <v>276</v>
      </c>
      <c r="L190" t="s">
        <v>268</v>
      </c>
      <c r="N190" t="s">
        <v>269</v>
      </c>
      <c r="O190" t="s">
        <v>324</v>
      </c>
      <c r="P190" t="s">
        <v>271</v>
      </c>
      <c r="Q190">
        <v>13.99</v>
      </c>
      <c r="R190">
        <v>11.87</v>
      </c>
      <c r="S190" t="s">
        <v>372</v>
      </c>
      <c r="T190">
        <v>0</v>
      </c>
      <c r="U190">
        <v>0.61</v>
      </c>
      <c r="V190">
        <v>0.6</v>
      </c>
      <c r="W190">
        <v>2.1800000000000002</v>
      </c>
      <c r="X190">
        <v>0.48</v>
      </c>
      <c r="Y190">
        <v>16.61</v>
      </c>
      <c r="Z190" s="32"/>
      <c r="AA190">
        <v>3.93</v>
      </c>
      <c r="AB190" s="32"/>
      <c r="AD190" t="s">
        <v>590</v>
      </c>
      <c r="AE190" t="s">
        <v>731</v>
      </c>
    </row>
    <row r="191" spans="1:31" ht="15.75" customHeight="1" x14ac:dyDescent="0.2">
      <c r="A191" t="s">
        <v>605</v>
      </c>
      <c r="B191" t="s">
        <v>28</v>
      </c>
      <c r="C191" t="s">
        <v>193</v>
      </c>
      <c r="D191" t="s">
        <v>134</v>
      </c>
      <c r="E191" t="s">
        <v>384</v>
      </c>
      <c r="F191">
        <v>1.71</v>
      </c>
      <c r="G191">
        <v>1.1100000000000001</v>
      </c>
      <c r="H191">
        <v>140</v>
      </c>
      <c r="I191" t="s">
        <v>786</v>
      </c>
      <c r="J191" t="s">
        <v>606</v>
      </c>
      <c r="K191" t="s">
        <v>267</v>
      </c>
      <c r="L191" t="s">
        <v>340</v>
      </c>
      <c r="N191" t="s">
        <v>269</v>
      </c>
      <c r="O191" t="s">
        <v>324</v>
      </c>
      <c r="P191" t="s">
        <v>271</v>
      </c>
      <c r="Q191">
        <v>15.51</v>
      </c>
      <c r="R191">
        <v>13.19</v>
      </c>
      <c r="S191" t="s">
        <v>372</v>
      </c>
      <c r="T191">
        <v>3</v>
      </c>
      <c r="U191">
        <v>0.46</v>
      </c>
      <c r="V191">
        <v>0.6</v>
      </c>
      <c r="W191">
        <v>2.0299999999999998</v>
      </c>
      <c r="X191">
        <v>0.71</v>
      </c>
      <c r="Y191">
        <v>20.92</v>
      </c>
      <c r="Z191" s="32">
        <v>2.11</v>
      </c>
      <c r="AD191" t="s">
        <v>295</v>
      </c>
      <c r="AE191" t="s">
        <v>733</v>
      </c>
    </row>
    <row r="192" spans="1:31" ht="15.75" customHeight="1" x14ac:dyDescent="0.2">
      <c r="A192" t="s">
        <v>607</v>
      </c>
      <c r="B192" t="s">
        <v>28</v>
      </c>
      <c r="C192" t="s">
        <v>193</v>
      </c>
      <c r="D192" t="s">
        <v>134</v>
      </c>
      <c r="E192" t="s">
        <v>384</v>
      </c>
      <c r="F192">
        <v>3.08</v>
      </c>
      <c r="G192">
        <v>1.05</v>
      </c>
      <c r="H192">
        <v>154</v>
      </c>
      <c r="I192" t="s">
        <v>786</v>
      </c>
      <c r="J192" t="s">
        <v>606</v>
      </c>
      <c r="K192" t="s">
        <v>267</v>
      </c>
      <c r="L192" t="s">
        <v>268</v>
      </c>
      <c r="N192" t="s">
        <v>269</v>
      </c>
      <c r="O192" t="s">
        <v>324</v>
      </c>
      <c r="P192" t="s">
        <v>271</v>
      </c>
      <c r="Q192">
        <v>15.35</v>
      </c>
      <c r="R192">
        <v>12.5</v>
      </c>
      <c r="S192" t="s">
        <v>372</v>
      </c>
      <c r="T192">
        <v>2</v>
      </c>
      <c r="W192">
        <v>1.82</v>
      </c>
      <c r="X192">
        <v>0.73</v>
      </c>
      <c r="Y192">
        <v>17.010000000000002</v>
      </c>
      <c r="Z192" s="32">
        <v>1.91</v>
      </c>
      <c r="AA192">
        <v>3.72</v>
      </c>
      <c r="AD192" t="s">
        <v>295</v>
      </c>
      <c r="AE192" t="s">
        <v>734</v>
      </c>
    </row>
    <row r="193" spans="1:31" ht="15.75" customHeight="1" x14ac:dyDescent="0.2">
      <c r="A193" t="s">
        <v>608</v>
      </c>
      <c r="B193" t="s">
        <v>28</v>
      </c>
      <c r="C193" t="s">
        <v>193</v>
      </c>
      <c r="D193" t="s">
        <v>134</v>
      </c>
      <c r="E193" t="s">
        <v>384</v>
      </c>
      <c r="F193">
        <v>2</v>
      </c>
      <c r="G193">
        <v>0.97</v>
      </c>
      <c r="H193">
        <v>120</v>
      </c>
      <c r="I193" t="s">
        <v>677</v>
      </c>
      <c r="J193" t="s">
        <v>606</v>
      </c>
      <c r="K193" t="s">
        <v>267</v>
      </c>
      <c r="L193" t="s">
        <v>340</v>
      </c>
      <c r="N193" t="s">
        <v>269</v>
      </c>
      <c r="O193" t="s">
        <v>324</v>
      </c>
      <c r="P193" t="s">
        <v>271</v>
      </c>
      <c r="Q193">
        <v>15.58</v>
      </c>
      <c r="R193">
        <v>14.11</v>
      </c>
      <c r="S193" t="s">
        <v>372</v>
      </c>
      <c r="T193">
        <v>3</v>
      </c>
      <c r="U193">
        <v>0.5</v>
      </c>
      <c r="V193">
        <v>0.6</v>
      </c>
      <c r="W193">
        <v>1.8</v>
      </c>
      <c r="X193">
        <v>0.6</v>
      </c>
      <c r="Y193">
        <v>19.5</v>
      </c>
      <c r="Z193" s="32"/>
      <c r="AA193">
        <v>4.8499999999999996</v>
      </c>
      <c r="AD193" t="s">
        <v>295</v>
      </c>
      <c r="AE193" t="s">
        <v>734</v>
      </c>
    </row>
    <row r="194" spans="1:31" ht="15.75" customHeight="1" x14ac:dyDescent="0.2">
      <c r="A194" t="s">
        <v>609</v>
      </c>
      <c r="B194" t="s">
        <v>10</v>
      </c>
      <c r="C194" t="s">
        <v>196</v>
      </c>
      <c r="D194" t="s">
        <v>134</v>
      </c>
      <c r="E194" t="s">
        <v>384</v>
      </c>
      <c r="F194">
        <v>1.55</v>
      </c>
      <c r="G194">
        <v>0.98</v>
      </c>
      <c r="H194">
        <v>219</v>
      </c>
      <c r="I194" t="s">
        <v>326</v>
      </c>
      <c r="J194" t="s">
        <v>589</v>
      </c>
      <c r="K194" t="s">
        <v>276</v>
      </c>
      <c r="L194" t="s">
        <v>268</v>
      </c>
      <c r="N194" t="s">
        <v>269</v>
      </c>
      <c r="O194" t="s">
        <v>270</v>
      </c>
      <c r="P194" t="s">
        <v>271</v>
      </c>
      <c r="Q194">
        <v>15.11</v>
      </c>
      <c r="R194">
        <v>12.41</v>
      </c>
      <c r="S194" t="s">
        <v>372</v>
      </c>
      <c r="T194">
        <v>3</v>
      </c>
      <c r="U194">
        <v>0.68</v>
      </c>
      <c r="V194">
        <v>0.7</v>
      </c>
      <c r="W194">
        <v>2.0099999999999998</v>
      </c>
      <c r="X194">
        <v>0.73</v>
      </c>
      <c r="Y194">
        <v>17.22</v>
      </c>
      <c r="Z194" s="32">
        <v>2.1</v>
      </c>
      <c r="AA194">
        <v>2.96</v>
      </c>
      <c r="AD194" t="s">
        <v>295</v>
      </c>
      <c r="AE194" t="s">
        <v>596</v>
      </c>
    </row>
    <row r="195" spans="1:31" ht="15.75" customHeight="1" x14ac:dyDescent="0.2">
      <c r="A195" t="s">
        <v>610</v>
      </c>
      <c r="B195" t="s">
        <v>10</v>
      </c>
      <c r="C195" t="s">
        <v>196</v>
      </c>
      <c r="D195" t="s">
        <v>134</v>
      </c>
      <c r="E195" t="s">
        <v>321</v>
      </c>
      <c r="F195">
        <v>1.63</v>
      </c>
      <c r="G195">
        <v>0.96</v>
      </c>
      <c r="H195">
        <v>226</v>
      </c>
      <c r="I195" t="s">
        <v>326</v>
      </c>
      <c r="J195" t="s">
        <v>589</v>
      </c>
      <c r="K195" t="s">
        <v>276</v>
      </c>
      <c r="L195" t="s">
        <v>268</v>
      </c>
      <c r="N195" t="s">
        <v>360</v>
      </c>
      <c r="O195" t="s">
        <v>270</v>
      </c>
      <c r="P195" t="s">
        <v>271</v>
      </c>
      <c r="Q195">
        <v>16.16</v>
      </c>
      <c r="R195">
        <v>12.9</v>
      </c>
      <c r="S195" t="s">
        <v>372</v>
      </c>
      <c r="T195">
        <v>3</v>
      </c>
      <c r="U195">
        <v>0.57999999999999996</v>
      </c>
      <c r="V195">
        <v>0.7</v>
      </c>
      <c r="W195">
        <v>1.93</v>
      </c>
      <c r="X195">
        <v>0.68</v>
      </c>
      <c r="Y195">
        <v>17.8</v>
      </c>
      <c r="Z195" s="32">
        <v>2.2999999999999998</v>
      </c>
      <c r="AA195">
        <v>3.47</v>
      </c>
      <c r="AD195" t="s">
        <v>590</v>
      </c>
      <c r="AE195" t="s">
        <v>596</v>
      </c>
    </row>
    <row r="196" spans="1:31" ht="15.75" customHeight="1" x14ac:dyDescent="0.2">
      <c r="A196" t="s">
        <v>611</v>
      </c>
      <c r="B196" t="s">
        <v>10</v>
      </c>
      <c r="C196" t="s">
        <v>196</v>
      </c>
      <c r="D196" t="s">
        <v>134</v>
      </c>
      <c r="E196" t="s">
        <v>384</v>
      </c>
      <c r="F196">
        <v>1.59</v>
      </c>
      <c r="G196">
        <v>1.02</v>
      </c>
      <c r="H196">
        <v>208</v>
      </c>
      <c r="I196" t="s">
        <v>326</v>
      </c>
      <c r="J196" t="s">
        <v>589</v>
      </c>
      <c r="K196" t="s">
        <v>339</v>
      </c>
      <c r="L196" t="s">
        <v>268</v>
      </c>
      <c r="N196" t="s">
        <v>360</v>
      </c>
      <c r="O196" t="s">
        <v>270</v>
      </c>
      <c r="P196" t="s">
        <v>271</v>
      </c>
      <c r="Q196">
        <v>15.87</v>
      </c>
      <c r="R196">
        <v>12.93</v>
      </c>
      <c r="S196" t="s">
        <v>372</v>
      </c>
      <c r="T196">
        <v>3</v>
      </c>
      <c r="U196">
        <v>0.7</v>
      </c>
      <c r="V196">
        <v>0.7</v>
      </c>
      <c r="W196">
        <v>2.04</v>
      </c>
      <c r="X196">
        <v>0.62</v>
      </c>
      <c r="Y196">
        <v>16.38</v>
      </c>
      <c r="Z196" s="32"/>
      <c r="AA196">
        <v>3.18</v>
      </c>
      <c r="AD196" t="s">
        <v>295</v>
      </c>
      <c r="AE196" t="s">
        <v>596</v>
      </c>
    </row>
    <row r="197" spans="1:31" ht="15.75" customHeight="1" x14ac:dyDescent="0.2">
      <c r="A197" t="s">
        <v>612</v>
      </c>
      <c r="B197" t="s">
        <v>10</v>
      </c>
      <c r="C197" t="s">
        <v>199</v>
      </c>
      <c r="D197" t="s">
        <v>134</v>
      </c>
      <c r="E197" t="s">
        <v>384</v>
      </c>
      <c r="F197">
        <v>1.47</v>
      </c>
      <c r="G197">
        <v>1.03</v>
      </c>
      <c r="H197">
        <v>192</v>
      </c>
      <c r="I197" t="s">
        <v>363</v>
      </c>
      <c r="J197" t="s">
        <v>589</v>
      </c>
      <c r="K197" t="s">
        <v>276</v>
      </c>
      <c r="L197" t="s">
        <v>268</v>
      </c>
      <c r="N197" t="s">
        <v>269</v>
      </c>
      <c r="O197" t="s">
        <v>270</v>
      </c>
      <c r="P197" t="s">
        <v>271</v>
      </c>
      <c r="Q197">
        <v>10.17</v>
      </c>
      <c r="R197">
        <v>8.65</v>
      </c>
      <c r="S197" t="s">
        <v>372</v>
      </c>
      <c r="T197">
        <v>1</v>
      </c>
      <c r="W197">
        <v>1.93</v>
      </c>
      <c r="X197">
        <v>0.47</v>
      </c>
      <c r="Y197">
        <v>10.35</v>
      </c>
      <c r="Z197" s="32">
        <v>1.81</v>
      </c>
      <c r="AA197">
        <v>2.58</v>
      </c>
      <c r="AD197" t="s">
        <v>295</v>
      </c>
    </row>
    <row r="198" spans="1:31" ht="15.75" customHeight="1" x14ac:dyDescent="0.2">
      <c r="A198" t="s">
        <v>613</v>
      </c>
      <c r="B198" t="s">
        <v>10</v>
      </c>
      <c r="C198" t="s">
        <v>199</v>
      </c>
      <c r="D198" t="s">
        <v>134</v>
      </c>
      <c r="E198" t="s">
        <v>384</v>
      </c>
      <c r="F198">
        <v>1.69</v>
      </c>
      <c r="G198">
        <v>1.05</v>
      </c>
      <c r="H198">
        <v>190</v>
      </c>
      <c r="I198" t="s">
        <v>363</v>
      </c>
      <c r="J198" t="s">
        <v>589</v>
      </c>
      <c r="K198" t="s">
        <v>276</v>
      </c>
      <c r="L198" t="s">
        <v>268</v>
      </c>
      <c r="N198" t="s">
        <v>360</v>
      </c>
      <c r="O198" t="s">
        <v>270</v>
      </c>
      <c r="P198" t="s">
        <v>271</v>
      </c>
      <c r="Q198">
        <v>12.28</v>
      </c>
      <c r="R198">
        <v>9.8800000000000008</v>
      </c>
      <c r="S198" t="s">
        <v>372</v>
      </c>
      <c r="T198">
        <v>2</v>
      </c>
      <c r="W198">
        <v>2.06</v>
      </c>
      <c r="X198">
        <v>0.63</v>
      </c>
      <c r="Y198">
        <v>12.35</v>
      </c>
      <c r="Z198" s="32"/>
      <c r="AA198">
        <v>2.64</v>
      </c>
      <c r="AD198" t="s">
        <v>295</v>
      </c>
    </row>
    <row r="199" spans="1:31" ht="15.75" customHeight="1" x14ac:dyDescent="0.2">
      <c r="A199" t="s">
        <v>614</v>
      </c>
      <c r="B199" t="s">
        <v>10</v>
      </c>
      <c r="C199" t="s">
        <v>203</v>
      </c>
      <c r="D199" t="s">
        <v>202</v>
      </c>
      <c r="E199" t="s">
        <v>384</v>
      </c>
      <c r="F199">
        <v>1.07</v>
      </c>
      <c r="G199">
        <v>0.84</v>
      </c>
      <c r="H199">
        <v>230</v>
      </c>
      <c r="I199" t="s">
        <v>326</v>
      </c>
      <c r="J199" t="s">
        <v>589</v>
      </c>
      <c r="K199" t="s">
        <v>276</v>
      </c>
      <c r="L199" t="s">
        <v>268</v>
      </c>
      <c r="N199" t="s">
        <v>360</v>
      </c>
      <c r="O199" t="s">
        <v>324</v>
      </c>
      <c r="P199" t="s">
        <v>271</v>
      </c>
      <c r="Q199">
        <v>11.83</v>
      </c>
      <c r="R199">
        <v>9.58</v>
      </c>
      <c r="S199" t="s">
        <v>372</v>
      </c>
      <c r="T199">
        <v>0</v>
      </c>
      <c r="U199">
        <v>0.47</v>
      </c>
      <c r="V199">
        <v>0.6</v>
      </c>
      <c r="W199">
        <v>1.44</v>
      </c>
      <c r="X199">
        <v>0.53</v>
      </c>
      <c r="Y199">
        <v>13.98</v>
      </c>
      <c r="Z199" s="32">
        <v>1.55</v>
      </c>
      <c r="AA199">
        <v>2.2799999999999998</v>
      </c>
      <c r="AD199" t="s">
        <v>295</v>
      </c>
      <c r="AE199" t="s">
        <v>615</v>
      </c>
    </row>
    <row r="200" spans="1:31" ht="15.75" customHeight="1" x14ac:dyDescent="0.2">
      <c r="A200" t="s">
        <v>616</v>
      </c>
      <c r="B200" t="s">
        <v>10</v>
      </c>
      <c r="C200" t="s">
        <v>203</v>
      </c>
      <c r="D200" t="s">
        <v>202</v>
      </c>
      <c r="E200" t="s">
        <v>384</v>
      </c>
      <c r="F200">
        <v>1.37</v>
      </c>
      <c r="G200">
        <v>0.92</v>
      </c>
      <c r="H200">
        <v>191</v>
      </c>
      <c r="I200" t="s">
        <v>578</v>
      </c>
      <c r="J200" t="s">
        <v>589</v>
      </c>
      <c r="K200" t="s">
        <v>276</v>
      </c>
      <c r="L200" t="s">
        <v>268</v>
      </c>
      <c r="N200" t="s">
        <v>277</v>
      </c>
      <c r="O200" t="s">
        <v>324</v>
      </c>
      <c r="P200" t="s">
        <v>271</v>
      </c>
      <c r="Q200">
        <v>16.45</v>
      </c>
      <c r="R200">
        <v>11.94</v>
      </c>
      <c r="S200" t="s">
        <v>372</v>
      </c>
      <c r="T200">
        <v>0</v>
      </c>
      <c r="U200">
        <v>0.43</v>
      </c>
      <c r="V200">
        <v>0.6</v>
      </c>
      <c r="W200">
        <v>2.02</v>
      </c>
      <c r="X200">
        <v>0.6</v>
      </c>
      <c r="Y200">
        <v>16.28</v>
      </c>
      <c r="Z200" s="32">
        <v>2.3199999999999998</v>
      </c>
      <c r="AA200">
        <v>2.0299999999999998</v>
      </c>
      <c r="AD200" t="s">
        <v>295</v>
      </c>
      <c r="AE200" t="s">
        <v>615</v>
      </c>
    </row>
    <row r="201" spans="1:31" ht="15.75" customHeight="1" x14ac:dyDescent="0.2">
      <c r="A201" t="s">
        <v>617</v>
      </c>
      <c r="B201" t="s">
        <v>10</v>
      </c>
      <c r="C201" t="s">
        <v>203</v>
      </c>
      <c r="D201" t="s">
        <v>202</v>
      </c>
      <c r="E201" t="s">
        <v>384</v>
      </c>
      <c r="F201">
        <v>1.26</v>
      </c>
      <c r="G201">
        <v>0.97</v>
      </c>
      <c r="H201">
        <v>245</v>
      </c>
      <c r="I201" t="s">
        <v>326</v>
      </c>
      <c r="J201" t="s">
        <v>589</v>
      </c>
      <c r="K201" t="s">
        <v>276</v>
      </c>
      <c r="L201" t="s">
        <v>268</v>
      </c>
      <c r="N201" t="s">
        <v>360</v>
      </c>
      <c r="O201" t="s">
        <v>324</v>
      </c>
      <c r="P201" t="s">
        <v>271</v>
      </c>
      <c r="Q201">
        <v>15.4</v>
      </c>
      <c r="R201">
        <v>13.08</v>
      </c>
      <c r="S201" t="s">
        <v>372</v>
      </c>
      <c r="T201">
        <v>0</v>
      </c>
      <c r="U201">
        <v>0.46</v>
      </c>
      <c r="V201">
        <v>0.5</v>
      </c>
      <c r="W201">
        <v>1.73</v>
      </c>
      <c r="X201">
        <v>0.55000000000000004</v>
      </c>
      <c r="Y201">
        <v>15.17</v>
      </c>
      <c r="Z201" s="32"/>
      <c r="AA201">
        <v>2.2400000000000002</v>
      </c>
      <c r="AD201" t="s">
        <v>295</v>
      </c>
      <c r="AE201" t="s">
        <v>615</v>
      </c>
    </row>
    <row r="202" spans="1:31" ht="15.75" customHeight="1" x14ac:dyDescent="0.2">
      <c r="A202" t="s">
        <v>618</v>
      </c>
      <c r="B202" t="s">
        <v>10</v>
      </c>
      <c r="C202" t="s">
        <v>206</v>
      </c>
      <c r="D202" t="s">
        <v>202</v>
      </c>
      <c r="E202" t="s">
        <v>384</v>
      </c>
      <c r="F202">
        <v>1.52</v>
      </c>
      <c r="G202">
        <v>0.94</v>
      </c>
      <c r="H202">
        <v>228</v>
      </c>
      <c r="I202" t="s">
        <v>326</v>
      </c>
      <c r="J202" t="s">
        <v>589</v>
      </c>
      <c r="K202" t="s">
        <v>276</v>
      </c>
      <c r="L202" t="s">
        <v>268</v>
      </c>
      <c r="N202" t="s">
        <v>269</v>
      </c>
      <c r="O202" t="s">
        <v>324</v>
      </c>
      <c r="P202" t="s">
        <v>271</v>
      </c>
      <c r="Q202">
        <v>12.53</v>
      </c>
      <c r="R202">
        <v>10.23</v>
      </c>
      <c r="S202" t="s">
        <v>372</v>
      </c>
      <c r="T202">
        <v>3</v>
      </c>
      <c r="W202">
        <v>1.7</v>
      </c>
      <c r="X202">
        <v>0.53</v>
      </c>
      <c r="Y202">
        <v>14.41</v>
      </c>
      <c r="Z202" s="32">
        <v>2.0099999999999998</v>
      </c>
      <c r="AA202">
        <v>2.37</v>
      </c>
      <c r="AD202" t="s">
        <v>295</v>
      </c>
      <c r="AE202" t="s">
        <v>615</v>
      </c>
    </row>
    <row r="203" spans="1:31" ht="15.75" customHeight="1" x14ac:dyDescent="0.2">
      <c r="A203" t="s">
        <v>619</v>
      </c>
      <c r="B203" t="s">
        <v>10</v>
      </c>
      <c r="C203" t="s">
        <v>206</v>
      </c>
      <c r="D203" t="s">
        <v>202</v>
      </c>
      <c r="E203" t="s">
        <v>384</v>
      </c>
      <c r="F203">
        <v>1.59</v>
      </c>
      <c r="G203">
        <v>1.08</v>
      </c>
      <c r="H203">
        <v>140</v>
      </c>
      <c r="I203" t="s">
        <v>786</v>
      </c>
      <c r="J203" t="s">
        <v>589</v>
      </c>
      <c r="K203" t="s">
        <v>276</v>
      </c>
      <c r="L203" t="s">
        <v>268</v>
      </c>
      <c r="N203" t="s">
        <v>360</v>
      </c>
      <c r="O203" t="s">
        <v>324</v>
      </c>
      <c r="P203" t="s">
        <v>271</v>
      </c>
      <c r="Q203">
        <v>17.600000000000001</v>
      </c>
      <c r="R203">
        <v>11.49</v>
      </c>
      <c r="S203" t="s">
        <v>372</v>
      </c>
      <c r="T203">
        <v>2</v>
      </c>
      <c r="W203">
        <v>2.5499999999999998</v>
      </c>
      <c r="X203">
        <v>0.65</v>
      </c>
      <c r="Y203">
        <v>18.29</v>
      </c>
      <c r="Z203" s="32">
        <v>2.59</v>
      </c>
      <c r="AA203">
        <v>2.87</v>
      </c>
      <c r="AD203" t="s">
        <v>295</v>
      </c>
      <c r="AE203" t="s">
        <v>620</v>
      </c>
    </row>
    <row r="204" spans="1:31" ht="15.75" customHeight="1" x14ac:dyDescent="0.2">
      <c r="A204" t="s">
        <v>621</v>
      </c>
      <c r="B204" t="s">
        <v>10</v>
      </c>
      <c r="C204" t="s">
        <v>206</v>
      </c>
      <c r="D204" t="s">
        <v>202</v>
      </c>
      <c r="E204" t="s">
        <v>384</v>
      </c>
      <c r="F204">
        <v>1.55</v>
      </c>
      <c r="G204">
        <v>0.97</v>
      </c>
      <c r="H204">
        <v>221</v>
      </c>
      <c r="I204" t="s">
        <v>326</v>
      </c>
      <c r="J204" t="s">
        <v>589</v>
      </c>
      <c r="K204" t="s">
        <v>276</v>
      </c>
      <c r="L204" t="s">
        <v>268</v>
      </c>
      <c r="N204" t="s">
        <v>269</v>
      </c>
      <c r="O204" t="s">
        <v>324</v>
      </c>
      <c r="P204" t="s">
        <v>271</v>
      </c>
      <c r="Q204">
        <v>14.7</v>
      </c>
      <c r="R204">
        <v>11.93</v>
      </c>
      <c r="S204" t="s">
        <v>372</v>
      </c>
      <c r="T204">
        <v>1</v>
      </c>
      <c r="U204">
        <v>0.53</v>
      </c>
      <c r="V204">
        <v>0.5</v>
      </c>
      <c r="W204">
        <v>2.2000000000000002</v>
      </c>
      <c r="X204">
        <v>0.64</v>
      </c>
      <c r="Y204">
        <v>20.04</v>
      </c>
      <c r="Z204" s="32"/>
      <c r="AA204">
        <v>2.92</v>
      </c>
      <c r="AD204" t="s">
        <v>295</v>
      </c>
      <c r="AE204" t="s">
        <v>615</v>
      </c>
    </row>
    <row r="205" spans="1:31" ht="15.75" customHeight="1" x14ac:dyDescent="0.2">
      <c r="A205" t="s">
        <v>622</v>
      </c>
      <c r="B205" t="s">
        <v>10</v>
      </c>
      <c r="C205" t="s">
        <v>209</v>
      </c>
      <c r="D205" t="s">
        <v>202</v>
      </c>
      <c r="E205" t="s">
        <v>321</v>
      </c>
      <c r="F205">
        <v>0.99</v>
      </c>
      <c r="G205">
        <v>0.86</v>
      </c>
      <c r="H205">
        <v>215</v>
      </c>
      <c r="I205" t="s">
        <v>326</v>
      </c>
      <c r="J205" t="s">
        <v>589</v>
      </c>
      <c r="K205" t="s">
        <v>276</v>
      </c>
      <c r="L205" t="s">
        <v>268</v>
      </c>
      <c r="N205" t="s">
        <v>360</v>
      </c>
      <c r="O205" t="s">
        <v>270</v>
      </c>
      <c r="P205" t="s">
        <v>271</v>
      </c>
      <c r="Q205">
        <v>8.7799999999999994</v>
      </c>
      <c r="R205">
        <v>6.71</v>
      </c>
      <c r="S205" t="s">
        <v>372</v>
      </c>
      <c r="T205">
        <v>0</v>
      </c>
      <c r="U205">
        <v>0.33</v>
      </c>
      <c r="V205">
        <v>0.2</v>
      </c>
      <c r="W205">
        <v>1.32</v>
      </c>
      <c r="X205">
        <v>0.42</v>
      </c>
      <c r="Y205">
        <v>11</v>
      </c>
      <c r="Z205" s="32">
        <v>1.24</v>
      </c>
      <c r="AA205">
        <v>2.0099999999999998</v>
      </c>
      <c r="AD205" t="s">
        <v>295</v>
      </c>
    </row>
    <row r="206" spans="1:31" ht="15.75" customHeight="1" x14ac:dyDescent="0.2">
      <c r="A206" t="s">
        <v>623</v>
      </c>
      <c r="B206" t="s">
        <v>10</v>
      </c>
      <c r="C206" t="s">
        <v>209</v>
      </c>
      <c r="D206" t="s">
        <v>202</v>
      </c>
      <c r="E206" t="s">
        <v>384</v>
      </c>
      <c r="F206">
        <v>0.94</v>
      </c>
      <c r="G206">
        <v>0.97</v>
      </c>
      <c r="H206">
        <v>228</v>
      </c>
      <c r="I206" t="s">
        <v>326</v>
      </c>
      <c r="J206" t="s">
        <v>589</v>
      </c>
      <c r="K206" t="s">
        <v>276</v>
      </c>
      <c r="L206" t="s">
        <v>268</v>
      </c>
      <c r="N206" t="s">
        <v>360</v>
      </c>
      <c r="O206" t="s">
        <v>270</v>
      </c>
      <c r="P206" t="s">
        <v>271</v>
      </c>
      <c r="Q206">
        <v>11.26</v>
      </c>
      <c r="R206">
        <v>9.24</v>
      </c>
      <c r="S206" t="s">
        <v>372</v>
      </c>
      <c r="T206">
        <v>0</v>
      </c>
      <c r="U206">
        <v>0.48</v>
      </c>
      <c r="V206">
        <v>0.5</v>
      </c>
      <c r="W206">
        <v>2.02</v>
      </c>
      <c r="X206">
        <v>0.56000000000000005</v>
      </c>
      <c r="Y206">
        <v>8.7200000000000006</v>
      </c>
      <c r="Z206" s="32"/>
      <c r="AD206" t="s">
        <v>590</v>
      </c>
    </row>
    <row r="207" spans="1:31" ht="15.75" customHeight="1" x14ac:dyDescent="0.2">
      <c r="A207" t="s">
        <v>624</v>
      </c>
      <c r="B207" t="s">
        <v>10</v>
      </c>
      <c r="C207" t="s">
        <v>209</v>
      </c>
      <c r="D207" t="s">
        <v>202</v>
      </c>
      <c r="E207" t="s">
        <v>321</v>
      </c>
      <c r="F207">
        <v>1.17</v>
      </c>
      <c r="G207">
        <v>0.99</v>
      </c>
      <c r="H207">
        <v>231</v>
      </c>
      <c r="I207" t="s">
        <v>326</v>
      </c>
      <c r="J207" t="s">
        <v>589</v>
      </c>
      <c r="K207" t="s">
        <v>276</v>
      </c>
      <c r="L207" t="s">
        <v>268</v>
      </c>
      <c r="N207" t="s">
        <v>277</v>
      </c>
      <c r="O207" t="s">
        <v>270</v>
      </c>
      <c r="P207" t="s">
        <v>271</v>
      </c>
      <c r="Q207">
        <v>10.45</v>
      </c>
      <c r="R207">
        <v>8.4499999999999993</v>
      </c>
      <c r="S207" t="s">
        <v>372</v>
      </c>
      <c r="T207">
        <v>0</v>
      </c>
      <c r="U207">
        <v>0.4</v>
      </c>
      <c r="V207">
        <v>0.4</v>
      </c>
      <c r="W207">
        <v>1.74</v>
      </c>
      <c r="X207">
        <v>0.62</v>
      </c>
      <c r="Y207">
        <v>12.79</v>
      </c>
      <c r="Z207" s="32"/>
      <c r="AA207">
        <v>1.94</v>
      </c>
      <c r="AD207" t="s">
        <v>295</v>
      </c>
    </row>
    <row r="208" spans="1:31" ht="15.75" customHeight="1" x14ac:dyDescent="0.2">
      <c r="A208" t="s">
        <v>625</v>
      </c>
      <c r="B208" t="s">
        <v>10</v>
      </c>
      <c r="C208" t="s">
        <v>626</v>
      </c>
      <c r="D208" t="s">
        <v>202</v>
      </c>
      <c r="E208" t="s">
        <v>321</v>
      </c>
      <c r="F208">
        <v>1.24</v>
      </c>
      <c r="G208">
        <v>1.01</v>
      </c>
      <c r="H208">
        <v>205</v>
      </c>
      <c r="I208" t="s">
        <v>326</v>
      </c>
      <c r="J208" t="s">
        <v>589</v>
      </c>
      <c r="K208" t="s">
        <v>276</v>
      </c>
      <c r="L208" t="s">
        <v>268</v>
      </c>
      <c r="N208" t="s">
        <v>269</v>
      </c>
      <c r="O208" t="s">
        <v>324</v>
      </c>
      <c r="P208" t="s">
        <v>271</v>
      </c>
      <c r="Q208">
        <v>10.95</v>
      </c>
      <c r="R208">
        <v>9.43</v>
      </c>
      <c r="S208" t="s">
        <v>372</v>
      </c>
      <c r="T208">
        <v>1</v>
      </c>
      <c r="U208">
        <v>0.56000000000000005</v>
      </c>
      <c r="V208">
        <v>0.7</v>
      </c>
      <c r="W208">
        <v>1.52</v>
      </c>
      <c r="X208">
        <v>0.55000000000000004</v>
      </c>
      <c r="Y208">
        <v>14.65</v>
      </c>
      <c r="Z208" s="32">
        <v>1.81</v>
      </c>
      <c r="AA208">
        <v>2.46</v>
      </c>
      <c r="AD208" t="s">
        <v>295</v>
      </c>
      <c r="AE208" t="s">
        <v>615</v>
      </c>
    </row>
    <row r="209" spans="1:31" ht="15.75" customHeight="1" x14ac:dyDescent="0.2">
      <c r="A209" t="s">
        <v>627</v>
      </c>
      <c r="B209" t="s">
        <v>10</v>
      </c>
      <c r="C209" t="s">
        <v>626</v>
      </c>
      <c r="D209" t="s">
        <v>202</v>
      </c>
      <c r="E209" t="s">
        <v>384</v>
      </c>
      <c r="F209">
        <v>1.1299999999999999</v>
      </c>
      <c r="G209">
        <v>0.95</v>
      </c>
      <c r="H209">
        <v>221</v>
      </c>
      <c r="I209" t="s">
        <v>326</v>
      </c>
      <c r="J209" t="s">
        <v>589</v>
      </c>
      <c r="K209" t="s">
        <v>276</v>
      </c>
      <c r="L209" t="s">
        <v>268</v>
      </c>
      <c r="N209" t="s">
        <v>269</v>
      </c>
      <c r="O209" t="s">
        <v>270</v>
      </c>
      <c r="P209" t="s">
        <v>271</v>
      </c>
      <c r="Q209">
        <v>12.07</v>
      </c>
      <c r="R209">
        <v>10.42</v>
      </c>
      <c r="S209" t="s">
        <v>372</v>
      </c>
      <c r="T209">
        <v>3</v>
      </c>
      <c r="U209">
        <v>0.56999999999999995</v>
      </c>
      <c r="V209">
        <v>0.7</v>
      </c>
      <c r="W209">
        <v>1.74</v>
      </c>
      <c r="X209">
        <v>0.62</v>
      </c>
      <c r="Y209">
        <v>11.8</v>
      </c>
      <c r="Z209" s="32">
        <v>1.88</v>
      </c>
      <c r="AA209">
        <v>2.78</v>
      </c>
      <c r="AD209" t="s">
        <v>295</v>
      </c>
      <c r="AE209" t="s">
        <v>615</v>
      </c>
    </row>
    <row r="210" spans="1:31" ht="15.75" customHeight="1" x14ac:dyDescent="0.2">
      <c r="A210" t="s">
        <v>628</v>
      </c>
      <c r="B210" t="s">
        <v>10</v>
      </c>
      <c r="C210" t="s">
        <v>626</v>
      </c>
      <c r="D210" t="s">
        <v>202</v>
      </c>
      <c r="E210" t="s">
        <v>321</v>
      </c>
      <c r="F210">
        <v>1.1100000000000001</v>
      </c>
      <c r="G210">
        <v>0.89</v>
      </c>
      <c r="H210">
        <v>199</v>
      </c>
      <c r="I210" t="s">
        <v>363</v>
      </c>
      <c r="J210" t="s">
        <v>589</v>
      </c>
      <c r="K210" t="s">
        <v>276</v>
      </c>
      <c r="L210" t="s">
        <v>268</v>
      </c>
      <c r="N210" t="s">
        <v>269</v>
      </c>
      <c r="O210" t="s">
        <v>270</v>
      </c>
      <c r="P210" t="s">
        <v>271</v>
      </c>
      <c r="Q210">
        <v>10.86</v>
      </c>
      <c r="R210">
        <v>8.9700000000000006</v>
      </c>
      <c r="S210" t="s">
        <v>372</v>
      </c>
      <c r="T210">
        <v>1</v>
      </c>
      <c r="U210">
        <v>0.46</v>
      </c>
      <c r="V210">
        <v>0.5</v>
      </c>
      <c r="W210">
        <v>1.55</v>
      </c>
      <c r="X210">
        <v>0.52</v>
      </c>
      <c r="Y210">
        <v>10.49</v>
      </c>
      <c r="Z210" s="32"/>
      <c r="AA210">
        <v>2.02</v>
      </c>
      <c r="AD210" t="s">
        <v>295</v>
      </c>
      <c r="AE210" t="s">
        <v>615</v>
      </c>
    </row>
    <row r="211" spans="1:31" ht="15.75" customHeight="1" x14ac:dyDescent="0.2">
      <c r="A211" t="s">
        <v>629</v>
      </c>
      <c r="B211" t="s">
        <v>10</v>
      </c>
      <c r="C211" t="s">
        <v>630</v>
      </c>
      <c r="D211" t="s">
        <v>202</v>
      </c>
      <c r="E211" t="s">
        <v>335</v>
      </c>
      <c r="F211">
        <v>1.28</v>
      </c>
      <c r="G211">
        <v>0.88</v>
      </c>
      <c r="H211">
        <v>202</v>
      </c>
      <c r="I211" t="s">
        <v>363</v>
      </c>
      <c r="J211" t="s">
        <v>589</v>
      </c>
      <c r="K211" t="s">
        <v>276</v>
      </c>
      <c r="L211" t="s">
        <v>352</v>
      </c>
      <c r="N211" t="s">
        <v>269</v>
      </c>
      <c r="O211" t="s">
        <v>324</v>
      </c>
      <c r="P211" t="s">
        <v>271</v>
      </c>
      <c r="Q211">
        <v>13.19</v>
      </c>
      <c r="R211">
        <v>11.12</v>
      </c>
      <c r="S211" t="s">
        <v>372</v>
      </c>
      <c r="T211">
        <v>3</v>
      </c>
      <c r="U211">
        <v>0.62</v>
      </c>
      <c r="V211">
        <v>0.5</v>
      </c>
      <c r="W211">
        <v>1.82</v>
      </c>
      <c r="X211">
        <v>0.61</v>
      </c>
      <c r="Y211">
        <v>11.84</v>
      </c>
      <c r="Z211" s="32"/>
      <c r="AD211" t="s">
        <v>295</v>
      </c>
      <c r="AE211" t="s">
        <v>615</v>
      </c>
    </row>
    <row r="212" spans="1:31" ht="15.75" customHeight="1" x14ac:dyDescent="0.2">
      <c r="A212" t="s">
        <v>631</v>
      </c>
      <c r="B212" t="s">
        <v>10</v>
      </c>
      <c r="C212" t="s">
        <v>630</v>
      </c>
      <c r="D212" t="s">
        <v>202</v>
      </c>
      <c r="E212" t="s">
        <v>335</v>
      </c>
      <c r="F212">
        <v>1.42</v>
      </c>
      <c r="G212">
        <v>0.85</v>
      </c>
      <c r="H212">
        <v>241</v>
      </c>
      <c r="I212" t="s">
        <v>326</v>
      </c>
      <c r="J212" t="s">
        <v>589</v>
      </c>
      <c r="K212" t="s">
        <v>276</v>
      </c>
      <c r="L212" t="s">
        <v>352</v>
      </c>
      <c r="N212" t="s">
        <v>360</v>
      </c>
      <c r="O212" t="s">
        <v>324</v>
      </c>
      <c r="P212" t="s">
        <v>271</v>
      </c>
      <c r="Q212">
        <v>11.15</v>
      </c>
      <c r="R212">
        <v>8.9499999999999993</v>
      </c>
      <c r="S212" t="s">
        <v>372</v>
      </c>
      <c r="T212">
        <v>0</v>
      </c>
      <c r="W212">
        <v>1.65</v>
      </c>
      <c r="X212">
        <v>0.56000000000000005</v>
      </c>
      <c r="Y212">
        <v>10.08</v>
      </c>
      <c r="Z212" s="32"/>
      <c r="AD212" t="s">
        <v>295</v>
      </c>
    </row>
    <row r="213" spans="1:31" ht="15.75" customHeight="1" x14ac:dyDescent="0.2">
      <c r="A213" t="s">
        <v>632</v>
      </c>
      <c r="B213" t="s">
        <v>10</v>
      </c>
      <c r="C213" t="s">
        <v>218</v>
      </c>
      <c r="D213" t="s">
        <v>202</v>
      </c>
      <c r="E213" t="s">
        <v>321</v>
      </c>
      <c r="F213">
        <v>1.48</v>
      </c>
      <c r="G213">
        <v>1.06</v>
      </c>
      <c r="H213">
        <v>225</v>
      </c>
      <c r="I213" t="s">
        <v>326</v>
      </c>
      <c r="J213" t="s">
        <v>589</v>
      </c>
      <c r="K213" t="s">
        <v>276</v>
      </c>
      <c r="L213" t="s">
        <v>352</v>
      </c>
      <c r="N213" t="s">
        <v>360</v>
      </c>
      <c r="O213" t="s">
        <v>324</v>
      </c>
      <c r="P213" t="s">
        <v>271</v>
      </c>
      <c r="Q213">
        <v>11.23</v>
      </c>
      <c r="R213">
        <v>9.32</v>
      </c>
      <c r="S213" t="s">
        <v>372</v>
      </c>
      <c r="T213">
        <v>0</v>
      </c>
      <c r="W213">
        <v>1.71</v>
      </c>
      <c r="X213">
        <v>0.54</v>
      </c>
      <c r="Y213">
        <v>12.68</v>
      </c>
      <c r="Z213" s="32">
        <v>1.73</v>
      </c>
      <c r="AA213">
        <v>2.94</v>
      </c>
      <c r="AD213" t="s">
        <v>295</v>
      </c>
    </row>
    <row r="214" spans="1:31" ht="15.75" customHeight="1" x14ac:dyDescent="0.2">
      <c r="A214" t="s">
        <v>633</v>
      </c>
      <c r="B214" t="s">
        <v>10</v>
      </c>
      <c r="C214" t="s">
        <v>218</v>
      </c>
      <c r="D214" t="s">
        <v>202</v>
      </c>
      <c r="E214" t="s">
        <v>321</v>
      </c>
      <c r="F214">
        <v>1.1299999999999999</v>
      </c>
      <c r="G214">
        <v>0.87</v>
      </c>
      <c r="H214">
        <v>226</v>
      </c>
      <c r="I214" t="s">
        <v>326</v>
      </c>
      <c r="J214" t="s">
        <v>589</v>
      </c>
      <c r="K214" t="s">
        <v>276</v>
      </c>
      <c r="L214" t="s">
        <v>352</v>
      </c>
      <c r="N214" t="s">
        <v>269</v>
      </c>
      <c r="O214" t="s">
        <v>270</v>
      </c>
      <c r="P214" t="s">
        <v>271</v>
      </c>
      <c r="Q214">
        <v>10.36</v>
      </c>
      <c r="R214">
        <v>8.23</v>
      </c>
      <c r="S214" t="s">
        <v>372</v>
      </c>
      <c r="T214">
        <v>3</v>
      </c>
      <c r="U214">
        <v>0.48</v>
      </c>
      <c r="V214">
        <v>0.4</v>
      </c>
      <c r="W214">
        <v>1.53</v>
      </c>
      <c r="X214">
        <v>0.48</v>
      </c>
      <c r="Y214">
        <v>11.84</v>
      </c>
      <c r="Z214" s="32">
        <v>1.54</v>
      </c>
      <c r="AA214">
        <v>2.82</v>
      </c>
      <c r="AD214" t="s">
        <v>295</v>
      </c>
    </row>
    <row r="215" spans="1:31" ht="15.75" customHeight="1" x14ac:dyDescent="0.2">
      <c r="A215" t="s">
        <v>634</v>
      </c>
      <c r="B215" t="s">
        <v>10</v>
      </c>
      <c r="C215" t="s">
        <v>218</v>
      </c>
      <c r="D215" t="s">
        <v>202</v>
      </c>
      <c r="E215" t="s">
        <v>321</v>
      </c>
      <c r="F215">
        <v>1.46</v>
      </c>
      <c r="G215">
        <v>0.95</v>
      </c>
      <c r="H215">
        <v>242</v>
      </c>
      <c r="I215" t="s">
        <v>326</v>
      </c>
      <c r="J215" t="s">
        <v>589</v>
      </c>
      <c r="K215" t="s">
        <v>276</v>
      </c>
      <c r="L215" t="s">
        <v>268</v>
      </c>
      <c r="N215" t="s">
        <v>360</v>
      </c>
      <c r="O215" t="s">
        <v>270</v>
      </c>
      <c r="P215" t="s">
        <v>271</v>
      </c>
      <c r="Q215">
        <v>10.39</v>
      </c>
      <c r="R215">
        <v>9.43</v>
      </c>
      <c r="S215" t="s">
        <v>372</v>
      </c>
      <c r="T215">
        <v>3</v>
      </c>
      <c r="U215">
        <v>0.63</v>
      </c>
      <c r="V215">
        <v>0.5</v>
      </c>
      <c r="W215">
        <v>1.58</v>
      </c>
      <c r="X215">
        <v>0.51</v>
      </c>
      <c r="Y215">
        <v>9.27</v>
      </c>
      <c r="Z215" s="32"/>
      <c r="AA215">
        <v>1.97</v>
      </c>
      <c r="AD215" t="s">
        <v>295</v>
      </c>
    </row>
    <row r="216" spans="1:31" ht="15.75" customHeight="1" x14ac:dyDescent="0.2">
      <c r="A216" t="s">
        <v>635</v>
      </c>
      <c r="B216" t="s">
        <v>28</v>
      </c>
      <c r="C216" t="s">
        <v>221</v>
      </c>
      <c r="D216" t="s">
        <v>202</v>
      </c>
      <c r="E216" t="s">
        <v>384</v>
      </c>
      <c r="F216">
        <v>1.95</v>
      </c>
      <c r="G216">
        <v>1.02</v>
      </c>
      <c r="H216">
        <v>228</v>
      </c>
      <c r="I216" t="s">
        <v>326</v>
      </c>
      <c r="J216" t="s">
        <v>606</v>
      </c>
      <c r="K216" t="s">
        <v>267</v>
      </c>
      <c r="L216" t="s">
        <v>340</v>
      </c>
      <c r="N216" t="s">
        <v>269</v>
      </c>
      <c r="O216" t="s">
        <v>324</v>
      </c>
      <c r="P216" t="s">
        <v>271</v>
      </c>
      <c r="Q216">
        <v>9.6999999999999993</v>
      </c>
      <c r="R216">
        <v>8.39</v>
      </c>
      <c r="S216" t="s">
        <v>451</v>
      </c>
      <c r="T216">
        <v>3</v>
      </c>
      <c r="U216">
        <v>0.42</v>
      </c>
      <c r="V216">
        <v>0.3</v>
      </c>
      <c r="W216">
        <v>1.59</v>
      </c>
      <c r="X216">
        <v>0.61</v>
      </c>
      <c r="Y216">
        <v>9.73</v>
      </c>
      <c r="Z216" s="32">
        <v>2.2000000000000002</v>
      </c>
      <c r="AA216">
        <v>1.44</v>
      </c>
      <c r="AB216">
        <v>0.54</v>
      </c>
      <c r="AC216">
        <v>1.48</v>
      </c>
      <c r="AD216" t="s">
        <v>590</v>
      </c>
      <c r="AE216" t="s">
        <v>735</v>
      </c>
    </row>
    <row r="217" spans="1:31" ht="15.75" customHeight="1" x14ac:dyDescent="0.2">
      <c r="A217" t="s">
        <v>636</v>
      </c>
      <c r="B217" t="s">
        <v>28</v>
      </c>
      <c r="C217" t="s">
        <v>221</v>
      </c>
      <c r="D217" t="s">
        <v>202</v>
      </c>
      <c r="E217" t="s">
        <v>335</v>
      </c>
      <c r="F217">
        <v>1.97</v>
      </c>
      <c r="G217">
        <v>1.04</v>
      </c>
      <c r="H217">
        <v>152</v>
      </c>
      <c r="I217" t="s">
        <v>786</v>
      </c>
      <c r="J217" t="s">
        <v>606</v>
      </c>
      <c r="K217" t="s">
        <v>267</v>
      </c>
      <c r="L217" t="s">
        <v>340</v>
      </c>
      <c r="N217" t="s">
        <v>269</v>
      </c>
      <c r="O217" t="s">
        <v>324</v>
      </c>
      <c r="P217" t="s">
        <v>271</v>
      </c>
      <c r="Q217">
        <v>8.6999999999999993</v>
      </c>
      <c r="R217">
        <v>7.14</v>
      </c>
      <c r="S217" t="s">
        <v>435</v>
      </c>
      <c r="T217">
        <v>3</v>
      </c>
      <c r="U217">
        <v>0.4</v>
      </c>
      <c r="V217">
        <v>0.2</v>
      </c>
      <c r="W217">
        <v>1.97</v>
      </c>
      <c r="X217">
        <v>0.62</v>
      </c>
      <c r="Y217">
        <v>10.5</v>
      </c>
      <c r="Z217" s="32"/>
      <c r="AB217">
        <v>0.42</v>
      </c>
      <c r="AC217">
        <v>0.98</v>
      </c>
      <c r="AD217" t="s">
        <v>590</v>
      </c>
    </row>
    <row r="218" spans="1:31" ht="15.75" customHeight="1" x14ac:dyDescent="0.2">
      <c r="A218" t="s">
        <v>637</v>
      </c>
      <c r="B218" t="s">
        <v>28</v>
      </c>
      <c r="C218" t="s">
        <v>221</v>
      </c>
      <c r="D218" t="s">
        <v>202</v>
      </c>
      <c r="E218" t="s">
        <v>335</v>
      </c>
      <c r="F218">
        <v>2.2400000000000002</v>
      </c>
      <c r="G218">
        <v>0.97</v>
      </c>
      <c r="H218">
        <v>150</v>
      </c>
      <c r="I218" t="s">
        <v>786</v>
      </c>
      <c r="J218" t="s">
        <v>606</v>
      </c>
      <c r="K218" t="s">
        <v>267</v>
      </c>
      <c r="L218" t="s">
        <v>340</v>
      </c>
      <c r="N218" t="s">
        <v>269</v>
      </c>
      <c r="O218" t="s">
        <v>324</v>
      </c>
      <c r="P218" t="s">
        <v>271</v>
      </c>
      <c r="Q218">
        <v>10.57</v>
      </c>
      <c r="R218">
        <v>9.6300000000000008</v>
      </c>
      <c r="S218" t="s">
        <v>372</v>
      </c>
      <c r="T218">
        <v>3</v>
      </c>
      <c r="W218">
        <v>1.74</v>
      </c>
      <c r="X218">
        <v>0.68</v>
      </c>
      <c r="Y218">
        <v>11.35</v>
      </c>
      <c r="Z218" s="32"/>
      <c r="AB218">
        <v>0.6</v>
      </c>
      <c r="AC218">
        <v>1.93</v>
      </c>
      <c r="AD218" t="s">
        <v>590</v>
      </c>
      <c r="AE218" t="s">
        <v>735</v>
      </c>
    </row>
    <row r="219" spans="1:31" ht="15.75" customHeight="1" x14ac:dyDescent="0.2">
      <c r="A219" t="s">
        <v>638</v>
      </c>
      <c r="B219" t="s">
        <v>18</v>
      </c>
      <c r="C219" t="s">
        <v>225</v>
      </c>
      <c r="D219" t="s">
        <v>224</v>
      </c>
      <c r="E219" t="s">
        <v>321</v>
      </c>
      <c r="F219">
        <v>2.09</v>
      </c>
      <c r="G219">
        <v>1.07</v>
      </c>
      <c r="H219">
        <v>226</v>
      </c>
      <c r="I219" t="s">
        <v>326</v>
      </c>
      <c r="J219" t="s">
        <v>606</v>
      </c>
      <c r="K219" t="s">
        <v>267</v>
      </c>
      <c r="L219" t="s">
        <v>340</v>
      </c>
      <c r="N219" t="s">
        <v>269</v>
      </c>
      <c r="O219" t="s">
        <v>324</v>
      </c>
      <c r="P219" t="s">
        <v>271</v>
      </c>
      <c r="Q219">
        <v>11.87</v>
      </c>
      <c r="R219">
        <v>10.19</v>
      </c>
      <c r="S219" t="s">
        <v>372</v>
      </c>
      <c r="T219">
        <v>3</v>
      </c>
      <c r="U219">
        <v>0.51</v>
      </c>
      <c r="V219">
        <v>0.5</v>
      </c>
      <c r="W219">
        <v>1.43</v>
      </c>
      <c r="X219">
        <v>0.65</v>
      </c>
      <c r="Y219">
        <v>15.2</v>
      </c>
      <c r="Z219" s="32">
        <v>1.4</v>
      </c>
      <c r="AA219">
        <v>3.02</v>
      </c>
      <c r="AD219" t="s">
        <v>295</v>
      </c>
      <c r="AE219" t="s">
        <v>736</v>
      </c>
    </row>
    <row r="220" spans="1:31" ht="15.75" customHeight="1" x14ac:dyDescent="0.2">
      <c r="A220" t="s">
        <v>639</v>
      </c>
      <c r="B220" t="s">
        <v>18</v>
      </c>
      <c r="C220" t="s">
        <v>225</v>
      </c>
      <c r="D220" t="s">
        <v>224</v>
      </c>
      <c r="E220" t="s">
        <v>321</v>
      </c>
      <c r="F220">
        <v>1.99</v>
      </c>
      <c r="G220">
        <v>1.07</v>
      </c>
      <c r="H220">
        <v>193</v>
      </c>
      <c r="I220" t="s">
        <v>363</v>
      </c>
      <c r="J220" t="s">
        <v>606</v>
      </c>
      <c r="K220" t="s">
        <v>267</v>
      </c>
      <c r="L220" t="s">
        <v>340</v>
      </c>
      <c r="N220" t="s">
        <v>269</v>
      </c>
      <c r="O220" t="s">
        <v>324</v>
      </c>
      <c r="P220" t="s">
        <v>271</v>
      </c>
      <c r="Q220">
        <v>15.02</v>
      </c>
      <c r="R220">
        <v>12.8</v>
      </c>
      <c r="S220" t="s">
        <v>372</v>
      </c>
      <c r="T220">
        <v>3</v>
      </c>
      <c r="U220">
        <v>0.37</v>
      </c>
      <c r="V220">
        <v>0.2</v>
      </c>
      <c r="W220">
        <v>1.54</v>
      </c>
      <c r="X220">
        <v>0.87</v>
      </c>
      <c r="Y220">
        <v>17.16</v>
      </c>
      <c r="Z220" s="32"/>
      <c r="AD220" t="s">
        <v>295</v>
      </c>
      <c r="AE220" t="s">
        <v>736</v>
      </c>
    </row>
    <row r="221" spans="1:31" ht="15.75" customHeight="1" x14ac:dyDescent="0.2">
      <c r="A221" t="s">
        <v>640</v>
      </c>
      <c r="B221" t="s">
        <v>18</v>
      </c>
      <c r="C221" t="s">
        <v>225</v>
      </c>
      <c r="D221" t="s">
        <v>224</v>
      </c>
      <c r="E221" t="s">
        <v>321</v>
      </c>
      <c r="F221">
        <v>2.4300000000000002</v>
      </c>
      <c r="G221">
        <v>1.0900000000000001</v>
      </c>
      <c r="H221">
        <v>208</v>
      </c>
      <c r="I221" t="s">
        <v>363</v>
      </c>
      <c r="J221" t="s">
        <v>606</v>
      </c>
      <c r="K221" t="s">
        <v>267</v>
      </c>
      <c r="L221" t="s">
        <v>340</v>
      </c>
      <c r="N221" t="s">
        <v>269</v>
      </c>
      <c r="O221" t="s">
        <v>324</v>
      </c>
      <c r="P221" t="s">
        <v>271</v>
      </c>
      <c r="Q221">
        <v>14.48</v>
      </c>
      <c r="R221">
        <v>13.15</v>
      </c>
      <c r="S221" t="s">
        <v>372</v>
      </c>
      <c r="T221">
        <v>3</v>
      </c>
      <c r="U221">
        <v>0.68</v>
      </c>
      <c r="V221">
        <v>0.7</v>
      </c>
      <c r="W221">
        <v>1.69</v>
      </c>
      <c r="X221">
        <v>0.81</v>
      </c>
      <c r="Y221">
        <v>14.14</v>
      </c>
      <c r="Z221" s="32"/>
      <c r="AA221">
        <v>2.58</v>
      </c>
      <c r="AB221">
        <v>0.82</v>
      </c>
      <c r="AC221">
        <v>2.0499999999999998</v>
      </c>
      <c r="AD221" t="s">
        <v>295</v>
      </c>
      <c r="AE221" t="s">
        <v>736</v>
      </c>
    </row>
    <row r="222" spans="1:31" ht="15.75" customHeight="1" x14ac:dyDescent="0.2">
      <c r="A222" t="s">
        <v>641</v>
      </c>
      <c r="B222" t="s">
        <v>28</v>
      </c>
      <c r="C222" t="s">
        <v>228</v>
      </c>
      <c r="D222" t="s">
        <v>224</v>
      </c>
      <c r="E222" t="s">
        <v>335</v>
      </c>
      <c r="F222">
        <v>2.1</v>
      </c>
      <c r="G222">
        <v>1.05</v>
      </c>
      <c r="H222">
        <v>155</v>
      </c>
      <c r="I222" t="s">
        <v>295</v>
      </c>
      <c r="J222" t="s">
        <v>606</v>
      </c>
      <c r="K222" t="s">
        <v>267</v>
      </c>
      <c r="L222" t="s">
        <v>340</v>
      </c>
      <c r="N222" t="s">
        <v>360</v>
      </c>
      <c r="O222" t="s">
        <v>324</v>
      </c>
      <c r="P222" t="s">
        <v>271</v>
      </c>
      <c r="Q222">
        <v>12.05</v>
      </c>
      <c r="R222">
        <v>9.9499999999999993</v>
      </c>
      <c r="S222" t="s">
        <v>372</v>
      </c>
      <c r="T222">
        <v>3</v>
      </c>
      <c r="W222">
        <v>1.82</v>
      </c>
      <c r="X222">
        <v>0.74</v>
      </c>
      <c r="Y222">
        <v>14.24</v>
      </c>
      <c r="Z222" s="32">
        <v>2.02</v>
      </c>
      <c r="AA222">
        <v>2.72</v>
      </c>
      <c r="AB222">
        <v>0.63</v>
      </c>
      <c r="AC222">
        <v>1.28</v>
      </c>
      <c r="AD222" t="s">
        <v>295</v>
      </c>
      <c r="AE222" t="s">
        <v>737</v>
      </c>
    </row>
    <row r="223" spans="1:31" ht="15.75" customHeight="1" x14ac:dyDescent="0.2">
      <c r="A223" t="s">
        <v>642</v>
      </c>
      <c r="B223" t="s">
        <v>28</v>
      </c>
      <c r="C223" t="s">
        <v>228</v>
      </c>
      <c r="D223" t="s">
        <v>224</v>
      </c>
      <c r="E223" t="s">
        <v>384</v>
      </c>
      <c r="F223">
        <v>2.37</v>
      </c>
      <c r="G223">
        <v>1.1200000000000001</v>
      </c>
      <c r="H223">
        <v>217</v>
      </c>
      <c r="I223" t="s">
        <v>326</v>
      </c>
      <c r="J223" t="s">
        <v>606</v>
      </c>
      <c r="K223" t="s">
        <v>267</v>
      </c>
      <c r="L223" t="s">
        <v>340</v>
      </c>
      <c r="N223" t="s">
        <v>360</v>
      </c>
      <c r="O223" t="s">
        <v>324</v>
      </c>
      <c r="P223" t="s">
        <v>271</v>
      </c>
      <c r="Q223">
        <v>11.61</v>
      </c>
      <c r="R223">
        <v>8.91</v>
      </c>
      <c r="S223" t="s">
        <v>372</v>
      </c>
      <c r="T223">
        <v>3</v>
      </c>
      <c r="U223">
        <v>0.54</v>
      </c>
      <c r="V223">
        <v>0.5</v>
      </c>
      <c r="W223">
        <v>1.61</v>
      </c>
      <c r="X223">
        <v>0.74</v>
      </c>
      <c r="Y223">
        <v>15.36</v>
      </c>
      <c r="Z223" s="32">
        <v>2.2599999999999998</v>
      </c>
      <c r="AA223">
        <v>3.64</v>
      </c>
      <c r="AB223">
        <v>0.98</v>
      </c>
      <c r="AC223">
        <v>1.79</v>
      </c>
      <c r="AD223" t="s">
        <v>295</v>
      </c>
      <c r="AE223" t="s">
        <v>737</v>
      </c>
    </row>
    <row r="224" spans="1:31" ht="15.75" customHeight="1" x14ac:dyDescent="0.2">
      <c r="A224" t="s">
        <v>643</v>
      </c>
      <c r="B224" t="s">
        <v>28</v>
      </c>
      <c r="C224" t="s">
        <v>228</v>
      </c>
      <c r="D224" t="s">
        <v>224</v>
      </c>
      <c r="E224" t="s">
        <v>321</v>
      </c>
      <c r="F224">
        <v>2.5</v>
      </c>
      <c r="G224">
        <v>1.08</v>
      </c>
      <c r="H224">
        <v>157</v>
      </c>
      <c r="I224" t="s">
        <v>786</v>
      </c>
      <c r="J224" t="s">
        <v>606</v>
      </c>
      <c r="K224" t="s">
        <v>267</v>
      </c>
      <c r="L224" t="s">
        <v>340</v>
      </c>
      <c r="N224" t="s">
        <v>269</v>
      </c>
      <c r="O224" t="s">
        <v>324</v>
      </c>
      <c r="P224" t="s">
        <v>271</v>
      </c>
      <c r="Q224">
        <v>10.51</v>
      </c>
      <c r="R224">
        <v>8.27</v>
      </c>
      <c r="S224" t="s">
        <v>372</v>
      </c>
      <c r="T224">
        <v>3</v>
      </c>
      <c r="U224">
        <v>0.42</v>
      </c>
      <c r="V224">
        <v>0.4</v>
      </c>
      <c r="W224">
        <v>1.47</v>
      </c>
      <c r="X224">
        <v>0.66</v>
      </c>
      <c r="Y224">
        <v>11.5</v>
      </c>
      <c r="Z224" s="32"/>
      <c r="AA224">
        <v>2.46</v>
      </c>
      <c r="AD224" t="s">
        <v>295</v>
      </c>
      <c r="AE224" t="s">
        <v>737</v>
      </c>
    </row>
    <row r="225" spans="1:31" ht="15.75" customHeight="1" x14ac:dyDescent="0.2">
      <c r="A225" t="s">
        <v>644</v>
      </c>
      <c r="B225" t="s">
        <v>18</v>
      </c>
      <c r="C225" s="3" t="s">
        <v>231</v>
      </c>
      <c r="D225" t="s">
        <v>224</v>
      </c>
      <c r="E225" t="s">
        <v>335</v>
      </c>
      <c r="F225">
        <v>2.02</v>
      </c>
      <c r="G225">
        <v>0.95</v>
      </c>
      <c r="H225">
        <v>231</v>
      </c>
      <c r="I225" t="s">
        <v>326</v>
      </c>
      <c r="J225" t="s">
        <v>606</v>
      </c>
      <c r="K225" t="s">
        <v>267</v>
      </c>
      <c r="L225" t="s">
        <v>340</v>
      </c>
      <c r="N225" t="s">
        <v>269</v>
      </c>
      <c r="O225" t="s">
        <v>324</v>
      </c>
      <c r="P225" t="s">
        <v>271</v>
      </c>
      <c r="Q225">
        <v>10.38</v>
      </c>
      <c r="R225">
        <v>8.26</v>
      </c>
      <c r="S225" t="s">
        <v>372</v>
      </c>
      <c r="T225">
        <v>1</v>
      </c>
      <c r="U225">
        <v>0.41</v>
      </c>
      <c r="V225">
        <v>0.3</v>
      </c>
      <c r="W225">
        <v>1.67</v>
      </c>
      <c r="X225">
        <v>0.68</v>
      </c>
      <c r="Y225">
        <v>14.11</v>
      </c>
      <c r="Z225" s="32"/>
      <c r="AD225" t="s">
        <v>295</v>
      </c>
      <c r="AE225" t="s">
        <v>737</v>
      </c>
    </row>
    <row r="226" spans="1:31" ht="15.75" customHeight="1" x14ac:dyDescent="0.2">
      <c r="A226" t="s">
        <v>645</v>
      </c>
      <c r="B226" t="s">
        <v>18</v>
      </c>
      <c r="C226" s="3" t="s">
        <v>231</v>
      </c>
      <c r="D226" t="s">
        <v>224</v>
      </c>
      <c r="E226" t="s">
        <v>384</v>
      </c>
      <c r="F226">
        <v>1.92</v>
      </c>
      <c r="G226">
        <v>1.03</v>
      </c>
      <c r="H226">
        <v>238</v>
      </c>
      <c r="I226" t="s">
        <v>326</v>
      </c>
      <c r="J226" t="s">
        <v>606</v>
      </c>
      <c r="K226" t="s">
        <v>267</v>
      </c>
      <c r="L226" t="s">
        <v>340</v>
      </c>
      <c r="N226" t="s">
        <v>269</v>
      </c>
      <c r="O226" t="s">
        <v>270</v>
      </c>
      <c r="P226" t="s">
        <v>271</v>
      </c>
      <c r="Q226">
        <v>9.51</v>
      </c>
      <c r="R226">
        <v>9.1199999999999992</v>
      </c>
      <c r="S226" t="s">
        <v>372</v>
      </c>
      <c r="T226">
        <v>3</v>
      </c>
      <c r="W226">
        <v>1.46</v>
      </c>
      <c r="X226">
        <v>0.59</v>
      </c>
      <c r="Y226">
        <v>10.68</v>
      </c>
      <c r="Z226" s="32"/>
      <c r="AA226">
        <v>1.67</v>
      </c>
      <c r="AD226" t="s">
        <v>590</v>
      </c>
      <c r="AE226" t="s">
        <v>737</v>
      </c>
    </row>
    <row r="227" spans="1:31" ht="15.75" customHeight="1" x14ac:dyDescent="0.2">
      <c r="A227" t="s">
        <v>646</v>
      </c>
      <c r="B227" t="s">
        <v>28</v>
      </c>
      <c r="C227" t="s">
        <v>235</v>
      </c>
      <c r="D227" t="s">
        <v>234</v>
      </c>
      <c r="E227" t="s">
        <v>335</v>
      </c>
      <c r="F227">
        <v>2.29</v>
      </c>
      <c r="G227">
        <v>1.04</v>
      </c>
      <c r="H227">
        <v>237</v>
      </c>
      <c r="I227" t="s">
        <v>326</v>
      </c>
      <c r="J227" t="s">
        <v>606</v>
      </c>
      <c r="K227" t="s">
        <v>267</v>
      </c>
      <c r="L227" t="s">
        <v>340</v>
      </c>
      <c r="N227" t="s">
        <v>269</v>
      </c>
      <c r="O227" t="s">
        <v>324</v>
      </c>
      <c r="P227" t="s">
        <v>271</v>
      </c>
      <c r="Q227">
        <v>9.7899999999999991</v>
      </c>
      <c r="R227">
        <v>9.09</v>
      </c>
      <c r="S227" t="s">
        <v>372</v>
      </c>
      <c r="T227">
        <v>3</v>
      </c>
      <c r="U227">
        <v>0.42</v>
      </c>
      <c r="V227">
        <v>0.5</v>
      </c>
      <c r="W227">
        <v>1.54</v>
      </c>
      <c r="X227">
        <v>0.63</v>
      </c>
      <c r="Y227">
        <v>10.87</v>
      </c>
      <c r="Z227" s="32">
        <v>1.63</v>
      </c>
      <c r="AA227">
        <v>2.39</v>
      </c>
      <c r="AB227">
        <v>0.78</v>
      </c>
      <c r="AC227">
        <v>1.86</v>
      </c>
      <c r="AD227" t="s">
        <v>590</v>
      </c>
      <c r="AE227" t="s">
        <v>737</v>
      </c>
    </row>
    <row r="228" spans="1:31" ht="15.75" customHeight="1" x14ac:dyDescent="0.2">
      <c r="A228" t="s">
        <v>647</v>
      </c>
      <c r="B228" t="s">
        <v>28</v>
      </c>
      <c r="C228" t="s">
        <v>235</v>
      </c>
      <c r="D228" t="s">
        <v>234</v>
      </c>
      <c r="E228" t="s">
        <v>321</v>
      </c>
      <c r="F228">
        <v>2.02</v>
      </c>
      <c r="G228">
        <v>1.02</v>
      </c>
      <c r="H228">
        <v>228</v>
      </c>
      <c r="I228" t="s">
        <v>326</v>
      </c>
      <c r="J228" t="s">
        <v>606</v>
      </c>
      <c r="K228" t="s">
        <v>267</v>
      </c>
      <c r="L228" t="s">
        <v>340</v>
      </c>
      <c r="N228" t="s">
        <v>360</v>
      </c>
      <c r="O228" t="s">
        <v>324</v>
      </c>
      <c r="P228" t="s">
        <v>271</v>
      </c>
      <c r="Q228">
        <v>7.96</v>
      </c>
      <c r="R228">
        <v>7.25</v>
      </c>
      <c r="S228" t="s">
        <v>372</v>
      </c>
      <c r="T228">
        <v>3</v>
      </c>
      <c r="U228">
        <v>0.48</v>
      </c>
      <c r="V228">
        <v>0.5</v>
      </c>
      <c r="W228">
        <v>1.43</v>
      </c>
      <c r="X228">
        <v>0.71</v>
      </c>
      <c r="Y228">
        <v>10.76</v>
      </c>
      <c r="Z228" s="32">
        <v>1.93</v>
      </c>
      <c r="AA228">
        <v>3.18</v>
      </c>
      <c r="AD228" t="s">
        <v>590</v>
      </c>
      <c r="AE228" t="s">
        <v>737</v>
      </c>
    </row>
    <row r="229" spans="1:31" ht="15.75" customHeight="1" x14ac:dyDescent="0.2">
      <c r="A229" t="s">
        <v>648</v>
      </c>
      <c r="B229" t="s">
        <v>28</v>
      </c>
      <c r="C229" t="s">
        <v>235</v>
      </c>
      <c r="D229" t="s">
        <v>234</v>
      </c>
      <c r="E229" t="s">
        <v>321</v>
      </c>
      <c r="F229">
        <v>1.99</v>
      </c>
      <c r="G229">
        <v>0.96</v>
      </c>
      <c r="H229">
        <v>186</v>
      </c>
      <c r="I229" t="s">
        <v>348</v>
      </c>
      <c r="J229" t="s">
        <v>606</v>
      </c>
      <c r="K229" t="s">
        <v>267</v>
      </c>
      <c r="L229" t="s">
        <v>340</v>
      </c>
      <c r="N229" t="s">
        <v>269</v>
      </c>
      <c r="O229" t="s">
        <v>324</v>
      </c>
      <c r="P229" t="s">
        <v>271</v>
      </c>
      <c r="Q229">
        <v>9.8699999999999992</v>
      </c>
      <c r="R229">
        <v>8.3800000000000008</v>
      </c>
      <c r="S229" t="s">
        <v>372</v>
      </c>
      <c r="T229">
        <v>3</v>
      </c>
      <c r="U229">
        <v>0.53</v>
      </c>
      <c r="V229">
        <v>0.7</v>
      </c>
      <c r="W229">
        <v>1.55</v>
      </c>
      <c r="X229">
        <v>0.74</v>
      </c>
      <c r="Y229">
        <v>11.1</v>
      </c>
      <c r="Z229" s="32"/>
      <c r="AA229">
        <v>1.68</v>
      </c>
      <c r="AD229" t="s">
        <v>590</v>
      </c>
      <c r="AE229" t="s">
        <v>737</v>
      </c>
    </row>
    <row r="230" spans="1:31" ht="15.75" customHeight="1" x14ac:dyDescent="0.2">
      <c r="A230" t="s">
        <v>649</v>
      </c>
      <c r="B230" t="s">
        <v>28</v>
      </c>
      <c r="C230" t="s">
        <v>238</v>
      </c>
      <c r="D230" t="s">
        <v>234</v>
      </c>
      <c r="E230" t="s">
        <v>384</v>
      </c>
      <c r="F230">
        <v>2.17</v>
      </c>
      <c r="G230">
        <v>0.95</v>
      </c>
      <c r="H230">
        <v>245</v>
      </c>
      <c r="I230" t="s">
        <v>326</v>
      </c>
      <c r="J230" t="s">
        <v>606</v>
      </c>
      <c r="K230" t="s">
        <v>267</v>
      </c>
      <c r="L230" t="s">
        <v>340</v>
      </c>
      <c r="N230" t="s">
        <v>269</v>
      </c>
      <c r="O230" t="s">
        <v>324</v>
      </c>
      <c r="P230" t="s">
        <v>271</v>
      </c>
      <c r="Q230">
        <v>7.5</v>
      </c>
      <c r="R230">
        <v>6.92</v>
      </c>
      <c r="S230" t="s">
        <v>372</v>
      </c>
      <c r="T230">
        <v>3</v>
      </c>
      <c r="U230">
        <v>0.43</v>
      </c>
      <c r="V230">
        <v>0.6</v>
      </c>
      <c r="W230">
        <v>1.37</v>
      </c>
      <c r="X230">
        <v>0.61</v>
      </c>
      <c r="Y230">
        <v>9.75</v>
      </c>
      <c r="Z230" s="32">
        <v>1.29</v>
      </c>
      <c r="AA230">
        <v>2.95</v>
      </c>
      <c r="AD230" t="s">
        <v>295</v>
      </c>
      <c r="AE230" t="s">
        <v>737</v>
      </c>
    </row>
    <row r="231" spans="1:31" ht="15.75" customHeight="1" x14ac:dyDescent="0.2">
      <c r="A231" t="s">
        <v>650</v>
      </c>
      <c r="B231" t="s">
        <v>28</v>
      </c>
      <c r="C231" t="s">
        <v>238</v>
      </c>
      <c r="D231" t="s">
        <v>234</v>
      </c>
      <c r="E231" t="s">
        <v>335</v>
      </c>
      <c r="F231">
        <v>1.59</v>
      </c>
      <c r="G231">
        <v>0.83</v>
      </c>
      <c r="H231">
        <v>249</v>
      </c>
      <c r="I231" t="s">
        <v>326</v>
      </c>
      <c r="J231" t="s">
        <v>589</v>
      </c>
      <c r="K231" t="s">
        <v>276</v>
      </c>
      <c r="L231" t="s">
        <v>340</v>
      </c>
      <c r="O231" t="s">
        <v>270</v>
      </c>
      <c r="P231" t="s">
        <v>271</v>
      </c>
      <c r="Q231">
        <v>14.9</v>
      </c>
      <c r="R231">
        <v>8.49</v>
      </c>
      <c r="S231" t="s">
        <v>372</v>
      </c>
      <c r="T231">
        <v>3</v>
      </c>
      <c r="U231">
        <v>0.56999999999999995</v>
      </c>
      <c r="V231">
        <v>0.4</v>
      </c>
      <c r="W231">
        <v>1.44</v>
      </c>
      <c r="X231">
        <v>0.55000000000000004</v>
      </c>
      <c r="Y231">
        <v>9.89</v>
      </c>
      <c r="Z231" s="32">
        <v>1.85</v>
      </c>
      <c r="AB231">
        <v>0.61</v>
      </c>
      <c r="AC231">
        <v>1.87</v>
      </c>
      <c r="AD231" t="s">
        <v>295</v>
      </c>
      <c r="AE231" t="s">
        <v>737</v>
      </c>
    </row>
    <row r="232" spans="1:31" ht="15.75" customHeight="1" x14ac:dyDescent="0.2">
      <c r="A232" t="s">
        <v>651</v>
      </c>
      <c r="B232" t="s">
        <v>28</v>
      </c>
      <c r="C232" t="s">
        <v>238</v>
      </c>
      <c r="D232" t="s">
        <v>234</v>
      </c>
      <c r="E232" t="s">
        <v>384</v>
      </c>
      <c r="F232">
        <v>2.6</v>
      </c>
      <c r="G232">
        <v>1.04</v>
      </c>
      <c r="H232">
        <v>217</v>
      </c>
      <c r="I232" t="s">
        <v>363</v>
      </c>
      <c r="J232" t="s">
        <v>606</v>
      </c>
      <c r="K232" t="s">
        <v>267</v>
      </c>
      <c r="L232" t="s">
        <v>340</v>
      </c>
      <c r="N232" t="s">
        <v>269</v>
      </c>
      <c r="O232" t="s">
        <v>324</v>
      </c>
      <c r="P232" t="s">
        <v>271</v>
      </c>
      <c r="Q232">
        <v>9.7100000000000009</v>
      </c>
      <c r="R232">
        <v>8.52</v>
      </c>
      <c r="S232" t="s">
        <v>372</v>
      </c>
      <c r="T232">
        <v>3</v>
      </c>
      <c r="U232">
        <v>0.52</v>
      </c>
      <c r="V232">
        <v>0.5</v>
      </c>
      <c r="W232">
        <v>1.67</v>
      </c>
      <c r="X232">
        <v>0.68</v>
      </c>
      <c r="Y232">
        <v>10.14</v>
      </c>
      <c r="Z232" s="32"/>
      <c r="AA232">
        <v>1.81</v>
      </c>
      <c r="AB232">
        <v>0.51</v>
      </c>
      <c r="AC232">
        <v>1.86</v>
      </c>
      <c r="AD232" t="s">
        <v>590</v>
      </c>
      <c r="AE232" t="s">
        <v>737</v>
      </c>
    </row>
    <row r="233" spans="1:31" ht="15.75" customHeight="1" x14ac:dyDescent="0.2">
      <c r="A233" t="s">
        <v>652</v>
      </c>
      <c r="B233" t="s">
        <v>28</v>
      </c>
      <c r="C233" t="s">
        <v>241</v>
      </c>
      <c r="D233" t="s">
        <v>234</v>
      </c>
      <c r="E233" t="s">
        <v>321</v>
      </c>
      <c r="F233">
        <v>2.02</v>
      </c>
      <c r="G233">
        <v>0.95</v>
      </c>
      <c r="H233">
        <v>196</v>
      </c>
      <c r="I233" t="s">
        <v>348</v>
      </c>
      <c r="J233" t="s">
        <v>606</v>
      </c>
      <c r="K233" t="s">
        <v>267</v>
      </c>
      <c r="L233" t="s">
        <v>340</v>
      </c>
      <c r="N233" t="s">
        <v>269</v>
      </c>
      <c r="O233" t="s">
        <v>324</v>
      </c>
      <c r="P233" t="s">
        <v>271</v>
      </c>
      <c r="Q233">
        <v>8.16</v>
      </c>
      <c r="R233">
        <v>6.53</v>
      </c>
      <c r="S233" t="s">
        <v>372</v>
      </c>
      <c r="T233">
        <v>3</v>
      </c>
      <c r="U233">
        <v>0.39</v>
      </c>
      <c r="V233">
        <v>0.3</v>
      </c>
      <c r="W233">
        <v>1.42</v>
      </c>
      <c r="X233">
        <v>0.65</v>
      </c>
      <c r="Y233">
        <v>9.32</v>
      </c>
      <c r="Z233" s="32">
        <v>1.74</v>
      </c>
      <c r="AA233">
        <v>1.82</v>
      </c>
      <c r="AB233">
        <v>0.68</v>
      </c>
      <c r="AC233">
        <v>1.85</v>
      </c>
      <c r="AD233" t="s">
        <v>295</v>
      </c>
      <c r="AE233" t="s">
        <v>737</v>
      </c>
    </row>
    <row r="234" spans="1:31" ht="15.75" customHeight="1" x14ac:dyDescent="0.2">
      <c r="A234" t="s">
        <v>653</v>
      </c>
      <c r="B234" t="s">
        <v>28</v>
      </c>
      <c r="C234" t="s">
        <v>241</v>
      </c>
      <c r="D234" t="s">
        <v>234</v>
      </c>
      <c r="E234" t="s">
        <v>321</v>
      </c>
      <c r="F234">
        <v>1.83</v>
      </c>
      <c r="G234">
        <v>0.94</v>
      </c>
      <c r="H234">
        <v>210</v>
      </c>
      <c r="I234" t="s">
        <v>363</v>
      </c>
      <c r="J234" t="s">
        <v>606</v>
      </c>
      <c r="K234" t="s">
        <v>267</v>
      </c>
      <c r="L234" t="s">
        <v>340</v>
      </c>
      <c r="N234" t="s">
        <v>269</v>
      </c>
      <c r="O234" t="s">
        <v>324</v>
      </c>
      <c r="P234" t="s">
        <v>271</v>
      </c>
      <c r="Q234">
        <v>8.33</v>
      </c>
      <c r="R234">
        <v>7.81</v>
      </c>
      <c r="S234" t="s">
        <v>372</v>
      </c>
      <c r="T234">
        <v>3</v>
      </c>
      <c r="U234">
        <v>0.47</v>
      </c>
      <c r="V234">
        <v>0.3</v>
      </c>
      <c r="W234">
        <v>1.36</v>
      </c>
      <c r="X234">
        <v>0.72</v>
      </c>
      <c r="Y234">
        <v>12.39</v>
      </c>
      <c r="Z234" s="32"/>
      <c r="AA234">
        <v>1.65</v>
      </c>
      <c r="AD234" t="s">
        <v>295</v>
      </c>
      <c r="AE234" t="s">
        <v>737</v>
      </c>
    </row>
    <row r="235" spans="1:31" ht="15.75" customHeight="1" x14ac:dyDescent="0.2">
      <c r="A235" t="s">
        <v>654</v>
      </c>
      <c r="B235" t="s">
        <v>28</v>
      </c>
      <c r="C235" t="s">
        <v>655</v>
      </c>
      <c r="D235" t="s">
        <v>234</v>
      </c>
      <c r="E235" t="s">
        <v>321</v>
      </c>
      <c r="F235">
        <v>2.2999999999999998</v>
      </c>
      <c r="G235">
        <v>1</v>
      </c>
      <c r="H235">
        <v>256</v>
      </c>
      <c r="I235" t="s">
        <v>326</v>
      </c>
      <c r="J235" t="s">
        <v>606</v>
      </c>
      <c r="K235" t="s">
        <v>267</v>
      </c>
      <c r="L235" t="s">
        <v>340</v>
      </c>
      <c r="N235" t="s">
        <v>269</v>
      </c>
      <c r="O235" t="s">
        <v>324</v>
      </c>
      <c r="P235" t="s">
        <v>271</v>
      </c>
      <c r="Q235">
        <v>10.09</v>
      </c>
      <c r="R235">
        <v>9.68</v>
      </c>
      <c r="S235" t="s">
        <v>372</v>
      </c>
      <c r="T235">
        <v>3</v>
      </c>
      <c r="U235">
        <v>0.44</v>
      </c>
      <c r="V235">
        <v>0.7</v>
      </c>
      <c r="W235">
        <v>1.48</v>
      </c>
      <c r="X235">
        <v>0.62</v>
      </c>
      <c r="Y235">
        <v>9.8699999999999992</v>
      </c>
      <c r="Z235" s="32">
        <v>1.82</v>
      </c>
      <c r="AA235">
        <v>1.57</v>
      </c>
      <c r="AD235" t="s">
        <v>590</v>
      </c>
      <c r="AE235" t="s">
        <v>738</v>
      </c>
    </row>
    <row r="236" spans="1:31" ht="15.75" customHeight="1" x14ac:dyDescent="0.2">
      <c r="A236" t="s">
        <v>656</v>
      </c>
      <c r="B236" t="s">
        <v>28</v>
      </c>
      <c r="C236" t="s">
        <v>655</v>
      </c>
      <c r="D236" t="s">
        <v>234</v>
      </c>
      <c r="E236" t="s">
        <v>321</v>
      </c>
      <c r="F236">
        <v>2.04</v>
      </c>
      <c r="G236">
        <v>0.93</v>
      </c>
      <c r="H236">
        <v>243</v>
      </c>
      <c r="I236" t="s">
        <v>326</v>
      </c>
      <c r="J236" t="s">
        <v>606</v>
      </c>
      <c r="K236" t="s">
        <v>267</v>
      </c>
      <c r="L236" t="s">
        <v>340</v>
      </c>
      <c r="N236" t="s">
        <v>269</v>
      </c>
      <c r="O236" t="s">
        <v>324</v>
      </c>
      <c r="P236" t="s">
        <v>271</v>
      </c>
      <c r="Q236">
        <v>7.17</v>
      </c>
      <c r="R236">
        <v>6.26</v>
      </c>
      <c r="S236" t="s">
        <v>372</v>
      </c>
      <c r="T236">
        <v>3</v>
      </c>
      <c r="U236">
        <v>0.64</v>
      </c>
      <c r="V236">
        <v>0.6</v>
      </c>
      <c r="W236">
        <v>1.37</v>
      </c>
      <c r="X236">
        <v>0.63</v>
      </c>
      <c r="Y236">
        <v>8.59</v>
      </c>
      <c r="Z236" s="32"/>
      <c r="AA236">
        <v>2.16</v>
      </c>
      <c r="AD236" t="s">
        <v>295</v>
      </c>
      <c r="AE236" t="s">
        <v>738</v>
      </c>
    </row>
    <row r="237" spans="1:31" ht="15.75" customHeight="1" x14ac:dyDescent="0.2">
      <c r="A237" t="s">
        <v>657</v>
      </c>
      <c r="B237" t="s">
        <v>28</v>
      </c>
      <c r="C237" t="s">
        <v>655</v>
      </c>
      <c r="D237" t="s">
        <v>234</v>
      </c>
      <c r="E237" t="s">
        <v>321</v>
      </c>
      <c r="F237">
        <v>2.25</v>
      </c>
      <c r="G237">
        <v>1.0900000000000001</v>
      </c>
      <c r="H237">
        <v>248</v>
      </c>
      <c r="I237" t="s">
        <v>326</v>
      </c>
      <c r="J237" t="s">
        <v>606</v>
      </c>
      <c r="K237" t="s">
        <v>267</v>
      </c>
      <c r="L237" t="s">
        <v>340</v>
      </c>
      <c r="N237" t="s">
        <v>269</v>
      </c>
      <c r="O237" t="s">
        <v>324</v>
      </c>
      <c r="P237" t="s">
        <v>271</v>
      </c>
      <c r="Q237">
        <v>6.89</v>
      </c>
      <c r="R237">
        <v>6.01</v>
      </c>
      <c r="S237" t="s">
        <v>372</v>
      </c>
      <c r="T237">
        <v>3</v>
      </c>
      <c r="U237">
        <v>0.68</v>
      </c>
      <c r="V237">
        <v>0.4</v>
      </c>
      <c r="W237">
        <v>1.41</v>
      </c>
      <c r="X237">
        <v>0.69</v>
      </c>
      <c r="Y237">
        <v>8.65</v>
      </c>
      <c r="Z237" s="32"/>
      <c r="AA237">
        <v>1.94</v>
      </c>
      <c r="AB237">
        <v>0.76</v>
      </c>
      <c r="AC237">
        <v>1.73</v>
      </c>
      <c r="AD237" t="s">
        <v>295</v>
      </c>
      <c r="AE237" t="s">
        <v>738</v>
      </c>
    </row>
    <row r="238" spans="1:31" ht="15.75" customHeight="1" x14ac:dyDescent="0.2">
      <c r="A238" s="19" t="s">
        <v>264</v>
      </c>
      <c r="B238" s="18" t="s">
        <v>28</v>
      </c>
      <c r="C238" s="19" t="s">
        <v>717</v>
      </c>
      <c r="D238" s="18" t="s">
        <v>265</v>
      </c>
      <c r="E238" s="18"/>
      <c r="F238" s="18">
        <v>1.95</v>
      </c>
      <c r="G238" s="18">
        <v>1.01</v>
      </c>
      <c r="H238" s="18">
        <v>119</v>
      </c>
      <c r="I238" s="18" t="s">
        <v>677</v>
      </c>
      <c r="J238" s="18"/>
      <c r="K238" s="18" t="s">
        <v>267</v>
      </c>
      <c r="L238" s="18" t="s">
        <v>268</v>
      </c>
      <c r="M238" s="17"/>
      <c r="N238" s="18" t="s">
        <v>269</v>
      </c>
      <c r="O238" s="18" t="s">
        <v>270</v>
      </c>
      <c r="P238" s="18" t="s">
        <v>271</v>
      </c>
      <c r="Q238" s="18">
        <v>9.98</v>
      </c>
      <c r="R238" s="18">
        <v>8.8800000000000008</v>
      </c>
      <c r="S238" s="18" t="s">
        <v>272</v>
      </c>
      <c r="T238" s="18">
        <v>3</v>
      </c>
      <c r="U238" s="18">
        <v>0.51</v>
      </c>
      <c r="V238" s="18">
        <v>0.3</v>
      </c>
      <c r="W238" s="18">
        <v>1.22</v>
      </c>
    </row>
    <row r="239" spans="1:31" ht="15.75" customHeight="1" x14ac:dyDescent="0.2">
      <c r="A239" s="19" t="s">
        <v>273</v>
      </c>
      <c r="B239" s="18" t="s">
        <v>10</v>
      </c>
      <c r="C239" s="19" t="s">
        <v>717</v>
      </c>
      <c r="D239" s="18" t="s">
        <v>274</v>
      </c>
      <c r="F239" s="18">
        <v>1</v>
      </c>
      <c r="G239" s="18">
        <v>0.82</v>
      </c>
      <c r="H239" s="18">
        <v>189.7</v>
      </c>
      <c r="I239" s="18" t="s">
        <v>785</v>
      </c>
      <c r="K239" s="18" t="s">
        <v>276</v>
      </c>
      <c r="L239" s="18" t="s">
        <v>268</v>
      </c>
      <c r="M239" s="18"/>
      <c r="N239" s="18" t="s">
        <v>277</v>
      </c>
      <c r="O239" s="18" t="s">
        <v>270</v>
      </c>
      <c r="P239" s="18" t="s">
        <v>271</v>
      </c>
      <c r="Q239" s="18">
        <v>11.38</v>
      </c>
      <c r="R239" s="18">
        <v>8.9700000000000006</v>
      </c>
      <c r="S239" s="18" t="s">
        <v>272</v>
      </c>
      <c r="T239" s="18">
        <v>2</v>
      </c>
      <c r="U239" s="18">
        <v>0.5</v>
      </c>
      <c r="V239" s="18">
        <v>0.4</v>
      </c>
      <c r="W239" s="18">
        <v>1.1200000000000001</v>
      </c>
    </row>
    <row r="240" spans="1:31" ht="15.75" customHeight="1" x14ac:dyDescent="0.2">
      <c r="A240" s="19" t="s">
        <v>278</v>
      </c>
      <c r="B240" s="18" t="s">
        <v>10</v>
      </c>
      <c r="C240" s="19" t="s">
        <v>717</v>
      </c>
      <c r="D240" s="18" t="s">
        <v>279</v>
      </c>
      <c r="F240" s="18">
        <v>1</v>
      </c>
      <c r="G240" s="18">
        <v>0.79</v>
      </c>
      <c r="H240" s="18">
        <v>220</v>
      </c>
      <c r="I240" s="18" t="s">
        <v>326</v>
      </c>
      <c r="K240" s="18" t="s">
        <v>276</v>
      </c>
      <c r="L240" s="18" t="s">
        <v>268</v>
      </c>
      <c r="M240" s="18"/>
      <c r="N240" s="18" t="s">
        <v>277</v>
      </c>
      <c r="O240" s="18" t="s">
        <v>270</v>
      </c>
      <c r="P240" s="18" t="s">
        <v>271</v>
      </c>
      <c r="Q240" s="18">
        <v>9.31</v>
      </c>
      <c r="R240" s="18">
        <v>7.24</v>
      </c>
      <c r="S240" s="18" t="s">
        <v>272</v>
      </c>
      <c r="T240" s="18">
        <v>0</v>
      </c>
      <c r="U240" s="18">
        <v>0.47</v>
      </c>
      <c r="V240" s="18">
        <v>0.4</v>
      </c>
      <c r="W240" s="18">
        <v>1.21</v>
      </c>
    </row>
    <row r="241" spans="1:31" ht="15.75" customHeight="1" x14ac:dyDescent="0.2">
      <c r="A241" s="19" t="s">
        <v>281</v>
      </c>
      <c r="B241" s="18" t="s">
        <v>10</v>
      </c>
      <c r="C241" s="19" t="s">
        <v>717</v>
      </c>
      <c r="D241" s="18" t="s">
        <v>279</v>
      </c>
      <c r="F241" s="18">
        <v>1.56</v>
      </c>
      <c r="G241" s="18">
        <v>0.9</v>
      </c>
      <c r="H241" s="18">
        <v>157</v>
      </c>
      <c r="I241" s="18" t="s">
        <v>348</v>
      </c>
      <c r="K241" s="18" t="s">
        <v>276</v>
      </c>
      <c r="L241" s="18" t="s">
        <v>268</v>
      </c>
      <c r="M241" s="18"/>
      <c r="N241" s="18" t="s">
        <v>277</v>
      </c>
      <c r="O241" s="18" t="s">
        <v>270</v>
      </c>
      <c r="P241" s="18" t="s">
        <v>271</v>
      </c>
      <c r="Q241" s="18">
        <v>9.19</v>
      </c>
      <c r="R241" s="18">
        <v>7.3</v>
      </c>
      <c r="S241" s="18" t="s">
        <v>272</v>
      </c>
      <c r="T241" s="18">
        <v>0</v>
      </c>
      <c r="U241" s="18">
        <v>0.51</v>
      </c>
      <c r="V241" s="18">
        <v>0.4</v>
      </c>
      <c r="W241" s="18">
        <v>1.48</v>
      </c>
      <c r="X241" s="18"/>
      <c r="AE241" s="18" t="s">
        <v>720</v>
      </c>
    </row>
    <row r="242" spans="1:31" ht="15.75" customHeight="1" x14ac:dyDescent="0.2">
      <c r="A242" s="19" t="s">
        <v>284</v>
      </c>
      <c r="B242" s="18" t="s">
        <v>28</v>
      </c>
      <c r="C242" s="19" t="s">
        <v>717</v>
      </c>
      <c r="D242" s="18" t="s">
        <v>279</v>
      </c>
      <c r="F242" s="18">
        <v>2.37</v>
      </c>
      <c r="G242" s="18">
        <v>1.02</v>
      </c>
      <c r="H242" s="18">
        <v>158</v>
      </c>
      <c r="I242" s="18" t="s">
        <v>786</v>
      </c>
      <c r="K242" s="18" t="s">
        <v>267</v>
      </c>
      <c r="L242" s="18" t="s">
        <v>268</v>
      </c>
      <c r="M242" s="18"/>
      <c r="N242" s="18" t="s">
        <v>269</v>
      </c>
      <c r="O242" s="18" t="s">
        <v>270</v>
      </c>
      <c r="P242" s="18" t="s">
        <v>271</v>
      </c>
      <c r="Q242" s="18"/>
      <c r="R242" s="18"/>
      <c r="S242" s="18" t="s">
        <v>272</v>
      </c>
      <c r="T242" s="18">
        <v>3</v>
      </c>
      <c r="U242" s="18">
        <v>0.44</v>
      </c>
      <c r="V242" s="18">
        <v>0.6</v>
      </c>
      <c r="W242" s="18">
        <v>1.62</v>
      </c>
      <c r="X242" s="18"/>
      <c r="AE242" s="18" t="s">
        <v>286</v>
      </c>
    </row>
    <row r="243" spans="1:31" ht="15.75" customHeight="1" x14ac:dyDescent="0.2">
      <c r="A243" s="19" t="s">
        <v>287</v>
      </c>
      <c r="B243" s="18" t="s">
        <v>10</v>
      </c>
      <c r="C243" s="19" t="s">
        <v>717</v>
      </c>
      <c r="D243" s="18" t="s">
        <v>279</v>
      </c>
      <c r="F243" s="18"/>
      <c r="G243" s="18"/>
      <c r="H243" s="18"/>
      <c r="I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AE243" s="18" t="s">
        <v>286</v>
      </c>
    </row>
    <row r="244" spans="1:31" ht="15.75" customHeight="1" x14ac:dyDescent="0.2">
      <c r="A244" s="19" t="s">
        <v>288</v>
      </c>
      <c r="B244" s="18" t="s">
        <v>28</v>
      </c>
      <c r="C244" s="19" t="s">
        <v>717</v>
      </c>
      <c r="D244" s="18" t="s">
        <v>279</v>
      </c>
      <c r="F244" s="18">
        <v>3.42</v>
      </c>
      <c r="G244" s="18">
        <v>1.1399999999999999</v>
      </c>
      <c r="H244" s="18">
        <v>117</v>
      </c>
      <c r="I244" s="18" t="s">
        <v>677</v>
      </c>
      <c r="K244" s="18" t="s">
        <v>267</v>
      </c>
      <c r="L244" s="18" t="s">
        <v>268</v>
      </c>
      <c r="M244" s="18"/>
      <c r="N244" s="18" t="s">
        <v>269</v>
      </c>
      <c r="O244" s="18" t="s">
        <v>270</v>
      </c>
      <c r="P244" s="18" t="s">
        <v>271</v>
      </c>
      <c r="Q244" s="18">
        <v>13.53</v>
      </c>
      <c r="R244" s="18">
        <v>11</v>
      </c>
      <c r="S244" s="18" t="s">
        <v>272</v>
      </c>
      <c r="T244" s="18">
        <v>3</v>
      </c>
      <c r="U244" s="18">
        <v>0.54</v>
      </c>
      <c r="V244" s="18">
        <v>0.7</v>
      </c>
      <c r="W244" s="18">
        <v>2.21</v>
      </c>
    </row>
    <row r="245" spans="1:31" ht="15.75" customHeight="1" x14ac:dyDescent="0.2">
      <c r="A245" s="19" t="s">
        <v>290</v>
      </c>
      <c r="B245" s="18" t="s">
        <v>10</v>
      </c>
      <c r="C245" s="19" t="s">
        <v>717</v>
      </c>
      <c r="D245" s="18" t="s">
        <v>291</v>
      </c>
      <c r="F245" s="18">
        <v>0.88</v>
      </c>
      <c r="G245" s="18">
        <v>0.85</v>
      </c>
      <c r="H245" s="18">
        <v>203</v>
      </c>
      <c r="I245" s="18" t="s">
        <v>785</v>
      </c>
      <c r="K245" s="18" t="s">
        <v>276</v>
      </c>
      <c r="L245" s="18" t="s">
        <v>268</v>
      </c>
      <c r="M245" s="18"/>
      <c r="N245" s="18" t="s">
        <v>277</v>
      </c>
      <c r="O245" s="18" t="s">
        <v>270</v>
      </c>
      <c r="P245" s="18" t="s">
        <v>271</v>
      </c>
      <c r="Q245" s="18">
        <v>8.9</v>
      </c>
      <c r="R245" s="18">
        <v>7.81</v>
      </c>
      <c r="S245" s="18" t="s">
        <v>272</v>
      </c>
      <c r="T245" s="18">
        <v>2</v>
      </c>
      <c r="U245" s="18">
        <v>0.43</v>
      </c>
      <c r="V245" s="18">
        <v>0.4</v>
      </c>
      <c r="W245" s="18">
        <v>1.3</v>
      </c>
    </row>
    <row r="246" spans="1:31" ht="15.75" customHeight="1" x14ac:dyDescent="0.2">
      <c r="A246" s="19" t="s">
        <v>292</v>
      </c>
      <c r="B246" s="18" t="s">
        <v>10</v>
      </c>
      <c r="C246" s="19" t="s">
        <v>717</v>
      </c>
      <c r="D246" s="18" t="s">
        <v>291</v>
      </c>
      <c r="F246" s="18">
        <v>0.94</v>
      </c>
      <c r="G246" s="18">
        <v>0.84</v>
      </c>
      <c r="H246" s="18">
        <v>218</v>
      </c>
      <c r="I246" s="18" t="s">
        <v>326</v>
      </c>
      <c r="K246" s="18" t="s">
        <v>276</v>
      </c>
      <c r="L246" s="18" t="s">
        <v>268</v>
      </c>
      <c r="M246" s="18"/>
      <c r="N246" s="18" t="s">
        <v>277</v>
      </c>
      <c r="O246" s="18" t="s">
        <v>270</v>
      </c>
      <c r="P246" s="18" t="s">
        <v>271</v>
      </c>
      <c r="Q246" s="18">
        <v>9.43</v>
      </c>
      <c r="R246" s="18">
        <v>7.84</v>
      </c>
      <c r="S246" s="18" t="s">
        <v>272</v>
      </c>
      <c r="T246" s="18">
        <v>1</v>
      </c>
      <c r="U246" s="18">
        <v>0.55000000000000004</v>
      </c>
      <c r="V246" s="18">
        <v>0.6</v>
      </c>
      <c r="W246" s="18">
        <v>1.29</v>
      </c>
    </row>
    <row r="247" spans="1:31" ht="15.75" customHeight="1" x14ac:dyDescent="0.2">
      <c r="A247" s="19" t="s">
        <v>293</v>
      </c>
      <c r="B247" s="18" t="s">
        <v>10</v>
      </c>
      <c r="C247" s="19" t="s">
        <v>717</v>
      </c>
      <c r="D247" s="18" t="s">
        <v>291</v>
      </c>
      <c r="F247" s="18">
        <v>0.89</v>
      </c>
      <c r="G247" s="18">
        <v>0.92</v>
      </c>
      <c r="H247" s="18">
        <v>191</v>
      </c>
      <c r="I247" s="18" t="s">
        <v>785</v>
      </c>
      <c r="K247" s="18" t="s">
        <v>276</v>
      </c>
      <c r="L247" s="18" t="s">
        <v>268</v>
      </c>
      <c r="M247" s="18"/>
      <c r="N247" s="18" t="s">
        <v>277</v>
      </c>
      <c r="O247" s="18" t="s">
        <v>270</v>
      </c>
      <c r="P247" s="18" t="s">
        <v>271</v>
      </c>
      <c r="Q247" s="18">
        <v>9.68</v>
      </c>
      <c r="R247" s="18">
        <v>8.4600000000000009</v>
      </c>
      <c r="S247" s="18" t="s">
        <v>272</v>
      </c>
      <c r="T247" s="18">
        <v>2</v>
      </c>
      <c r="U247" s="18">
        <v>0.34</v>
      </c>
      <c r="V247" s="18">
        <v>0.3</v>
      </c>
      <c r="W247" s="18">
        <v>1.18</v>
      </c>
    </row>
    <row r="248" spans="1:31" ht="15.75" customHeight="1" x14ac:dyDescent="0.2">
      <c r="A248" s="19" t="s">
        <v>294</v>
      </c>
      <c r="B248" s="18" t="s">
        <v>28</v>
      </c>
      <c r="C248" s="19" t="s">
        <v>717</v>
      </c>
      <c r="D248" s="18" t="s">
        <v>274</v>
      </c>
      <c r="F248" s="18">
        <v>2.0499999999999998</v>
      </c>
      <c r="G248" s="18">
        <v>1.05</v>
      </c>
      <c r="H248" s="18">
        <v>170</v>
      </c>
      <c r="I248" s="18" t="s">
        <v>295</v>
      </c>
      <c r="K248" s="18" t="s">
        <v>276</v>
      </c>
      <c r="L248" s="18" t="s">
        <v>268</v>
      </c>
      <c r="M248" s="18"/>
      <c r="N248" s="18" t="s">
        <v>269</v>
      </c>
      <c r="O248" s="18" t="s">
        <v>270</v>
      </c>
      <c r="P248" s="18" t="s">
        <v>271</v>
      </c>
      <c r="Q248" s="18">
        <v>14.26</v>
      </c>
      <c r="R248" s="18">
        <v>12.32</v>
      </c>
      <c r="S248" s="18" t="s">
        <v>272</v>
      </c>
      <c r="T248" s="18">
        <v>3</v>
      </c>
      <c r="U248" s="18">
        <v>0.52</v>
      </c>
      <c r="V248" s="18">
        <v>0.6</v>
      </c>
      <c r="W248" s="18">
        <v>1.85</v>
      </c>
    </row>
    <row r="249" spans="1:31" ht="15.75" customHeight="1" x14ac:dyDescent="0.2">
      <c r="K249" s="18"/>
      <c r="L249" s="18"/>
      <c r="M249" s="18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918C-68D4-3147-A7C1-3066087771FD}">
  <dimension ref="A1:B3"/>
  <sheetViews>
    <sheetView workbookViewId="0">
      <selection activeCell="A4" sqref="A4"/>
    </sheetView>
  </sheetViews>
  <sheetFormatPr baseColWidth="10" defaultColWidth="11" defaultRowHeight="16" x14ac:dyDescent="0.2"/>
  <sheetData>
    <row r="1" spans="1:2" x14ac:dyDescent="0.2">
      <c r="A1" s="2" t="s">
        <v>658</v>
      </c>
      <c r="B1" s="2" t="s">
        <v>659</v>
      </c>
    </row>
    <row r="2" spans="1:2" x14ac:dyDescent="0.2">
      <c r="A2" t="s">
        <v>660</v>
      </c>
      <c r="B2">
        <v>4.75</v>
      </c>
    </row>
    <row r="3" spans="1:2" x14ac:dyDescent="0.2">
      <c r="A3" t="s">
        <v>661</v>
      </c>
      <c r="B3">
        <v>6.1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015F-81F9-5E43-9483-77F102414BC3}">
  <dimension ref="A1:Y184"/>
  <sheetViews>
    <sheetView topLeftCell="N1" workbookViewId="0">
      <selection activeCell="Y10" sqref="Y10"/>
    </sheetView>
  </sheetViews>
  <sheetFormatPr baseColWidth="10" defaultColWidth="11" defaultRowHeight="15.75" customHeight="1" x14ac:dyDescent="0.2"/>
  <cols>
    <col min="1" max="1" width="16.83203125" customWidth="1"/>
    <col min="2" max="2" width="17.5" customWidth="1"/>
    <col min="3" max="3" width="16.5" customWidth="1"/>
    <col min="4" max="4" width="14.5" customWidth="1"/>
    <col min="5" max="6" width="15" customWidth="1"/>
    <col min="8" max="8" width="24.5" customWidth="1"/>
    <col min="9" max="9" width="34.33203125" customWidth="1"/>
    <col min="11" max="11" width="12.6640625" customWidth="1"/>
    <col min="12" max="12" width="12" customWidth="1"/>
  </cols>
  <sheetData>
    <row r="1" spans="1:25" ht="16" x14ac:dyDescent="0.2">
      <c r="A1" s="2" t="s">
        <v>244</v>
      </c>
      <c r="B1" s="1" t="s">
        <v>246</v>
      </c>
      <c r="C1" s="1" t="s">
        <v>247</v>
      </c>
      <c r="D1" s="4" t="s">
        <v>298</v>
      </c>
      <c r="E1" s="4" t="s">
        <v>299</v>
      </c>
      <c r="F1" s="4" t="s">
        <v>300</v>
      </c>
      <c r="G1" s="4" t="s">
        <v>301</v>
      </c>
      <c r="H1" s="4" t="s">
        <v>302</v>
      </c>
      <c r="I1" s="4" t="s">
        <v>304</v>
      </c>
      <c r="J1" s="1" t="s">
        <v>305</v>
      </c>
      <c r="K1" s="1" t="s">
        <v>253</v>
      </c>
      <c r="L1" s="1" t="s">
        <v>306</v>
      </c>
      <c r="M1" s="1" t="s">
        <v>307</v>
      </c>
      <c r="N1" s="1" t="s">
        <v>308</v>
      </c>
      <c r="O1" s="1" t="s">
        <v>309</v>
      </c>
      <c r="P1" s="1" t="s">
        <v>310</v>
      </c>
      <c r="Q1" s="1" t="s">
        <v>297</v>
      </c>
      <c r="R1" s="1" t="s">
        <v>259</v>
      </c>
      <c r="S1" s="1" t="s">
        <v>260</v>
      </c>
      <c r="T1" s="1" t="s">
        <v>261</v>
      </c>
      <c r="U1" s="1" t="s">
        <v>262</v>
      </c>
      <c r="V1" s="9" t="s">
        <v>662</v>
      </c>
      <c r="W1" s="9" t="s">
        <v>263</v>
      </c>
      <c r="X1" s="1" t="s">
        <v>318</v>
      </c>
      <c r="Y1" s="1" t="s">
        <v>663</v>
      </c>
    </row>
    <row r="2" spans="1:25" ht="16" x14ac:dyDescent="0.2">
      <c r="A2" t="s">
        <v>319</v>
      </c>
      <c r="B2" t="s">
        <v>320</v>
      </c>
      <c r="C2" t="s">
        <v>11</v>
      </c>
      <c r="D2" t="s">
        <v>321</v>
      </c>
      <c r="E2">
        <f>(0.8+0.79+0.81)/3</f>
        <v>0.80000000000000016</v>
      </c>
      <c r="F2">
        <f>(0.91+0.89+0.94)/3</f>
        <v>0.91333333333333344</v>
      </c>
      <c r="G2">
        <v>170.1</v>
      </c>
      <c r="H2" t="s">
        <v>348</v>
      </c>
      <c r="I2" t="s">
        <v>664</v>
      </c>
      <c r="J2" t="s">
        <v>665</v>
      </c>
      <c r="L2" t="s">
        <v>277</v>
      </c>
      <c r="M2" t="s">
        <v>666</v>
      </c>
      <c r="N2" t="s">
        <v>667</v>
      </c>
      <c r="O2">
        <v>7.78</v>
      </c>
      <c r="P2">
        <v>5</v>
      </c>
      <c r="Q2" t="s">
        <v>10</v>
      </c>
      <c r="S2" t="s">
        <v>668</v>
      </c>
      <c r="T2">
        <v>0.41</v>
      </c>
      <c r="U2">
        <v>7.0000000000000007E-2</v>
      </c>
      <c r="Y2" t="s">
        <v>669</v>
      </c>
    </row>
    <row r="3" spans="1:25" ht="16" x14ac:dyDescent="0.2">
      <c r="A3" t="s">
        <v>325</v>
      </c>
      <c r="B3" t="s">
        <v>320</v>
      </c>
      <c r="C3" t="s">
        <v>11</v>
      </c>
      <c r="D3" t="s">
        <v>321</v>
      </c>
      <c r="E3">
        <f>(1+0.96+1.01)/3</f>
        <v>0.98999999999999988</v>
      </c>
      <c r="F3">
        <f>(0.86+0.93+0.95)/3</f>
        <v>0.91333333333333344</v>
      </c>
      <c r="G3">
        <v>253</v>
      </c>
      <c r="H3" t="s">
        <v>326</v>
      </c>
      <c r="I3" t="s">
        <v>664</v>
      </c>
      <c r="J3" t="s">
        <v>665</v>
      </c>
      <c r="L3" t="s">
        <v>327</v>
      </c>
      <c r="M3" t="s">
        <v>666</v>
      </c>
      <c r="N3" t="s">
        <v>667</v>
      </c>
      <c r="O3">
        <v>7.71</v>
      </c>
      <c r="P3">
        <v>6.03</v>
      </c>
      <c r="Q3" t="s">
        <v>10</v>
      </c>
      <c r="S3" t="s">
        <v>668</v>
      </c>
      <c r="T3">
        <v>0.41</v>
      </c>
      <c r="U3">
        <v>0.06</v>
      </c>
      <c r="Y3" t="s">
        <v>670</v>
      </c>
    </row>
    <row r="4" spans="1:25" ht="16" x14ac:dyDescent="0.2">
      <c r="A4" t="s">
        <v>328</v>
      </c>
      <c r="B4" t="s">
        <v>320</v>
      </c>
      <c r="C4" t="s">
        <v>11</v>
      </c>
      <c r="D4" t="s">
        <v>321</v>
      </c>
      <c r="E4">
        <f>(0.7+0.72+0.76)/3</f>
        <v>0.72666666666666657</v>
      </c>
      <c r="F4">
        <f>(0.72+0.71+0.7)/3</f>
        <v>0.71</v>
      </c>
      <c r="G4">
        <v>215</v>
      </c>
      <c r="H4" t="s">
        <v>326</v>
      </c>
      <c r="I4" t="s">
        <v>664</v>
      </c>
      <c r="J4" t="s">
        <v>665</v>
      </c>
      <c r="L4" t="s">
        <v>671</v>
      </c>
      <c r="M4" t="s">
        <v>672</v>
      </c>
      <c r="N4" t="s">
        <v>667</v>
      </c>
      <c r="O4">
        <v>5.77</v>
      </c>
      <c r="P4">
        <v>4.57</v>
      </c>
      <c r="Q4" t="s">
        <v>10</v>
      </c>
      <c r="S4" t="s">
        <v>668</v>
      </c>
      <c r="T4">
        <v>0.28999999999999998</v>
      </c>
      <c r="U4">
        <v>0.03</v>
      </c>
      <c r="Y4" t="s">
        <v>673</v>
      </c>
    </row>
    <row r="5" spans="1:25" ht="16" x14ac:dyDescent="0.2">
      <c r="A5" t="s">
        <v>330</v>
      </c>
      <c r="B5" s="3" t="s">
        <v>17</v>
      </c>
      <c r="C5" t="s">
        <v>331</v>
      </c>
      <c r="D5" t="s">
        <v>321</v>
      </c>
      <c r="E5">
        <f>(1.27+1.36+1.2)/3</f>
        <v>1.2766666666666666</v>
      </c>
      <c r="F5">
        <f>(0.93+0.91+1.01)/3</f>
        <v>0.95000000000000007</v>
      </c>
      <c r="G5">
        <v>172.7</v>
      </c>
      <c r="H5" t="s">
        <v>348</v>
      </c>
      <c r="I5" t="s">
        <v>664</v>
      </c>
      <c r="J5" t="s">
        <v>665</v>
      </c>
      <c r="L5" t="s">
        <v>269</v>
      </c>
      <c r="M5" t="s">
        <v>672</v>
      </c>
      <c r="N5" t="s">
        <v>667</v>
      </c>
      <c r="O5">
        <v>8.65</v>
      </c>
      <c r="P5">
        <v>7.14</v>
      </c>
      <c r="Q5" t="s">
        <v>10</v>
      </c>
      <c r="S5">
        <v>3</v>
      </c>
      <c r="T5">
        <v>0.61</v>
      </c>
      <c r="U5">
        <v>7.0000000000000007E-2</v>
      </c>
      <c r="Y5" t="s">
        <v>674</v>
      </c>
    </row>
    <row r="6" spans="1:25" ht="15.75" customHeight="1" x14ac:dyDescent="0.25">
      <c r="A6" t="s">
        <v>332</v>
      </c>
      <c r="B6" s="3" t="s">
        <v>17</v>
      </c>
      <c r="C6" t="s">
        <v>331</v>
      </c>
      <c r="Y6" s="11" t="s">
        <v>675</v>
      </c>
    </row>
    <row r="7" spans="1:25" ht="15.75" customHeight="1" x14ac:dyDescent="0.25">
      <c r="A7" t="s">
        <v>333</v>
      </c>
      <c r="B7" s="3" t="s">
        <v>17</v>
      </c>
      <c r="C7" t="s">
        <v>331</v>
      </c>
      <c r="Y7" s="11" t="s">
        <v>676</v>
      </c>
    </row>
    <row r="8" spans="1:25" ht="16" x14ac:dyDescent="0.2">
      <c r="A8" t="s">
        <v>334</v>
      </c>
      <c r="B8" s="6" t="s">
        <v>21</v>
      </c>
      <c r="C8" s="3" t="s">
        <v>20</v>
      </c>
      <c r="E8">
        <f>(1.22+1.34+1.26)/3</f>
        <v>1.2733333333333334</v>
      </c>
      <c r="F8">
        <f>(1.1+1.04+1.08)/3</f>
        <v>1.0733333333333335</v>
      </c>
      <c r="G8">
        <v>159</v>
      </c>
      <c r="H8" t="s">
        <v>677</v>
      </c>
      <c r="I8" t="s">
        <v>664</v>
      </c>
      <c r="J8" t="s">
        <v>665</v>
      </c>
      <c r="L8" t="s">
        <v>269</v>
      </c>
      <c r="M8" t="s">
        <v>672</v>
      </c>
      <c r="N8" t="s">
        <v>667</v>
      </c>
      <c r="O8">
        <v>11.43</v>
      </c>
      <c r="P8">
        <v>11.27</v>
      </c>
      <c r="Q8" t="s">
        <v>18</v>
      </c>
      <c r="S8">
        <v>3</v>
      </c>
      <c r="T8">
        <v>0.66</v>
      </c>
      <c r="U8">
        <v>0.08</v>
      </c>
      <c r="Y8" t="s">
        <v>678</v>
      </c>
    </row>
    <row r="9" spans="1:25" ht="16" x14ac:dyDescent="0.2">
      <c r="A9" t="s">
        <v>336</v>
      </c>
      <c r="B9" s="6" t="s">
        <v>21</v>
      </c>
      <c r="C9" s="3" t="s">
        <v>20</v>
      </c>
      <c r="E9">
        <f>(1.05+1+0.98)/3</f>
        <v>1.01</v>
      </c>
      <c r="F9">
        <f>(0.97+1.08+1.08)/3</f>
        <v>1.0433333333333332</v>
      </c>
      <c r="G9">
        <v>170</v>
      </c>
      <c r="H9" t="s">
        <v>348</v>
      </c>
      <c r="I9" t="s">
        <v>664</v>
      </c>
      <c r="J9" t="s">
        <v>665</v>
      </c>
      <c r="L9" t="s">
        <v>269</v>
      </c>
      <c r="M9" t="s">
        <v>672</v>
      </c>
      <c r="N9" t="s">
        <v>667</v>
      </c>
      <c r="O9">
        <v>7.7</v>
      </c>
      <c r="P9">
        <v>6.67</v>
      </c>
      <c r="Q9" t="s">
        <v>18</v>
      </c>
      <c r="S9">
        <v>3</v>
      </c>
      <c r="T9">
        <v>0.49</v>
      </c>
      <c r="U9">
        <v>0.04</v>
      </c>
      <c r="Y9" t="s">
        <v>679</v>
      </c>
    </row>
    <row r="10" spans="1:25" ht="16" x14ac:dyDescent="0.2">
      <c r="A10" t="s">
        <v>337</v>
      </c>
      <c r="B10" s="6" t="s">
        <v>21</v>
      </c>
      <c r="C10" s="3" t="s">
        <v>20</v>
      </c>
      <c r="E10">
        <f>(1.49+1.3+1.46)/3</f>
        <v>1.4166666666666667</v>
      </c>
      <c r="F10">
        <f>(0.97+1.06+0.96)/3</f>
        <v>0.9966666666666667</v>
      </c>
      <c r="G10">
        <v>175</v>
      </c>
      <c r="H10" t="s">
        <v>677</v>
      </c>
      <c r="I10" t="s">
        <v>664</v>
      </c>
      <c r="J10" t="s">
        <v>665</v>
      </c>
      <c r="L10" t="s">
        <v>269</v>
      </c>
      <c r="M10" t="s">
        <v>672</v>
      </c>
      <c r="N10" t="s">
        <v>667</v>
      </c>
      <c r="O10">
        <v>9.51</v>
      </c>
      <c r="P10">
        <v>8.23</v>
      </c>
      <c r="Q10" t="s">
        <v>18</v>
      </c>
      <c r="S10">
        <v>3</v>
      </c>
      <c r="T10">
        <v>0.64</v>
      </c>
      <c r="U10">
        <v>7.0000000000000007E-2</v>
      </c>
      <c r="Y10" t="s">
        <v>680</v>
      </c>
    </row>
    <row r="11" spans="1:25" ht="16" x14ac:dyDescent="0.2">
      <c r="A11" t="s">
        <v>338</v>
      </c>
      <c r="B11" s="6" t="s">
        <v>22</v>
      </c>
      <c r="C11" s="3" t="s">
        <v>20</v>
      </c>
      <c r="E11">
        <f>(0.96+0.95+0.92)/3</f>
        <v>0.94333333333333336</v>
      </c>
      <c r="F11">
        <f>(0.99+0.65+0.94)/3</f>
        <v>0.86</v>
      </c>
      <c r="G11">
        <v>167</v>
      </c>
      <c r="H11" t="s">
        <v>295</v>
      </c>
      <c r="I11" t="s">
        <v>681</v>
      </c>
      <c r="J11" t="s">
        <v>682</v>
      </c>
      <c r="L11" t="s">
        <v>269</v>
      </c>
      <c r="M11" t="s">
        <v>672</v>
      </c>
      <c r="N11" t="s">
        <v>667</v>
      </c>
      <c r="O11">
        <v>9.76</v>
      </c>
      <c r="P11">
        <v>8.01</v>
      </c>
      <c r="Q11" t="s">
        <v>18</v>
      </c>
      <c r="S11">
        <v>3</v>
      </c>
      <c r="T11">
        <v>0.55000000000000004</v>
      </c>
      <c r="U11">
        <v>0.09</v>
      </c>
      <c r="Y11" t="s">
        <v>683</v>
      </c>
    </row>
    <row r="12" spans="1:25" ht="16" x14ac:dyDescent="0.2">
      <c r="A12" t="s">
        <v>341</v>
      </c>
      <c r="B12" s="6" t="s">
        <v>22</v>
      </c>
      <c r="C12" s="3" t="s">
        <v>20</v>
      </c>
      <c r="E12">
        <f>(1.01+1.05+1.09)/3</f>
        <v>1.05</v>
      </c>
      <c r="F12">
        <f>(0.99+1.01+1.03)/3</f>
        <v>1.01</v>
      </c>
      <c r="G12">
        <v>205</v>
      </c>
      <c r="H12" t="s">
        <v>348</v>
      </c>
      <c r="I12" t="s">
        <v>681</v>
      </c>
      <c r="J12" t="s">
        <v>665</v>
      </c>
      <c r="L12" t="s">
        <v>269</v>
      </c>
      <c r="M12" t="s">
        <v>672</v>
      </c>
      <c r="N12" t="s">
        <v>667</v>
      </c>
      <c r="O12">
        <v>9.2100000000000009</v>
      </c>
      <c r="P12">
        <v>6.43</v>
      </c>
      <c r="Q12" t="s">
        <v>18</v>
      </c>
      <c r="S12">
        <v>3</v>
      </c>
      <c r="T12">
        <v>0.52</v>
      </c>
      <c r="U12">
        <v>0.09</v>
      </c>
      <c r="X12" s="5" t="s">
        <v>342</v>
      </c>
      <c r="Y12" t="s">
        <v>684</v>
      </c>
    </row>
    <row r="13" spans="1:25" ht="16" x14ac:dyDescent="0.2">
      <c r="A13" t="s">
        <v>343</v>
      </c>
      <c r="B13" s="6" t="s">
        <v>22</v>
      </c>
      <c r="C13" s="3" t="s">
        <v>20</v>
      </c>
      <c r="E13">
        <f>(0.9+0.92+0.9)/3</f>
        <v>0.90666666666666673</v>
      </c>
      <c r="F13">
        <f>(0.96+1.02+1)/3</f>
        <v>0.99333333333333329</v>
      </c>
      <c r="G13">
        <v>146.69999999999999</v>
      </c>
      <c r="H13" t="s">
        <v>677</v>
      </c>
      <c r="I13" t="s">
        <v>681</v>
      </c>
      <c r="J13" t="s">
        <v>682</v>
      </c>
      <c r="L13" t="s">
        <v>327</v>
      </c>
      <c r="M13" t="s">
        <v>672</v>
      </c>
      <c r="N13" t="s">
        <v>667</v>
      </c>
      <c r="O13">
        <v>7.94</v>
      </c>
      <c r="P13">
        <v>6.03</v>
      </c>
      <c r="Q13" t="s">
        <v>18</v>
      </c>
      <c r="S13">
        <v>3</v>
      </c>
      <c r="T13">
        <v>0.66</v>
      </c>
      <c r="U13">
        <v>0.06</v>
      </c>
      <c r="Y13" t="s">
        <v>685</v>
      </c>
    </row>
    <row r="14" spans="1:25" ht="16" x14ac:dyDescent="0.2">
      <c r="A14" t="s">
        <v>344</v>
      </c>
      <c r="B14" s="6" t="s">
        <v>26</v>
      </c>
      <c r="C14" s="8" t="s">
        <v>686</v>
      </c>
      <c r="E14">
        <f>(0.94+0.95+0.88)/3</f>
        <v>0.92333333333333334</v>
      </c>
      <c r="F14">
        <f>(0.91+0.9+0.89)/3</f>
        <v>0.9</v>
      </c>
      <c r="G14">
        <v>126</v>
      </c>
      <c r="H14" t="s">
        <v>677</v>
      </c>
      <c r="I14" t="s">
        <v>681</v>
      </c>
      <c r="J14" t="s">
        <v>682</v>
      </c>
      <c r="L14" t="s">
        <v>269</v>
      </c>
      <c r="M14" t="s">
        <v>672</v>
      </c>
      <c r="N14" t="s">
        <v>667</v>
      </c>
      <c r="O14">
        <v>13.02</v>
      </c>
      <c r="P14">
        <v>10.87</v>
      </c>
      <c r="Q14" t="s">
        <v>18</v>
      </c>
      <c r="S14" t="s">
        <v>668</v>
      </c>
      <c r="T14">
        <v>0.48</v>
      </c>
      <c r="U14">
        <v>7.0000000000000007E-2</v>
      </c>
    </row>
    <row r="15" spans="1:25" ht="16" x14ac:dyDescent="0.2">
      <c r="A15" t="s">
        <v>347</v>
      </c>
      <c r="B15" s="6" t="s">
        <v>26</v>
      </c>
      <c r="C15" s="8" t="s">
        <v>686</v>
      </c>
      <c r="E15">
        <f>(0.9+0.92+0.94)/3</f>
        <v>0.91999999999999993</v>
      </c>
      <c r="F15">
        <f>(0.83+0.78+0.79)/3</f>
        <v>0.79999999999999993</v>
      </c>
      <c r="G15">
        <v>175.3</v>
      </c>
      <c r="H15" t="s">
        <v>348</v>
      </c>
      <c r="I15" t="s">
        <v>681</v>
      </c>
      <c r="J15" t="s">
        <v>665</v>
      </c>
      <c r="L15" t="s">
        <v>269</v>
      </c>
      <c r="M15" t="s">
        <v>672</v>
      </c>
      <c r="N15" t="s">
        <v>667</v>
      </c>
      <c r="O15">
        <v>9.76</v>
      </c>
      <c r="P15">
        <v>7.86</v>
      </c>
      <c r="Q15" t="s">
        <v>10</v>
      </c>
      <c r="S15" t="s">
        <v>668</v>
      </c>
      <c r="T15">
        <v>0.41</v>
      </c>
      <c r="U15">
        <v>0.05</v>
      </c>
    </row>
    <row r="16" spans="1:25" ht="16" x14ac:dyDescent="0.2">
      <c r="A16" t="s">
        <v>349</v>
      </c>
      <c r="B16" s="6" t="s">
        <v>26</v>
      </c>
      <c r="C16" s="8" t="s">
        <v>686</v>
      </c>
      <c r="E16">
        <f>(1+0.94+0.93)/3</f>
        <v>0.95666666666666667</v>
      </c>
      <c r="F16">
        <f>(0.89+0.86+0.81)/3</f>
        <v>0.85333333333333339</v>
      </c>
      <c r="G16">
        <v>218.7</v>
      </c>
      <c r="H16" t="s">
        <v>326</v>
      </c>
      <c r="I16" t="s">
        <v>664</v>
      </c>
      <c r="J16" t="s">
        <v>682</v>
      </c>
      <c r="L16" t="s">
        <v>277</v>
      </c>
      <c r="M16" t="s">
        <v>672</v>
      </c>
      <c r="N16" t="s">
        <v>667</v>
      </c>
      <c r="O16">
        <v>10.64</v>
      </c>
      <c r="P16">
        <v>7.14</v>
      </c>
      <c r="Q16" t="s">
        <v>10</v>
      </c>
      <c r="S16">
        <v>1</v>
      </c>
      <c r="T16">
        <v>0.46</v>
      </c>
      <c r="U16">
        <v>0.04</v>
      </c>
    </row>
    <row r="17" spans="1:24" ht="16" x14ac:dyDescent="0.2">
      <c r="A17" t="s">
        <v>350</v>
      </c>
      <c r="B17" s="6" t="s">
        <v>30</v>
      </c>
      <c r="C17" s="8" t="s">
        <v>351</v>
      </c>
      <c r="E17">
        <f>(1.49+1.45+1.28)/3</f>
        <v>1.4066666666666665</v>
      </c>
      <c r="F17">
        <f>(0.81+0.82+0.73)/3</f>
        <v>0.78666666666666663</v>
      </c>
      <c r="G17">
        <v>126.7</v>
      </c>
      <c r="H17" t="s">
        <v>677</v>
      </c>
      <c r="I17" t="s">
        <v>606</v>
      </c>
      <c r="J17" t="s">
        <v>687</v>
      </c>
      <c r="L17" t="s">
        <v>269</v>
      </c>
      <c r="M17" t="s">
        <v>672</v>
      </c>
      <c r="N17" t="s">
        <v>667</v>
      </c>
      <c r="O17">
        <v>9.2899999999999991</v>
      </c>
      <c r="P17">
        <v>7.78</v>
      </c>
      <c r="Q17" t="s">
        <v>28</v>
      </c>
      <c r="S17" t="s">
        <v>668</v>
      </c>
      <c r="T17">
        <v>0.43</v>
      </c>
      <c r="U17">
        <v>7.0000000000000007E-2</v>
      </c>
    </row>
    <row r="18" spans="1:24" ht="16" x14ac:dyDescent="0.2">
      <c r="A18" t="s">
        <v>353</v>
      </c>
      <c r="B18" s="6" t="s">
        <v>30</v>
      </c>
      <c r="C18" s="8" t="s">
        <v>351</v>
      </c>
      <c r="E18">
        <f>(2.3+2.08+2.2)/3</f>
        <v>2.1933333333333334</v>
      </c>
      <c r="F18">
        <f>(0.92+0.94+0.95)/3</f>
        <v>0.93666666666666654</v>
      </c>
      <c r="G18">
        <v>175.7</v>
      </c>
      <c r="H18" t="s">
        <v>295</v>
      </c>
      <c r="I18" t="s">
        <v>606</v>
      </c>
      <c r="J18" t="s">
        <v>687</v>
      </c>
      <c r="L18" t="s">
        <v>269</v>
      </c>
      <c r="M18" t="s">
        <v>672</v>
      </c>
      <c r="N18" t="s">
        <v>667</v>
      </c>
      <c r="O18">
        <v>11.11</v>
      </c>
      <c r="P18">
        <v>9.26</v>
      </c>
      <c r="Q18" t="s">
        <v>28</v>
      </c>
      <c r="S18">
        <v>3</v>
      </c>
      <c r="T18">
        <v>0.42</v>
      </c>
      <c r="U18">
        <v>0.05</v>
      </c>
    </row>
    <row r="19" spans="1:24" ht="16" x14ac:dyDescent="0.2">
      <c r="A19" t="s">
        <v>355</v>
      </c>
      <c r="B19" s="6" t="s">
        <v>30</v>
      </c>
      <c r="C19" s="8" t="s">
        <v>351</v>
      </c>
      <c r="E19">
        <f>(2.53+2.5+2.51)/3</f>
        <v>2.5133333333333332</v>
      </c>
      <c r="F19">
        <f>(1.01+1.05+1.06)/3</f>
        <v>1.04</v>
      </c>
      <c r="G19">
        <v>112.7</v>
      </c>
      <c r="H19" t="s">
        <v>677</v>
      </c>
      <c r="I19" t="s">
        <v>606</v>
      </c>
      <c r="J19" t="s">
        <v>687</v>
      </c>
      <c r="L19" t="s">
        <v>269</v>
      </c>
      <c r="M19" t="s">
        <v>672</v>
      </c>
      <c r="N19" t="s">
        <v>667</v>
      </c>
      <c r="O19">
        <v>9.5299999999999994</v>
      </c>
      <c r="P19">
        <v>8.57</v>
      </c>
      <c r="Q19" t="s">
        <v>28</v>
      </c>
      <c r="S19">
        <v>3</v>
      </c>
      <c r="T19">
        <v>0.64</v>
      </c>
      <c r="U19">
        <v>7.0000000000000007E-2</v>
      </c>
    </row>
    <row r="20" spans="1:24" ht="16" x14ac:dyDescent="0.2">
      <c r="A20" t="s">
        <v>356</v>
      </c>
      <c r="B20" s="6" t="s">
        <v>30</v>
      </c>
      <c r="C20" s="8" t="s">
        <v>351</v>
      </c>
      <c r="E20">
        <f>(1.33+1.35+1.41)/3</f>
        <v>1.3633333333333333</v>
      </c>
      <c r="F20">
        <f>(0.63+0.79+0.73)/3</f>
        <v>0.71666666666666667</v>
      </c>
      <c r="G20">
        <v>165.3</v>
      </c>
      <c r="H20" t="s">
        <v>677</v>
      </c>
      <c r="I20" t="s">
        <v>606</v>
      </c>
      <c r="J20" t="s">
        <v>687</v>
      </c>
      <c r="M20" t="s">
        <v>672</v>
      </c>
      <c r="N20" t="s">
        <v>667</v>
      </c>
      <c r="O20">
        <v>10.4</v>
      </c>
      <c r="Q20" t="s">
        <v>28</v>
      </c>
      <c r="S20" t="s">
        <v>668</v>
      </c>
      <c r="T20">
        <v>0.36</v>
      </c>
      <c r="U20">
        <v>0.06</v>
      </c>
      <c r="X20" s="5" t="s">
        <v>357</v>
      </c>
    </row>
    <row r="21" spans="1:24" ht="16" x14ac:dyDescent="0.2">
      <c r="A21" t="s">
        <v>358</v>
      </c>
      <c r="B21" s="6" t="s">
        <v>32</v>
      </c>
      <c r="C21" s="8" t="s">
        <v>351</v>
      </c>
      <c r="E21">
        <f>(1.06+1.11+1.09)/3</f>
        <v>1.0866666666666667</v>
      </c>
      <c r="F21">
        <f>(0.91+0.92+0.93)/3</f>
        <v>0.92</v>
      </c>
      <c r="G21">
        <v>223</v>
      </c>
      <c r="H21" t="s">
        <v>326</v>
      </c>
      <c r="I21" t="s">
        <v>664</v>
      </c>
      <c r="J21" t="s">
        <v>665</v>
      </c>
      <c r="L21" t="s">
        <v>360</v>
      </c>
      <c r="M21" t="s">
        <v>672</v>
      </c>
      <c r="N21" t="s">
        <v>667</v>
      </c>
      <c r="O21">
        <v>11.75</v>
      </c>
      <c r="P21">
        <v>10</v>
      </c>
      <c r="Q21" t="s">
        <v>10</v>
      </c>
      <c r="S21">
        <v>2</v>
      </c>
      <c r="T21">
        <v>0.51</v>
      </c>
      <c r="U21">
        <v>0.04</v>
      </c>
    </row>
    <row r="22" spans="1:24" ht="16" x14ac:dyDescent="0.2">
      <c r="A22" t="s">
        <v>361</v>
      </c>
      <c r="B22" s="6" t="s">
        <v>32</v>
      </c>
      <c r="C22" s="8" t="s">
        <v>351</v>
      </c>
      <c r="E22">
        <f>(1.07+1.03)/2</f>
        <v>1.05</v>
      </c>
      <c r="F22">
        <f>(0.92+0.93+0.95)/3</f>
        <v>0.93333333333333324</v>
      </c>
      <c r="G22">
        <v>222.7</v>
      </c>
      <c r="H22" t="s">
        <v>326</v>
      </c>
      <c r="I22" t="s">
        <v>664</v>
      </c>
      <c r="J22" t="s">
        <v>665</v>
      </c>
      <c r="L22" t="s">
        <v>277</v>
      </c>
      <c r="M22" t="s">
        <v>672</v>
      </c>
      <c r="N22" t="s">
        <v>667</v>
      </c>
      <c r="O22">
        <v>9.6</v>
      </c>
      <c r="P22">
        <v>6.91</v>
      </c>
      <c r="Q22" t="s">
        <v>10</v>
      </c>
      <c r="S22" t="s">
        <v>668</v>
      </c>
      <c r="T22">
        <v>0.55000000000000004</v>
      </c>
      <c r="U22">
        <v>0.08</v>
      </c>
    </row>
    <row r="23" spans="1:24" ht="16" x14ac:dyDescent="0.2">
      <c r="A23" t="s">
        <v>362</v>
      </c>
      <c r="B23" s="6" t="s">
        <v>33</v>
      </c>
      <c r="C23" s="8" t="s">
        <v>351</v>
      </c>
      <c r="E23">
        <f>(0.96+1.04+1.01)/3</f>
        <v>1.0033333333333332</v>
      </c>
      <c r="F23">
        <f>(0.91+0.83+0.84)/3</f>
        <v>0.86</v>
      </c>
      <c r="G23">
        <v>186.7</v>
      </c>
      <c r="H23" t="s">
        <v>348</v>
      </c>
      <c r="I23" t="s">
        <v>664</v>
      </c>
      <c r="J23" t="s">
        <v>665</v>
      </c>
      <c r="L23" t="s">
        <v>360</v>
      </c>
      <c r="M23" t="s">
        <v>672</v>
      </c>
      <c r="N23" t="s">
        <v>667</v>
      </c>
      <c r="O23">
        <v>8.57</v>
      </c>
      <c r="P23">
        <v>7.46</v>
      </c>
      <c r="Q23" t="s">
        <v>18</v>
      </c>
      <c r="S23" t="s">
        <v>668</v>
      </c>
      <c r="T23">
        <v>0.47</v>
      </c>
      <c r="U23">
        <v>0.06</v>
      </c>
    </row>
    <row r="24" spans="1:24" ht="16" x14ac:dyDescent="0.2">
      <c r="A24" t="s">
        <v>364</v>
      </c>
      <c r="B24" s="6" t="s">
        <v>33</v>
      </c>
      <c r="C24" s="8" t="s">
        <v>351</v>
      </c>
      <c r="E24">
        <f>(0.86+0.91+0.9)/3</f>
        <v>0.89</v>
      </c>
      <c r="F24">
        <f>(0.76+0.82+0.81)/3</f>
        <v>0.79666666666666675</v>
      </c>
      <c r="G24">
        <v>218</v>
      </c>
      <c r="H24" t="s">
        <v>326</v>
      </c>
      <c r="I24" t="s">
        <v>664</v>
      </c>
      <c r="J24" t="s">
        <v>665</v>
      </c>
      <c r="L24" t="s">
        <v>277</v>
      </c>
      <c r="M24" t="s">
        <v>672</v>
      </c>
      <c r="N24" t="s">
        <v>667</v>
      </c>
      <c r="O24">
        <v>9.0500000000000007</v>
      </c>
      <c r="P24">
        <v>7.14</v>
      </c>
      <c r="Q24" t="s">
        <v>18</v>
      </c>
      <c r="S24" t="s">
        <v>668</v>
      </c>
      <c r="T24">
        <v>0.44</v>
      </c>
      <c r="U24">
        <v>0.03</v>
      </c>
    </row>
    <row r="25" spans="1:24" ht="16" x14ac:dyDescent="0.2">
      <c r="A25" t="s">
        <v>365</v>
      </c>
      <c r="B25" s="6" t="s">
        <v>33</v>
      </c>
      <c r="C25" s="8" t="s">
        <v>351</v>
      </c>
      <c r="E25">
        <f>(1.07+1.02+0.98)/3</f>
        <v>1.0233333333333332</v>
      </c>
      <c r="F25">
        <f>(0.92+0.9+0.91)/3</f>
        <v>0.91</v>
      </c>
      <c r="G25">
        <v>202.7</v>
      </c>
      <c r="H25" t="s">
        <v>326</v>
      </c>
      <c r="I25" t="s">
        <v>664</v>
      </c>
      <c r="J25" t="s">
        <v>665</v>
      </c>
      <c r="L25" t="s">
        <v>269</v>
      </c>
      <c r="M25" t="s">
        <v>672</v>
      </c>
      <c r="N25" t="s">
        <v>667</v>
      </c>
      <c r="O25">
        <v>9.3699999999999992</v>
      </c>
      <c r="P25">
        <v>7.94</v>
      </c>
      <c r="Q25" t="s">
        <v>18</v>
      </c>
      <c r="S25">
        <v>2</v>
      </c>
      <c r="T25">
        <v>0.44</v>
      </c>
      <c r="U25">
        <v>0.04</v>
      </c>
    </row>
    <row r="26" spans="1:24" ht="16" x14ac:dyDescent="0.2">
      <c r="A26" t="s">
        <v>366</v>
      </c>
      <c r="B26" s="3" t="s">
        <v>34</v>
      </c>
      <c r="C26" s="8" t="s">
        <v>14</v>
      </c>
      <c r="E26">
        <f>(0.96+1.04+1.01)/3</f>
        <v>1.0033333333333332</v>
      </c>
      <c r="F26">
        <f>(0.72+0.76+0.68)/3</f>
        <v>0.72000000000000008</v>
      </c>
      <c r="G26">
        <v>226.3</v>
      </c>
      <c r="H26" t="s">
        <v>326</v>
      </c>
      <c r="I26" t="s">
        <v>664</v>
      </c>
      <c r="J26" t="s">
        <v>665</v>
      </c>
      <c r="L26" t="s">
        <v>269</v>
      </c>
      <c r="M26" t="s">
        <v>672</v>
      </c>
      <c r="N26" t="s">
        <v>667</v>
      </c>
      <c r="O26">
        <v>8.73</v>
      </c>
      <c r="P26">
        <v>7.38</v>
      </c>
      <c r="Q26" t="s">
        <v>10</v>
      </c>
      <c r="S26" t="s">
        <v>668</v>
      </c>
      <c r="T26">
        <v>0.45</v>
      </c>
      <c r="U26">
        <v>0.06</v>
      </c>
    </row>
    <row r="27" spans="1:24" ht="16" x14ac:dyDescent="0.2">
      <c r="A27" t="s">
        <v>367</v>
      </c>
      <c r="B27" s="3" t="s">
        <v>34</v>
      </c>
      <c r="C27" s="8" t="s">
        <v>14</v>
      </c>
      <c r="E27">
        <f>(1.11+1.04+1.07)/3</f>
        <v>1.0733333333333335</v>
      </c>
      <c r="F27">
        <f>(0.89+0.96+0.93)/3</f>
        <v>0.92666666666666675</v>
      </c>
      <c r="G27">
        <v>218.3</v>
      </c>
      <c r="H27" t="s">
        <v>326</v>
      </c>
      <c r="I27" t="s">
        <v>681</v>
      </c>
      <c r="J27" t="s">
        <v>687</v>
      </c>
      <c r="L27" t="s">
        <v>269</v>
      </c>
      <c r="M27" t="s">
        <v>672</v>
      </c>
      <c r="N27" t="s">
        <v>667</v>
      </c>
      <c r="O27">
        <v>12.14</v>
      </c>
      <c r="P27">
        <v>9.68</v>
      </c>
      <c r="Q27" t="s">
        <v>10</v>
      </c>
      <c r="S27">
        <v>1</v>
      </c>
    </row>
    <row r="28" spans="1:24" ht="16" x14ac:dyDescent="0.2">
      <c r="A28" t="s">
        <v>368</v>
      </c>
      <c r="B28" s="3" t="s">
        <v>34</v>
      </c>
      <c r="C28" s="8" t="s">
        <v>14</v>
      </c>
      <c r="E28">
        <f>(1.1+0.98+1)/3</f>
        <v>1.0266666666666666</v>
      </c>
      <c r="F28">
        <f>(0.9+0.82+0.87)/3</f>
        <v>0.86333333333333329</v>
      </c>
      <c r="G28">
        <v>172.7</v>
      </c>
      <c r="H28" t="s">
        <v>348</v>
      </c>
      <c r="I28" t="s">
        <v>664</v>
      </c>
      <c r="J28" t="s">
        <v>665</v>
      </c>
      <c r="L28" t="s">
        <v>360</v>
      </c>
      <c r="M28" t="s">
        <v>672</v>
      </c>
      <c r="N28" t="s">
        <v>667</v>
      </c>
      <c r="O28">
        <v>7.7</v>
      </c>
      <c r="P28">
        <v>6.51</v>
      </c>
      <c r="Q28" t="s">
        <v>10</v>
      </c>
      <c r="S28" t="s">
        <v>668</v>
      </c>
      <c r="T28">
        <v>0.37</v>
      </c>
      <c r="U28">
        <v>0.04</v>
      </c>
    </row>
    <row r="29" spans="1:24" ht="16" x14ac:dyDescent="0.2">
      <c r="A29" t="s">
        <v>369</v>
      </c>
      <c r="B29" s="3" t="s">
        <v>39</v>
      </c>
      <c r="C29" t="s">
        <v>370</v>
      </c>
      <c r="D29" t="s">
        <v>321</v>
      </c>
      <c r="E29">
        <f>(0.83+0.91+0.92)/3</f>
        <v>0.88666666666666671</v>
      </c>
      <c r="F29">
        <f>(0.83+0.82+0.85)/3</f>
        <v>0.83333333333333337</v>
      </c>
      <c r="G29">
        <v>223.3</v>
      </c>
      <c r="H29" t="s">
        <v>326</v>
      </c>
      <c r="I29" t="s">
        <v>688</v>
      </c>
      <c r="J29" t="s">
        <v>688</v>
      </c>
      <c r="L29" t="s">
        <v>277</v>
      </c>
      <c r="M29" t="s">
        <v>672</v>
      </c>
      <c r="N29" t="s">
        <v>667</v>
      </c>
      <c r="O29">
        <v>7.95</v>
      </c>
      <c r="P29">
        <v>5.39</v>
      </c>
      <c r="Q29" t="s">
        <v>10</v>
      </c>
      <c r="R29" t="s">
        <v>689</v>
      </c>
      <c r="S29" t="s">
        <v>668</v>
      </c>
      <c r="T29">
        <v>0.28000000000000003</v>
      </c>
      <c r="U29">
        <v>0.03</v>
      </c>
    </row>
    <row r="30" spans="1:24" ht="16" x14ac:dyDescent="0.2">
      <c r="A30" t="s">
        <v>373</v>
      </c>
      <c r="B30" s="3" t="s">
        <v>39</v>
      </c>
      <c r="C30" t="s">
        <v>370</v>
      </c>
      <c r="D30" t="s">
        <v>321</v>
      </c>
      <c r="E30">
        <f>(0.9+0.82+0.88)/3</f>
        <v>0.8666666666666667</v>
      </c>
      <c r="F30">
        <f>(0.82+0.83+0.81)/3</f>
        <v>0.82</v>
      </c>
      <c r="G30">
        <v>230</v>
      </c>
      <c r="H30" t="s">
        <v>326</v>
      </c>
      <c r="I30" t="s">
        <v>664</v>
      </c>
      <c r="J30" t="s">
        <v>687</v>
      </c>
      <c r="L30" t="s">
        <v>277</v>
      </c>
      <c r="M30" t="s">
        <v>672</v>
      </c>
      <c r="N30" t="s">
        <v>667</v>
      </c>
      <c r="O30">
        <v>5.65</v>
      </c>
      <c r="P30">
        <v>3.94</v>
      </c>
      <c r="Q30" t="s">
        <v>10</v>
      </c>
      <c r="R30" t="s">
        <v>689</v>
      </c>
      <c r="S30" t="s">
        <v>668</v>
      </c>
      <c r="T30">
        <v>0.41</v>
      </c>
      <c r="U30">
        <v>0.05</v>
      </c>
    </row>
    <row r="31" spans="1:24" ht="16" x14ac:dyDescent="0.2">
      <c r="A31" t="s">
        <v>374</v>
      </c>
      <c r="B31" s="3" t="s">
        <v>39</v>
      </c>
      <c r="C31" t="s">
        <v>370</v>
      </c>
      <c r="D31" t="s">
        <v>321</v>
      </c>
      <c r="E31">
        <v>0.91333333329999999</v>
      </c>
      <c r="F31">
        <f>(0.83+0.74+0.84)/3</f>
        <v>0.80333333333333323</v>
      </c>
      <c r="G31">
        <v>244</v>
      </c>
      <c r="H31" t="s">
        <v>326</v>
      </c>
      <c r="I31" t="s">
        <v>664</v>
      </c>
      <c r="J31" t="s">
        <v>687</v>
      </c>
      <c r="L31" t="s">
        <v>277</v>
      </c>
      <c r="M31" t="s">
        <v>672</v>
      </c>
      <c r="N31" t="s">
        <v>667</v>
      </c>
      <c r="O31">
        <v>6.43</v>
      </c>
      <c r="P31">
        <v>5.0999999999999996</v>
      </c>
      <c r="Q31" t="s">
        <v>10</v>
      </c>
      <c r="R31" t="s">
        <v>689</v>
      </c>
      <c r="S31" t="s">
        <v>668</v>
      </c>
      <c r="T31">
        <v>0.42</v>
      </c>
      <c r="U31">
        <v>7.0000000000000007E-2</v>
      </c>
    </row>
    <row r="32" spans="1:24" ht="16" x14ac:dyDescent="0.2">
      <c r="A32" t="s">
        <v>375</v>
      </c>
      <c r="B32" s="3" t="s">
        <v>42</v>
      </c>
      <c r="C32" t="s">
        <v>376</v>
      </c>
      <c r="D32" t="s">
        <v>321</v>
      </c>
      <c r="E32">
        <f>(0.86+0.88+0.9)/3</f>
        <v>0.88</v>
      </c>
      <c r="F32">
        <f>(0.9+0.91+0.97)/3</f>
        <v>0.92666666666666675</v>
      </c>
      <c r="G32">
        <v>226.7</v>
      </c>
      <c r="H32" t="s">
        <v>326</v>
      </c>
      <c r="I32" t="s">
        <v>664</v>
      </c>
      <c r="J32" t="s">
        <v>687</v>
      </c>
      <c r="L32" t="s">
        <v>277</v>
      </c>
      <c r="M32" t="s">
        <v>666</v>
      </c>
      <c r="N32" t="s">
        <v>667</v>
      </c>
      <c r="O32">
        <v>15.95</v>
      </c>
      <c r="P32">
        <v>12.55</v>
      </c>
      <c r="Q32" t="s">
        <v>10</v>
      </c>
      <c r="R32" t="s">
        <v>689</v>
      </c>
      <c r="S32" t="s">
        <v>668</v>
      </c>
      <c r="T32">
        <v>0.41</v>
      </c>
      <c r="U32">
        <v>0.05</v>
      </c>
    </row>
    <row r="33" spans="1:21" ht="16" x14ac:dyDescent="0.2">
      <c r="A33" t="s">
        <v>377</v>
      </c>
      <c r="B33" s="3" t="s">
        <v>42</v>
      </c>
      <c r="C33" t="s">
        <v>376</v>
      </c>
      <c r="D33" t="s">
        <v>321</v>
      </c>
      <c r="E33">
        <f>(0.82+0.81+0.8)/3</f>
        <v>0.80999999999999994</v>
      </c>
      <c r="F33">
        <f>(0.81+0.84+0.82)/3</f>
        <v>0.82333333333333325</v>
      </c>
      <c r="G33">
        <v>213.7</v>
      </c>
      <c r="H33" t="s">
        <v>326</v>
      </c>
      <c r="I33" t="s">
        <v>664</v>
      </c>
      <c r="J33" t="s">
        <v>665</v>
      </c>
      <c r="L33" t="s">
        <v>360</v>
      </c>
      <c r="M33" t="s">
        <v>666</v>
      </c>
      <c r="N33" t="s">
        <v>667</v>
      </c>
      <c r="O33">
        <v>10.199999999999999</v>
      </c>
      <c r="P33">
        <v>8.34</v>
      </c>
      <c r="Q33" t="s">
        <v>10</v>
      </c>
      <c r="R33" t="s">
        <v>689</v>
      </c>
      <c r="S33" t="s">
        <v>668</v>
      </c>
      <c r="T33">
        <v>0.41</v>
      </c>
      <c r="U33">
        <v>0.05</v>
      </c>
    </row>
    <row r="34" spans="1:21" ht="16" x14ac:dyDescent="0.2">
      <c r="A34" t="s">
        <v>378</v>
      </c>
      <c r="B34" s="3" t="s">
        <v>42</v>
      </c>
      <c r="C34" t="s">
        <v>376</v>
      </c>
      <c r="D34" t="s">
        <v>321</v>
      </c>
      <c r="E34">
        <f>(1.01+0.98+0.93)/3</f>
        <v>0.97333333333333327</v>
      </c>
      <c r="F34">
        <f>(0.9+0.96+0.92)/3</f>
        <v>0.92666666666666664</v>
      </c>
      <c r="G34">
        <v>247</v>
      </c>
      <c r="H34" t="s">
        <v>326</v>
      </c>
      <c r="I34" t="s">
        <v>664</v>
      </c>
      <c r="J34" t="s">
        <v>682</v>
      </c>
      <c r="L34" t="s">
        <v>277</v>
      </c>
      <c r="M34" t="s">
        <v>666</v>
      </c>
      <c r="N34" t="s">
        <v>667</v>
      </c>
      <c r="O34">
        <v>12.21</v>
      </c>
      <c r="P34">
        <v>8.84</v>
      </c>
      <c r="Q34" t="s">
        <v>10</v>
      </c>
      <c r="R34" t="s">
        <v>689</v>
      </c>
      <c r="S34" t="s">
        <v>668</v>
      </c>
      <c r="T34">
        <v>0.39</v>
      </c>
      <c r="U34">
        <v>0.06</v>
      </c>
    </row>
    <row r="35" spans="1:21" ht="16" x14ac:dyDescent="0.2">
      <c r="A35" t="s">
        <v>379</v>
      </c>
      <c r="B35" s="3" t="s">
        <v>45</v>
      </c>
      <c r="C35" t="s">
        <v>44</v>
      </c>
      <c r="D35" t="s">
        <v>321</v>
      </c>
      <c r="E35">
        <f>(0.8+0.73+0.79)/3</f>
        <v>0.77333333333333343</v>
      </c>
      <c r="F35">
        <f>(0.7+0.7+0.65)/3</f>
        <v>0.68333333333333324</v>
      </c>
      <c r="G35">
        <v>210</v>
      </c>
      <c r="H35" t="s">
        <v>326</v>
      </c>
      <c r="I35" t="s">
        <v>664</v>
      </c>
      <c r="J35" t="s">
        <v>682</v>
      </c>
      <c r="L35" t="s">
        <v>360</v>
      </c>
      <c r="M35" t="s">
        <v>672</v>
      </c>
      <c r="N35" t="s">
        <v>667</v>
      </c>
      <c r="O35">
        <v>9.65</v>
      </c>
      <c r="P35">
        <v>7.72</v>
      </c>
      <c r="Q35" t="s">
        <v>10</v>
      </c>
      <c r="R35" t="s">
        <v>689</v>
      </c>
      <c r="S35" t="s">
        <v>668</v>
      </c>
      <c r="T35">
        <v>0.48</v>
      </c>
      <c r="U35">
        <v>0.05</v>
      </c>
    </row>
    <row r="36" spans="1:21" ht="16" x14ac:dyDescent="0.2">
      <c r="A36" t="s">
        <v>380</v>
      </c>
      <c r="B36" s="3" t="s">
        <v>45</v>
      </c>
      <c r="C36" t="s">
        <v>44</v>
      </c>
      <c r="D36" t="s">
        <v>321</v>
      </c>
      <c r="E36">
        <f>(0.83+0.82+0.78)/3</f>
        <v>0.80999999999999994</v>
      </c>
      <c r="F36">
        <f>(0.73+0.71+0.7)/3</f>
        <v>0.71333333333333326</v>
      </c>
      <c r="G36">
        <v>200.7</v>
      </c>
      <c r="H36" t="s">
        <v>326</v>
      </c>
      <c r="I36" t="s">
        <v>664</v>
      </c>
      <c r="J36" t="s">
        <v>682</v>
      </c>
      <c r="L36" t="s">
        <v>277</v>
      </c>
      <c r="M36" t="s">
        <v>672</v>
      </c>
      <c r="N36" t="s">
        <v>667</v>
      </c>
      <c r="O36">
        <v>9.19</v>
      </c>
      <c r="P36">
        <v>5.78</v>
      </c>
      <c r="Q36" t="s">
        <v>10</v>
      </c>
      <c r="R36" t="s">
        <v>689</v>
      </c>
      <c r="S36" t="s">
        <v>668</v>
      </c>
      <c r="T36">
        <v>0.4</v>
      </c>
      <c r="U36">
        <v>0.04</v>
      </c>
    </row>
    <row r="37" spans="1:21" ht="16" x14ac:dyDescent="0.2">
      <c r="A37" t="s">
        <v>381</v>
      </c>
      <c r="B37" s="3" t="s">
        <v>45</v>
      </c>
      <c r="C37" t="s">
        <v>44</v>
      </c>
      <c r="D37" t="s">
        <v>321</v>
      </c>
      <c r="E37">
        <f>(0.7+0.69+0.77)/3</f>
        <v>0.72000000000000008</v>
      </c>
      <c r="F37">
        <f>(0.69+0.71+0.74)/3</f>
        <v>0.71333333333333326</v>
      </c>
      <c r="G37">
        <v>210</v>
      </c>
      <c r="H37" t="s">
        <v>326</v>
      </c>
      <c r="I37" t="s">
        <v>664</v>
      </c>
      <c r="J37" t="s">
        <v>682</v>
      </c>
      <c r="L37" t="s">
        <v>277</v>
      </c>
      <c r="M37" t="s">
        <v>666</v>
      </c>
      <c r="N37" t="s">
        <v>667</v>
      </c>
      <c r="O37">
        <v>9.9499999999999993</v>
      </c>
      <c r="P37">
        <v>6.95</v>
      </c>
      <c r="Q37" t="s">
        <v>10</v>
      </c>
      <c r="R37" t="s">
        <v>689</v>
      </c>
      <c r="S37" t="s">
        <v>668</v>
      </c>
      <c r="T37">
        <v>0.4</v>
      </c>
      <c r="U37">
        <v>0.04</v>
      </c>
    </row>
    <row r="38" spans="1:21" ht="16" x14ac:dyDescent="0.2">
      <c r="A38" t="s">
        <v>382</v>
      </c>
      <c r="B38" s="3" t="s">
        <v>49</v>
      </c>
      <c r="C38" t="s">
        <v>383</v>
      </c>
      <c r="D38" t="s">
        <v>384</v>
      </c>
      <c r="E38">
        <f>(3.07+3.31+3.4)/3</f>
        <v>3.26</v>
      </c>
      <c r="F38">
        <f>(1.22+1.28+1.37)/3</f>
        <v>1.29</v>
      </c>
      <c r="G38">
        <v>84</v>
      </c>
      <c r="H38" t="s">
        <v>677</v>
      </c>
      <c r="I38" t="s">
        <v>606</v>
      </c>
      <c r="J38" t="s">
        <v>682</v>
      </c>
      <c r="L38" t="s">
        <v>269</v>
      </c>
      <c r="M38" t="s">
        <v>672</v>
      </c>
      <c r="N38" t="s">
        <v>690</v>
      </c>
      <c r="O38">
        <v>12.31</v>
      </c>
      <c r="P38">
        <v>11.31</v>
      </c>
      <c r="Q38" t="s">
        <v>28</v>
      </c>
      <c r="R38" t="s">
        <v>689</v>
      </c>
      <c r="S38">
        <v>3</v>
      </c>
      <c r="T38">
        <v>0.75</v>
      </c>
      <c r="U38">
        <v>0.08</v>
      </c>
    </row>
    <row r="39" spans="1:21" ht="16" x14ac:dyDescent="0.2">
      <c r="A39" t="s">
        <v>386</v>
      </c>
      <c r="B39" s="3" t="s">
        <v>49</v>
      </c>
      <c r="C39" t="s">
        <v>383</v>
      </c>
      <c r="D39" t="s">
        <v>384</v>
      </c>
      <c r="E39">
        <v>3.52</v>
      </c>
      <c r="F39">
        <f>(1.39+1.41+1.41)/3</f>
        <v>1.4033333333333333</v>
      </c>
      <c r="G39">
        <v>98.3</v>
      </c>
      <c r="H39" t="s">
        <v>677</v>
      </c>
      <c r="I39" t="s">
        <v>606</v>
      </c>
      <c r="J39" t="s">
        <v>682</v>
      </c>
      <c r="L39" t="s">
        <v>269</v>
      </c>
      <c r="M39" t="s">
        <v>672</v>
      </c>
      <c r="N39" t="s">
        <v>690</v>
      </c>
      <c r="O39">
        <v>12.08</v>
      </c>
      <c r="P39">
        <v>10.32</v>
      </c>
      <c r="Q39" t="s">
        <v>28</v>
      </c>
      <c r="R39" t="s">
        <v>689</v>
      </c>
      <c r="S39">
        <v>3</v>
      </c>
      <c r="T39">
        <v>0.82</v>
      </c>
      <c r="U39">
        <v>0.09</v>
      </c>
    </row>
    <row r="40" spans="1:21" ht="16" x14ac:dyDescent="0.2">
      <c r="A40" t="s">
        <v>387</v>
      </c>
      <c r="B40" s="3" t="s">
        <v>49</v>
      </c>
      <c r="C40" t="s">
        <v>383</v>
      </c>
      <c r="D40" t="s">
        <v>384</v>
      </c>
      <c r="E40">
        <v>4.3150000000000004</v>
      </c>
      <c r="F40">
        <f>(1.32+1.37+1.33)/3</f>
        <v>1.34</v>
      </c>
      <c r="G40">
        <v>78.3</v>
      </c>
      <c r="H40" t="s">
        <v>677</v>
      </c>
      <c r="I40" t="s">
        <v>606</v>
      </c>
      <c r="J40" t="s">
        <v>682</v>
      </c>
      <c r="L40" t="s">
        <v>269</v>
      </c>
      <c r="M40" t="s">
        <v>672</v>
      </c>
      <c r="N40" t="s">
        <v>690</v>
      </c>
      <c r="O40">
        <v>16.66</v>
      </c>
      <c r="P40">
        <v>14.49</v>
      </c>
      <c r="Q40" t="s">
        <v>28</v>
      </c>
      <c r="R40" t="s">
        <v>689</v>
      </c>
      <c r="S40">
        <v>3</v>
      </c>
      <c r="T40">
        <v>0.81</v>
      </c>
      <c r="U40">
        <v>0.08</v>
      </c>
    </row>
    <row r="41" spans="1:21" ht="16" x14ac:dyDescent="0.2">
      <c r="A41" t="s">
        <v>388</v>
      </c>
      <c r="B41" s="3" t="s">
        <v>52</v>
      </c>
      <c r="C41" t="s">
        <v>51</v>
      </c>
      <c r="D41" t="s">
        <v>384</v>
      </c>
      <c r="E41">
        <f>(1.06+1.02+0.93)/3</f>
        <v>1.0033333333333334</v>
      </c>
      <c r="F41">
        <f>(0.83+0.83+0.81)/3</f>
        <v>0.82333333333333325</v>
      </c>
      <c r="G41">
        <v>135.30000000000001</v>
      </c>
      <c r="H41" t="s">
        <v>677</v>
      </c>
      <c r="I41" t="s">
        <v>664</v>
      </c>
      <c r="J41" t="s">
        <v>688</v>
      </c>
      <c r="L41" t="s">
        <v>269</v>
      </c>
      <c r="M41" t="s">
        <v>672</v>
      </c>
      <c r="N41" t="s">
        <v>690</v>
      </c>
      <c r="O41">
        <v>12.37</v>
      </c>
      <c r="P41">
        <v>9.6</v>
      </c>
      <c r="Q41" t="s">
        <v>18</v>
      </c>
      <c r="R41" t="s">
        <v>689</v>
      </c>
      <c r="S41" t="s">
        <v>668</v>
      </c>
      <c r="T41">
        <v>0.47</v>
      </c>
      <c r="U41">
        <v>7.0000000000000007E-2</v>
      </c>
    </row>
    <row r="42" spans="1:21" ht="16" x14ac:dyDescent="0.2">
      <c r="A42" t="s">
        <v>389</v>
      </c>
      <c r="B42" s="3" t="s">
        <v>52</v>
      </c>
      <c r="C42" t="s">
        <v>51</v>
      </c>
      <c r="D42" t="s">
        <v>384</v>
      </c>
      <c r="E42">
        <f>(0.74+0.75+0.78)/3</f>
        <v>0.75666666666666671</v>
      </c>
      <c r="F42">
        <f>(0.73+0.73+0.68)/3</f>
        <v>0.71333333333333337</v>
      </c>
      <c r="G42">
        <v>176.6</v>
      </c>
      <c r="H42" t="s">
        <v>295</v>
      </c>
      <c r="I42" t="s">
        <v>664</v>
      </c>
      <c r="J42" t="s">
        <v>688</v>
      </c>
      <c r="L42" t="s">
        <v>269</v>
      </c>
      <c r="M42" t="s">
        <v>672</v>
      </c>
      <c r="N42" t="s">
        <v>690</v>
      </c>
      <c r="O42">
        <v>10.63</v>
      </c>
      <c r="P42">
        <v>7.96</v>
      </c>
      <c r="Q42" t="s">
        <v>18</v>
      </c>
      <c r="R42" t="s">
        <v>689</v>
      </c>
      <c r="S42" t="s">
        <v>668</v>
      </c>
      <c r="T42">
        <v>0.42</v>
      </c>
      <c r="U42">
        <v>0.04</v>
      </c>
    </row>
    <row r="43" spans="1:21" ht="16" x14ac:dyDescent="0.2">
      <c r="A43" t="s">
        <v>390</v>
      </c>
      <c r="B43" s="3" t="s">
        <v>52</v>
      </c>
      <c r="C43" t="s">
        <v>51</v>
      </c>
      <c r="D43" t="s">
        <v>384</v>
      </c>
      <c r="E43">
        <f>(1+0.91+0.92)/3</f>
        <v>0.94333333333333336</v>
      </c>
      <c r="F43">
        <f>(0.79+0.81+0.83)/3</f>
        <v>0.81</v>
      </c>
      <c r="G43">
        <v>142.69999999999999</v>
      </c>
      <c r="H43" t="s">
        <v>677</v>
      </c>
      <c r="I43" t="s">
        <v>664</v>
      </c>
      <c r="J43" t="s">
        <v>688</v>
      </c>
      <c r="L43" t="s">
        <v>360</v>
      </c>
      <c r="M43" t="s">
        <v>672</v>
      </c>
      <c r="N43" t="s">
        <v>690</v>
      </c>
      <c r="O43">
        <v>11.87</v>
      </c>
      <c r="P43">
        <v>9.39</v>
      </c>
      <c r="Q43" t="s">
        <v>18</v>
      </c>
      <c r="R43" t="s">
        <v>689</v>
      </c>
      <c r="S43" t="s">
        <v>668</v>
      </c>
      <c r="T43">
        <v>0.41</v>
      </c>
      <c r="U43">
        <v>0.05</v>
      </c>
    </row>
    <row r="44" spans="1:21" ht="16" x14ac:dyDescent="0.2">
      <c r="A44" t="s">
        <v>391</v>
      </c>
      <c r="B44" s="3" t="s">
        <v>55</v>
      </c>
      <c r="C44" t="s">
        <v>392</v>
      </c>
      <c r="D44" t="s">
        <v>384</v>
      </c>
      <c r="E44">
        <f>(0.78+0.8+0.76)/3</f>
        <v>0.77999999999999992</v>
      </c>
      <c r="F44">
        <f>(0.82+0.81+0.88)/3</f>
        <v>0.83666666666666656</v>
      </c>
      <c r="G44">
        <v>133.69999999999999</v>
      </c>
      <c r="H44" t="s">
        <v>677</v>
      </c>
      <c r="I44" t="s">
        <v>664</v>
      </c>
      <c r="J44" t="s">
        <v>682</v>
      </c>
      <c r="L44" t="s">
        <v>269</v>
      </c>
      <c r="M44" t="s">
        <v>672</v>
      </c>
      <c r="N44" t="s">
        <v>667</v>
      </c>
      <c r="O44">
        <v>9.35</v>
      </c>
      <c r="P44">
        <v>8.56</v>
      </c>
      <c r="Q44" t="s">
        <v>18</v>
      </c>
      <c r="R44" t="s">
        <v>689</v>
      </c>
      <c r="S44">
        <v>2</v>
      </c>
      <c r="T44">
        <v>0.31</v>
      </c>
      <c r="U44">
        <v>0.06</v>
      </c>
    </row>
    <row r="45" spans="1:21" ht="16" x14ac:dyDescent="0.2">
      <c r="A45" t="s">
        <v>393</v>
      </c>
      <c r="B45" s="3" t="s">
        <v>55</v>
      </c>
      <c r="C45" t="s">
        <v>392</v>
      </c>
      <c r="D45" t="s">
        <v>384</v>
      </c>
      <c r="E45">
        <f>(0.6+0.62+0.64)/3</f>
        <v>0.62</v>
      </c>
      <c r="F45">
        <f>(0.72+0.77+0.78)/3</f>
        <v>0.75666666666666671</v>
      </c>
      <c r="G45">
        <v>206.7</v>
      </c>
      <c r="H45" t="s">
        <v>326</v>
      </c>
      <c r="I45" t="s">
        <v>664</v>
      </c>
      <c r="J45" t="s">
        <v>682</v>
      </c>
      <c r="L45" t="s">
        <v>269</v>
      </c>
      <c r="M45" t="s">
        <v>672</v>
      </c>
      <c r="N45" t="s">
        <v>667</v>
      </c>
      <c r="O45">
        <v>10.19</v>
      </c>
      <c r="P45">
        <v>8.01</v>
      </c>
      <c r="Q45" t="s">
        <v>18</v>
      </c>
      <c r="R45" t="s">
        <v>689</v>
      </c>
      <c r="S45">
        <v>3</v>
      </c>
      <c r="T45">
        <v>0.4</v>
      </c>
      <c r="U45">
        <v>0.06</v>
      </c>
    </row>
    <row r="46" spans="1:21" ht="16" x14ac:dyDescent="0.2">
      <c r="A46" t="s">
        <v>394</v>
      </c>
      <c r="B46" s="3" t="s">
        <v>55</v>
      </c>
      <c r="C46" t="s">
        <v>392</v>
      </c>
      <c r="D46" t="s">
        <v>384</v>
      </c>
      <c r="E46">
        <v>0.83</v>
      </c>
      <c r="F46">
        <f>(0.8+0.76+0.84)/3</f>
        <v>0.79999999999999993</v>
      </c>
      <c r="G46">
        <v>182.6</v>
      </c>
      <c r="H46" t="s">
        <v>295</v>
      </c>
      <c r="I46" t="s">
        <v>664</v>
      </c>
      <c r="J46" t="s">
        <v>682</v>
      </c>
      <c r="L46" t="s">
        <v>360</v>
      </c>
      <c r="M46" t="s">
        <v>672</v>
      </c>
      <c r="N46" t="s">
        <v>667</v>
      </c>
      <c r="O46">
        <v>12.57</v>
      </c>
      <c r="P46">
        <v>9.23</v>
      </c>
      <c r="Q46" t="s">
        <v>18</v>
      </c>
      <c r="R46" t="s">
        <v>689</v>
      </c>
      <c r="S46">
        <v>3</v>
      </c>
      <c r="T46">
        <v>0.39</v>
      </c>
      <c r="U46">
        <v>0.05</v>
      </c>
    </row>
    <row r="47" spans="1:21" ht="16" x14ac:dyDescent="0.2">
      <c r="A47" t="s">
        <v>395</v>
      </c>
      <c r="B47" s="3" t="s">
        <v>58</v>
      </c>
      <c r="C47" t="s">
        <v>396</v>
      </c>
      <c r="D47" t="s">
        <v>384</v>
      </c>
      <c r="E47">
        <f>(0.8+0.91+0.87)/3</f>
        <v>0.86</v>
      </c>
      <c r="F47">
        <f>(0.79+0.78+0.83)/3</f>
        <v>0.79999999999999993</v>
      </c>
      <c r="G47">
        <v>184.3</v>
      </c>
      <c r="H47" t="s">
        <v>295</v>
      </c>
      <c r="I47" t="s">
        <v>664</v>
      </c>
      <c r="J47" t="s">
        <v>682</v>
      </c>
      <c r="L47" t="s">
        <v>269</v>
      </c>
      <c r="M47" t="s">
        <v>672</v>
      </c>
      <c r="N47" t="s">
        <v>667</v>
      </c>
      <c r="O47">
        <v>9.07</v>
      </c>
      <c r="P47">
        <v>7.7</v>
      </c>
      <c r="Q47" t="s">
        <v>18</v>
      </c>
      <c r="R47" t="s">
        <v>689</v>
      </c>
      <c r="S47" t="s">
        <v>668</v>
      </c>
      <c r="T47">
        <v>0.36</v>
      </c>
      <c r="U47">
        <v>0.05</v>
      </c>
    </row>
    <row r="48" spans="1:21" ht="16" x14ac:dyDescent="0.2">
      <c r="A48" t="s">
        <v>397</v>
      </c>
      <c r="B48" s="3" t="s">
        <v>58</v>
      </c>
      <c r="C48" t="s">
        <v>396</v>
      </c>
      <c r="D48" t="s">
        <v>384</v>
      </c>
      <c r="E48">
        <f>(1.07+1.01+1)/3</f>
        <v>1.0266666666666666</v>
      </c>
      <c r="F48">
        <f>(0.8+0.81+0.83)/3</f>
        <v>0.81333333333333335</v>
      </c>
      <c r="G48">
        <v>188.3</v>
      </c>
      <c r="H48" t="s">
        <v>295</v>
      </c>
      <c r="I48" t="s">
        <v>664</v>
      </c>
      <c r="J48" t="s">
        <v>688</v>
      </c>
      <c r="L48" t="s">
        <v>269</v>
      </c>
      <c r="M48" t="s">
        <v>672</v>
      </c>
      <c r="N48" t="s">
        <v>667</v>
      </c>
      <c r="O48">
        <v>11.49</v>
      </c>
      <c r="P48">
        <v>9.42</v>
      </c>
      <c r="Q48" t="s">
        <v>18</v>
      </c>
      <c r="R48" t="s">
        <v>689</v>
      </c>
      <c r="S48">
        <v>2</v>
      </c>
      <c r="T48">
        <v>0.51</v>
      </c>
      <c r="U48">
        <v>7.0000000000000007E-2</v>
      </c>
    </row>
    <row r="49" spans="1:24" ht="16" x14ac:dyDescent="0.2">
      <c r="A49" t="s">
        <v>399</v>
      </c>
      <c r="B49" s="3" t="s">
        <v>58</v>
      </c>
      <c r="C49" t="s">
        <v>396</v>
      </c>
      <c r="D49" t="s">
        <v>384</v>
      </c>
      <c r="E49">
        <f>(0.83+0.83+0.79)/3</f>
        <v>0.81666666666666676</v>
      </c>
      <c r="F49">
        <f>(0.75+0.73+0.71)/3</f>
        <v>0.73</v>
      </c>
      <c r="G49">
        <v>184.3</v>
      </c>
      <c r="H49" t="s">
        <v>295</v>
      </c>
      <c r="I49" t="s">
        <v>664</v>
      </c>
      <c r="J49" t="s">
        <v>688</v>
      </c>
      <c r="L49" t="s">
        <v>269</v>
      </c>
      <c r="M49" t="s">
        <v>672</v>
      </c>
      <c r="N49" t="s">
        <v>690</v>
      </c>
      <c r="O49">
        <v>11.81</v>
      </c>
      <c r="P49">
        <v>10.18</v>
      </c>
      <c r="Q49" t="s">
        <v>18</v>
      </c>
      <c r="R49" t="s">
        <v>689</v>
      </c>
      <c r="S49" t="s">
        <v>668</v>
      </c>
      <c r="T49">
        <v>0.48</v>
      </c>
      <c r="U49">
        <v>0.05</v>
      </c>
    </row>
    <row r="50" spans="1:24" ht="16" x14ac:dyDescent="0.2">
      <c r="A50" t="s">
        <v>400</v>
      </c>
      <c r="B50" s="3" t="s">
        <v>61</v>
      </c>
      <c r="C50" t="s">
        <v>401</v>
      </c>
      <c r="D50" t="s">
        <v>321</v>
      </c>
      <c r="E50">
        <f>(0.76+0.7+0.8)/3</f>
        <v>0.7533333333333333</v>
      </c>
      <c r="F50">
        <f>(0.78+0.74+0.72)/3</f>
        <v>0.7466666666666667</v>
      </c>
      <c r="G50">
        <v>190.7</v>
      </c>
      <c r="H50" t="s">
        <v>295</v>
      </c>
      <c r="I50" t="s">
        <v>664</v>
      </c>
      <c r="J50" t="s">
        <v>682</v>
      </c>
      <c r="L50" t="s">
        <v>269</v>
      </c>
      <c r="M50" t="s">
        <v>672</v>
      </c>
      <c r="N50" t="s">
        <v>690</v>
      </c>
      <c r="O50">
        <v>8.77</v>
      </c>
      <c r="P50">
        <v>7.6</v>
      </c>
      <c r="Q50" t="s">
        <v>18</v>
      </c>
      <c r="R50" t="s">
        <v>689</v>
      </c>
      <c r="S50">
        <v>3</v>
      </c>
      <c r="T50">
        <v>0.49</v>
      </c>
      <c r="U50">
        <v>0.06</v>
      </c>
    </row>
    <row r="51" spans="1:24" ht="16" x14ac:dyDescent="0.2">
      <c r="A51" t="s">
        <v>402</v>
      </c>
      <c r="B51" s="3" t="s">
        <v>61</v>
      </c>
      <c r="C51" t="s">
        <v>401</v>
      </c>
      <c r="D51" t="s">
        <v>321</v>
      </c>
      <c r="E51">
        <f>(0.91+0.92+0.9)/3</f>
        <v>0.91</v>
      </c>
      <c r="F51">
        <f>(0.81+0.75+0.72)/3</f>
        <v>0.76000000000000012</v>
      </c>
      <c r="G51">
        <v>192.7</v>
      </c>
      <c r="H51" t="s">
        <v>295</v>
      </c>
      <c r="I51" t="s">
        <v>664</v>
      </c>
      <c r="J51" t="s">
        <v>688</v>
      </c>
      <c r="L51" t="s">
        <v>269</v>
      </c>
      <c r="M51" t="s">
        <v>672</v>
      </c>
      <c r="N51" t="s">
        <v>690</v>
      </c>
      <c r="O51">
        <v>9.7799999999999994</v>
      </c>
      <c r="P51">
        <v>8.1300000000000008</v>
      </c>
      <c r="Q51" t="s">
        <v>18</v>
      </c>
      <c r="R51" t="s">
        <v>689</v>
      </c>
      <c r="S51" t="s">
        <v>668</v>
      </c>
      <c r="T51">
        <v>0.41</v>
      </c>
      <c r="U51">
        <v>0.04</v>
      </c>
    </row>
    <row r="52" spans="1:24" ht="16" x14ac:dyDescent="0.2">
      <c r="A52" t="s">
        <v>403</v>
      </c>
      <c r="B52" s="3" t="s">
        <v>61</v>
      </c>
      <c r="C52" t="s">
        <v>401</v>
      </c>
      <c r="D52" t="s">
        <v>321</v>
      </c>
      <c r="E52">
        <f>(0.82+0.85+0.87)/3</f>
        <v>0.84666666666666668</v>
      </c>
      <c r="F52">
        <f>(0.69+0.71+0.7)/3</f>
        <v>0.69999999999999984</v>
      </c>
      <c r="G52">
        <v>148.30000000000001</v>
      </c>
      <c r="H52" t="s">
        <v>677</v>
      </c>
      <c r="I52" t="s">
        <v>664</v>
      </c>
      <c r="J52" t="s">
        <v>682</v>
      </c>
      <c r="L52" t="s">
        <v>269</v>
      </c>
      <c r="M52" t="s">
        <v>672</v>
      </c>
      <c r="N52" t="s">
        <v>690</v>
      </c>
      <c r="O52">
        <v>10.31</v>
      </c>
      <c r="P52">
        <v>8.36</v>
      </c>
      <c r="Q52" t="s">
        <v>18</v>
      </c>
      <c r="R52" t="s">
        <v>689</v>
      </c>
      <c r="S52">
        <v>1</v>
      </c>
      <c r="T52">
        <v>0.49</v>
      </c>
      <c r="U52">
        <v>7.0000000000000007E-2</v>
      </c>
    </row>
    <row r="53" spans="1:24" ht="16" x14ac:dyDescent="0.2">
      <c r="A53" t="s">
        <v>404</v>
      </c>
      <c r="B53" s="3" t="s">
        <v>64</v>
      </c>
      <c r="C53" t="s">
        <v>405</v>
      </c>
      <c r="D53" t="s">
        <v>384</v>
      </c>
      <c r="E53">
        <f>(0.58+0.56+0.54)/3</f>
        <v>0.56000000000000005</v>
      </c>
      <c r="F53">
        <f>(0.61+0.61+0.59)/3</f>
        <v>0.60333333333333339</v>
      </c>
      <c r="G53">
        <v>191.3</v>
      </c>
      <c r="H53" t="s">
        <v>295</v>
      </c>
      <c r="I53" t="s">
        <v>664</v>
      </c>
      <c r="J53" t="s">
        <v>682</v>
      </c>
      <c r="L53" t="s">
        <v>269</v>
      </c>
      <c r="M53" t="s">
        <v>672</v>
      </c>
      <c r="N53" t="s">
        <v>667</v>
      </c>
      <c r="O53">
        <v>9.85</v>
      </c>
      <c r="P53">
        <v>8.02</v>
      </c>
      <c r="Q53" t="s">
        <v>18</v>
      </c>
      <c r="R53" t="s">
        <v>689</v>
      </c>
      <c r="S53">
        <v>2</v>
      </c>
      <c r="T53">
        <v>0.37</v>
      </c>
      <c r="U53">
        <v>0.03</v>
      </c>
    </row>
    <row r="54" spans="1:24" ht="16" x14ac:dyDescent="0.2">
      <c r="A54" t="s">
        <v>406</v>
      </c>
      <c r="B54" s="3" t="s">
        <v>64</v>
      </c>
      <c r="C54" t="s">
        <v>405</v>
      </c>
      <c r="D54" t="s">
        <v>321</v>
      </c>
      <c r="E54">
        <f>(1.04+0.85+0.97)/3</f>
        <v>0.95333333333333348</v>
      </c>
      <c r="F54">
        <f>(0.72+0.79+0.8)/3</f>
        <v>0.77</v>
      </c>
      <c r="G54">
        <v>190</v>
      </c>
      <c r="H54" t="s">
        <v>295</v>
      </c>
      <c r="I54" t="s">
        <v>664</v>
      </c>
      <c r="J54" t="s">
        <v>682</v>
      </c>
      <c r="L54" t="s">
        <v>269</v>
      </c>
      <c r="M54" t="s">
        <v>672</v>
      </c>
      <c r="N54" t="s">
        <v>690</v>
      </c>
      <c r="O54">
        <v>10.61</v>
      </c>
      <c r="P54">
        <v>9.8699999999999992</v>
      </c>
      <c r="Q54" t="s">
        <v>18</v>
      </c>
      <c r="R54" t="s">
        <v>689</v>
      </c>
      <c r="S54">
        <v>3</v>
      </c>
      <c r="T54">
        <v>0.41</v>
      </c>
      <c r="U54">
        <v>0.05</v>
      </c>
    </row>
    <row r="55" spans="1:24" ht="16" x14ac:dyDescent="0.2">
      <c r="A55" t="s">
        <v>407</v>
      </c>
      <c r="B55" s="3" t="s">
        <v>64</v>
      </c>
      <c r="C55" t="s">
        <v>405</v>
      </c>
      <c r="D55" t="s">
        <v>384</v>
      </c>
      <c r="E55">
        <f>(0.96+0.9+0.98)/3</f>
        <v>0.94666666666666666</v>
      </c>
      <c r="F55">
        <f>(0.81+0.76+0.78)/3</f>
        <v>0.78333333333333333</v>
      </c>
      <c r="G55">
        <v>171</v>
      </c>
      <c r="H55" t="s">
        <v>677</v>
      </c>
      <c r="I55" t="s">
        <v>664</v>
      </c>
      <c r="J55" t="s">
        <v>682</v>
      </c>
      <c r="L55" t="s">
        <v>269</v>
      </c>
      <c r="M55" t="s">
        <v>672</v>
      </c>
      <c r="N55" t="s">
        <v>690</v>
      </c>
      <c r="O55">
        <v>9.65</v>
      </c>
      <c r="P55">
        <v>7.74</v>
      </c>
      <c r="Q55" t="s">
        <v>18</v>
      </c>
      <c r="R55" t="s">
        <v>689</v>
      </c>
      <c r="S55">
        <v>2</v>
      </c>
      <c r="T55">
        <v>0.42</v>
      </c>
      <c r="U55">
        <v>7.0000000000000007E-2</v>
      </c>
    </row>
    <row r="56" spans="1:24" ht="16" x14ac:dyDescent="0.2">
      <c r="A56" t="s">
        <v>408</v>
      </c>
      <c r="B56" s="3" t="s">
        <v>67</v>
      </c>
      <c r="C56" t="s">
        <v>409</v>
      </c>
      <c r="D56" t="s">
        <v>384</v>
      </c>
      <c r="E56">
        <v>0.97499999999999998</v>
      </c>
      <c r="F56">
        <f>(0.79+0.81+0.78)/3</f>
        <v>0.79333333333333333</v>
      </c>
      <c r="G56">
        <v>182.3</v>
      </c>
      <c r="H56" t="s">
        <v>295</v>
      </c>
      <c r="I56" t="s">
        <v>664</v>
      </c>
      <c r="J56" t="s">
        <v>682</v>
      </c>
      <c r="L56" t="s">
        <v>269</v>
      </c>
      <c r="M56" t="s">
        <v>672</v>
      </c>
      <c r="N56" t="s">
        <v>667</v>
      </c>
      <c r="O56">
        <v>11.61</v>
      </c>
      <c r="P56">
        <v>9.49</v>
      </c>
      <c r="Q56" t="s">
        <v>18</v>
      </c>
      <c r="R56" t="s">
        <v>689</v>
      </c>
      <c r="S56">
        <v>2</v>
      </c>
      <c r="T56">
        <v>0.45</v>
      </c>
      <c r="U56">
        <v>0.05</v>
      </c>
    </row>
    <row r="57" spans="1:24" ht="16" x14ac:dyDescent="0.2">
      <c r="A57" t="s">
        <v>410</v>
      </c>
      <c r="B57" s="3" t="s">
        <v>67</v>
      </c>
      <c r="C57" t="s">
        <v>409</v>
      </c>
      <c r="D57" t="s">
        <v>321</v>
      </c>
      <c r="E57">
        <f>(1.03+1.12+1.11)/3</f>
        <v>1.0866666666666669</v>
      </c>
      <c r="F57">
        <f>(0.86+0.83+0.88)/3</f>
        <v>0.85666666666666658</v>
      </c>
      <c r="G57">
        <v>176</v>
      </c>
      <c r="H57" t="s">
        <v>348</v>
      </c>
      <c r="I57" t="s">
        <v>664</v>
      </c>
      <c r="J57" t="s">
        <v>682</v>
      </c>
      <c r="L57" t="s">
        <v>269</v>
      </c>
      <c r="M57" t="s">
        <v>672</v>
      </c>
      <c r="N57" t="s">
        <v>667</v>
      </c>
      <c r="O57">
        <v>11.82</v>
      </c>
      <c r="P57">
        <v>10.26</v>
      </c>
      <c r="Q57" t="s">
        <v>18</v>
      </c>
      <c r="R57" t="s">
        <v>689</v>
      </c>
      <c r="S57" t="s">
        <v>668</v>
      </c>
      <c r="T57">
        <v>0.39</v>
      </c>
      <c r="U57">
        <v>0.04</v>
      </c>
    </row>
    <row r="58" spans="1:24" ht="16" x14ac:dyDescent="0.2">
      <c r="A58" t="s">
        <v>411</v>
      </c>
      <c r="B58" s="3" t="s">
        <v>67</v>
      </c>
      <c r="C58" t="s">
        <v>409</v>
      </c>
      <c r="D58" t="s">
        <v>384</v>
      </c>
      <c r="E58">
        <v>1.24</v>
      </c>
      <c r="F58">
        <f>(0.79+0.84+0.89)/3</f>
        <v>0.84</v>
      </c>
      <c r="G58">
        <v>202.7</v>
      </c>
      <c r="H58" t="s">
        <v>348</v>
      </c>
      <c r="I58" t="s">
        <v>664</v>
      </c>
      <c r="J58" t="s">
        <v>682</v>
      </c>
      <c r="L58" t="s">
        <v>269</v>
      </c>
      <c r="M58" t="s">
        <v>672</v>
      </c>
      <c r="N58" t="s">
        <v>690</v>
      </c>
      <c r="O58">
        <v>11.39</v>
      </c>
      <c r="P58">
        <v>9.94</v>
      </c>
      <c r="Q58" t="s">
        <v>18</v>
      </c>
      <c r="R58" t="s">
        <v>689</v>
      </c>
      <c r="S58">
        <v>1</v>
      </c>
      <c r="T58">
        <v>0.45</v>
      </c>
      <c r="U58">
        <v>0.05</v>
      </c>
    </row>
    <row r="59" spans="1:24" ht="16" x14ac:dyDescent="0.2">
      <c r="A59" t="s">
        <v>412</v>
      </c>
      <c r="B59" s="3" t="s">
        <v>70</v>
      </c>
      <c r="C59" t="s">
        <v>413</v>
      </c>
      <c r="D59" t="s">
        <v>384</v>
      </c>
      <c r="E59">
        <v>0.86</v>
      </c>
      <c r="F59">
        <f>(0.91+0.83+0.82)/3</f>
        <v>0.85333333333333339</v>
      </c>
      <c r="G59">
        <v>190</v>
      </c>
      <c r="H59" t="s">
        <v>295</v>
      </c>
      <c r="I59" t="s">
        <v>664</v>
      </c>
      <c r="J59" t="s">
        <v>682</v>
      </c>
      <c r="M59" t="s">
        <v>672</v>
      </c>
      <c r="N59" t="s">
        <v>667</v>
      </c>
      <c r="O59">
        <v>10.55</v>
      </c>
      <c r="P59">
        <v>8.39</v>
      </c>
      <c r="Q59" t="s">
        <v>18</v>
      </c>
      <c r="R59" t="s">
        <v>689</v>
      </c>
      <c r="S59" t="s">
        <v>668</v>
      </c>
      <c r="X59" s="5" t="s">
        <v>414</v>
      </c>
    </row>
    <row r="60" spans="1:24" ht="16" x14ac:dyDescent="0.2">
      <c r="A60" t="s">
        <v>415</v>
      </c>
      <c r="B60" s="3" t="s">
        <v>70</v>
      </c>
      <c r="C60" t="s">
        <v>413</v>
      </c>
      <c r="D60" t="s">
        <v>384</v>
      </c>
      <c r="E60">
        <f>(0.64+0.61+0.67)/3</f>
        <v>0.64</v>
      </c>
      <c r="F60">
        <f>(0.84+0.82+0.74)/3</f>
        <v>0.79999999999999993</v>
      </c>
      <c r="G60">
        <v>166.7</v>
      </c>
      <c r="H60" t="s">
        <v>677</v>
      </c>
      <c r="I60" t="s">
        <v>664</v>
      </c>
      <c r="J60" t="s">
        <v>688</v>
      </c>
      <c r="L60" t="s">
        <v>269</v>
      </c>
      <c r="M60" t="s">
        <v>672</v>
      </c>
      <c r="N60" t="s">
        <v>690</v>
      </c>
      <c r="O60">
        <v>10.78</v>
      </c>
      <c r="P60">
        <v>8.5299999999999994</v>
      </c>
      <c r="Q60" t="s">
        <v>18</v>
      </c>
      <c r="R60" t="s">
        <v>689</v>
      </c>
      <c r="S60">
        <v>3</v>
      </c>
      <c r="T60">
        <v>0.4</v>
      </c>
      <c r="U60">
        <v>0.06</v>
      </c>
    </row>
    <row r="61" spans="1:24" ht="16" x14ac:dyDescent="0.2">
      <c r="A61" t="s">
        <v>416</v>
      </c>
      <c r="B61" s="3" t="s">
        <v>70</v>
      </c>
      <c r="C61" t="s">
        <v>413</v>
      </c>
      <c r="D61" t="s">
        <v>384</v>
      </c>
      <c r="E61">
        <f>(0.97+0.94+0.95)/3</f>
        <v>0.95333333333333325</v>
      </c>
      <c r="F61">
        <f>(0.94+0.84+0.89)/3</f>
        <v>0.89</v>
      </c>
      <c r="G61">
        <v>173</v>
      </c>
      <c r="H61" t="s">
        <v>677</v>
      </c>
      <c r="I61" t="s">
        <v>664</v>
      </c>
      <c r="J61" t="s">
        <v>687</v>
      </c>
      <c r="M61" t="s">
        <v>672</v>
      </c>
      <c r="N61" t="s">
        <v>667</v>
      </c>
      <c r="O61">
        <v>13.17</v>
      </c>
      <c r="P61">
        <v>9.5299999999999994</v>
      </c>
      <c r="Q61" t="s">
        <v>18</v>
      </c>
      <c r="R61" t="s">
        <v>689</v>
      </c>
      <c r="S61" t="s">
        <v>668</v>
      </c>
      <c r="T61">
        <v>0.42</v>
      </c>
      <c r="U61">
        <v>0.06</v>
      </c>
    </row>
    <row r="62" spans="1:24" ht="16" x14ac:dyDescent="0.2">
      <c r="A62" t="s">
        <v>417</v>
      </c>
      <c r="B62" s="3" t="s">
        <v>73</v>
      </c>
      <c r="C62" t="s">
        <v>418</v>
      </c>
      <c r="D62" t="s">
        <v>384</v>
      </c>
      <c r="E62">
        <f>(1.82+1.97+1.84)/3</f>
        <v>1.8766666666666667</v>
      </c>
      <c r="F62">
        <f>(1.03+1.03+1.09)/3</f>
        <v>1.05</v>
      </c>
      <c r="G62">
        <v>206.7</v>
      </c>
      <c r="H62" t="s">
        <v>326</v>
      </c>
      <c r="I62" t="s">
        <v>664</v>
      </c>
      <c r="J62" t="s">
        <v>682</v>
      </c>
      <c r="L62" t="s">
        <v>269</v>
      </c>
      <c r="M62" t="s">
        <v>672</v>
      </c>
      <c r="N62" t="s">
        <v>690</v>
      </c>
      <c r="O62">
        <v>13.65</v>
      </c>
      <c r="P62">
        <v>12.25</v>
      </c>
      <c r="Q62" t="s">
        <v>18</v>
      </c>
      <c r="R62" t="s">
        <v>689</v>
      </c>
      <c r="S62">
        <v>2</v>
      </c>
      <c r="T62">
        <v>0.57999999999999996</v>
      </c>
      <c r="U62">
        <v>0.09</v>
      </c>
    </row>
    <row r="63" spans="1:24" ht="16" x14ac:dyDescent="0.2">
      <c r="A63" t="s">
        <v>419</v>
      </c>
      <c r="B63" s="3" t="s">
        <v>73</v>
      </c>
      <c r="C63" t="s">
        <v>418</v>
      </c>
      <c r="D63" t="s">
        <v>321</v>
      </c>
      <c r="E63">
        <v>1.0825</v>
      </c>
      <c r="F63">
        <f>(0.87+0.94+0.86)/3</f>
        <v>0.89</v>
      </c>
      <c r="G63">
        <v>181.7</v>
      </c>
      <c r="H63" t="s">
        <v>295</v>
      </c>
      <c r="I63" t="s">
        <v>664</v>
      </c>
      <c r="J63" t="s">
        <v>682</v>
      </c>
      <c r="L63" t="s">
        <v>269</v>
      </c>
      <c r="M63" t="s">
        <v>672</v>
      </c>
      <c r="N63" t="s">
        <v>690</v>
      </c>
      <c r="O63">
        <v>11.91</v>
      </c>
      <c r="P63">
        <v>11.23</v>
      </c>
      <c r="Q63" t="s">
        <v>18</v>
      </c>
      <c r="R63" t="s">
        <v>689</v>
      </c>
      <c r="S63">
        <v>3</v>
      </c>
      <c r="T63">
        <v>0.59</v>
      </c>
      <c r="U63">
        <v>7.0000000000000007E-2</v>
      </c>
    </row>
    <row r="64" spans="1:24" ht="16" x14ac:dyDescent="0.2">
      <c r="A64" t="s">
        <v>420</v>
      </c>
      <c r="B64" s="3" t="s">
        <v>73</v>
      </c>
      <c r="C64" t="s">
        <v>418</v>
      </c>
      <c r="D64" t="s">
        <v>321</v>
      </c>
      <c r="E64">
        <f>(1.99+2.1+2.02)/3</f>
        <v>2.0366666666666666</v>
      </c>
      <c r="F64">
        <f>(0.83+0.81+0.8)/3</f>
        <v>0.81333333333333346</v>
      </c>
      <c r="G64">
        <v>227.7</v>
      </c>
      <c r="H64" t="s">
        <v>326</v>
      </c>
      <c r="I64" t="s">
        <v>664</v>
      </c>
      <c r="J64" t="s">
        <v>682</v>
      </c>
      <c r="M64" t="s">
        <v>672</v>
      </c>
      <c r="N64" t="s">
        <v>667</v>
      </c>
      <c r="O64">
        <v>12.56</v>
      </c>
      <c r="P64">
        <v>10.47</v>
      </c>
      <c r="Q64" t="s">
        <v>18</v>
      </c>
      <c r="R64" t="s">
        <v>689</v>
      </c>
      <c r="S64">
        <v>3</v>
      </c>
      <c r="T64">
        <v>0.52</v>
      </c>
      <c r="U64">
        <v>0.05</v>
      </c>
    </row>
    <row r="65" spans="1:24" ht="16" x14ac:dyDescent="0.2">
      <c r="A65" t="s">
        <v>421</v>
      </c>
      <c r="B65" s="3" t="s">
        <v>76</v>
      </c>
      <c r="C65" t="s">
        <v>422</v>
      </c>
      <c r="D65" t="s">
        <v>321</v>
      </c>
      <c r="E65">
        <v>0.88500000000000001</v>
      </c>
      <c r="F65">
        <f>(0.79+0.72+0.89)/3</f>
        <v>0.79999999999999993</v>
      </c>
      <c r="G65">
        <v>162.30000000000001</v>
      </c>
      <c r="H65" t="s">
        <v>677</v>
      </c>
      <c r="I65" t="s">
        <v>664</v>
      </c>
      <c r="J65" t="s">
        <v>688</v>
      </c>
      <c r="L65" t="s">
        <v>269</v>
      </c>
      <c r="M65" t="s">
        <v>672</v>
      </c>
      <c r="N65" t="s">
        <v>667</v>
      </c>
      <c r="O65">
        <v>10.48</v>
      </c>
      <c r="P65">
        <v>9.39</v>
      </c>
      <c r="Q65" t="s">
        <v>18</v>
      </c>
      <c r="R65" t="s">
        <v>689</v>
      </c>
      <c r="S65">
        <v>2</v>
      </c>
      <c r="T65">
        <v>0.41</v>
      </c>
      <c r="U65">
        <v>7.0000000000000007E-2</v>
      </c>
    </row>
    <row r="66" spans="1:24" ht="16" x14ac:dyDescent="0.2">
      <c r="A66" t="s">
        <v>423</v>
      </c>
      <c r="B66" s="3" t="s">
        <v>76</v>
      </c>
      <c r="C66" t="s">
        <v>422</v>
      </c>
      <c r="D66" t="s">
        <v>321</v>
      </c>
      <c r="E66">
        <f>(1.08+1.04+0.99)/3</f>
        <v>1.0366666666666668</v>
      </c>
      <c r="F66">
        <f>(0.72+0.78+0.8)/3</f>
        <v>0.76666666666666661</v>
      </c>
      <c r="G66">
        <v>171</v>
      </c>
      <c r="H66" t="s">
        <v>677</v>
      </c>
      <c r="I66" t="s">
        <v>664</v>
      </c>
      <c r="J66" t="s">
        <v>682</v>
      </c>
      <c r="L66" t="s">
        <v>269</v>
      </c>
      <c r="M66" t="s">
        <v>672</v>
      </c>
      <c r="N66" t="s">
        <v>667</v>
      </c>
      <c r="O66">
        <v>12.94</v>
      </c>
      <c r="P66">
        <v>10.75</v>
      </c>
      <c r="Q66" t="s">
        <v>18</v>
      </c>
      <c r="R66" t="s">
        <v>689</v>
      </c>
      <c r="S66">
        <v>2</v>
      </c>
      <c r="T66">
        <v>0.51</v>
      </c>
      <c r="U66">
        <v>0.06</v>
      </c>
    </row>
    <row r="67" spans="1:24" ht="16" x14ac:dyDescent="0.2">
      <c r="A67" t="s">
        <v>424</v>
      </c>
      <c r="B67" s="3" t="s">
        <v>76</v>
      </c>
      <c r="C67" t="s">
        <v>422</v>
      </c>
      <c r="D67" t="s">
        <v>384</v>
      </c>
      <c r="E67">
        <f>(0.91+0.88+0.86)/3</f>
        <v>0.8833333333333333</v>
      </c>
      <c r="F67">
        <f>(0.75+0.76+0.77)/3</f>
        <v>0.76000000000000012</v>
      </c>
      <c r="G67">
        <v>187.3</v>
      </c>
      <c r="H67" t="s">
        <v>295</v>
      </c>
      <c r="I67" t="s">
        <v>664</v>
      </c>
      <c r="J67" t="s">
        <v>688</v>
      </c>
      <c r="L67" t="s">
        <v>269</v>
      </c>
      <c r="M67" t="s">
        <v>672</v>
      </c>
      <c r="N67" t="s">
        <v>690</v>
      </c>
      <c r="O67">
        <v>10.59</v>
      </c>
      <c r="P67">
        <v>9.1</v>
      </c>
      <c r="Q67" t="s">
        <v>18</v>
      </c>
      <c r="R67" t="s">
        <v>689</v>
      </c>
      <c r="S67">
        <v>3</v>
      </c>
      <c r="T67">
        <v>0.49</v>
      </c>
      <c r="U67">
        <v>0.05</v>
      </c>
    </row>
    <row r="68" spans="1:24" ht="16" x14ac:dyDescent="0.2">
      <c r="A68" t="s">
        <v>425</v>
      </c>
      <c r="B68" s="3" t="s">
        <v>79</v>
      </c>
      <c r="C68" t="s">
        <v>426</v>
      </c>
      <c r="D68" t="s">
        <v>321</v>
      </c>
      <c r="E68">
        <f>(1.08+1.06+1.07)/3</f>
        <v>1.07</v>
      </c>
      <c r="F68">
        <f>(0.88+0.91+0.95)/3</f>
        <v>0.91333333333333344</v>
      </c>
      <c r="G68">
        <v>135.30000000000001</v>
      </c>
      <c r="H68" t="s">
        <v>677</v>
      </c>
      <c r="I68" t="s">
        <v>664</v>
      </c>
      <c r="J68" t="s">
        <v>682</v>
      </c>
      <c r="L68" t="s">
        <v>269</v>
      </c>
      <c r="M68" t="s">
        <v>672</v>
      </c>
      <c r="N68" t="s">
        <v>667</v>
      </c>
      <c r="O68">
        <v>12.01</v>
      </c>
      <c r="P68">
        <v>10.77</v>
      </c>
      <c r="Q68" t="s">
        <v>18</v>
      </c>
      <c r="R68" t="s">
        <v>689</v>
      </c>
      <c r="S68">
        <v>3</v>
      </c>
      <c r="T68">
        <v>0.36</v>
      </c>
      <c r="U68">
        <v>7.0000000000000007E-2</v>
      </c>
    </row>
    <row r="69" spans="1:24" ht="16" x14ac:dyDescent="0.2">
      <c r="A69" t="s">
        <v>427</v>
      </c>
      <c r="B69" s="3" t="s">
        <v>79</v>
      </c>
      <c r="C69" t="s">
        <v>426</v>
      </c>
      <c r="D69" t="s">
        <v>321</v>
      </c>
      <c r="E69">
        <f>(0.6+0.82+0.82)/3</f>
        <v>0.74666666666666659</v>
      </c>
      <c r="F69">
        <f>(0.79+0.84+0.89)/3</f>
        <v>0.84</v>
      </c>
      <c r="G69">
        <v>187</v>
      </c>
      <c r="H69" t="s">
        <v>295</v>
      </c>
      <c r="I69" t="s">
        <v>664</v>
      </c>
      <c r="J69" t="s">
        <v>682</v>
      </c>
      <c r="L69" t="s">
        <v>269</v>
      </c>
      <c r="M69" t="s">
        <v>672</v>
      </c>
      <c r="N69" t="s">
        <v>690</v>
      </c>
      <c r="O69">
        <v>11.72</v>
      </c>
      <c r="P69">
        <v>10.43</v>
      </c>
      <c r="Q69" t="s">
        <v>18</v>
      </c>
      <c r="R69" t="s">
        <v>689</v>
      </c>
      <c r="S69" t="s">
        <v>668</v>
      </c>
      <c r="T69">
        <v>0.37</v>
      </c>
      <c r="U69">
        <v>0.05</v>
      </c>
    </row>
    <row r="70" spans="1:24" ht="16" x14ac:dyDescent="0.2">
      <c r="A70" t="s">
        <v>428</v>
      </c>
      <c r="B70" s="3" t="s">
        <v>79</v>
      </c>
      <c r="C70" t="s">
        <v>426</v>
      </c>
      <c r="D70" t="s">
        <v>384</v>
      </c>
      <c r="E70">
        <f>(1.35+1.44+1.43)/3</f>
        <v>1.4066666666666665</v>
      </c>
      <c r="F70">
        <f>(0.94+1+0.84)/3</f>
        <v>0.92666666666666664</v>
      </c>
      <c r="G70">
        <v>169.3</v>
      </c>
      <c r="H70" t="s">
        <v>677</v>
      </c>
      <c r="I70" t="s">
        <v>664</v>
      </c>
      <c r="J70" t="s">
        <v>682</v>
      </c>
      <c r="L70" t="s">
        <v>269</v>
      </c>
      <c r="M70" t="s">
        <v>672</v>
      </c>
      <c r="N70" t="s">
        <v>690</v>
      </c>
      <c r="O70">
        <v>13.08</v>
      </c>
      <c r="P70">
        <v>11.58</v>
      </c>
      <c r="Q70" t="s">
        <v>18</v>
      </c>
      <c r="R70" t="s">
        <v>689</v>
      </c>
      <c r="S70" t="s">
        <v>668</v>
      </c>
      <c r="T70">
        <v>0.44</v>
      </c>
      <c r="U70">
        <v>0.06</v>
      </c>
    </row>
    <row r="71" spans="1:24" ht="16" x14ac:dyDescent="0.2">
      <c r="A71" t="s">
        <v>429</v>
      </c>
      <c r="B71" s="3" t="s">
        <v>82</v>
      </c>
      <c r="C71" t="s">
        <v>430</v>
      </c>
      <c r="D71" t="s">
        <v>384</v>
      </c>
      <c r="E71">
        <f>(3.35+3.96+4.07)/3</f>
        <v>3.7933333333333334</v>
      </c>
      <c r="F71">
        <f>(1.42+1.3+1.38)/3</f>
        <v>1.3666666666666665</v>
      </c>
      <c r="G71">
        <v>100</v>
      </c>
      <c r="H71" t="s">
        <v>677</v>
      </c>
      <c r="I71" t="s">
        <v>606</v>
      </c>
      <c r="J71" t="s">
        <v>682</v>
      </c>
      <c r="L71" t="s">
        <v>269</v>
      </c>
      <c r="M71" t="s">
        <v>672</v>
      </c>
      <c r="N71" t="s">
        <v>690</v>
      </c>
      <c r="O71">
        <v>16.899999999999999</v>
      </c>
      <c r="P71">
        <v>14.41</v>
      </c>
      <c r="Q71" t="s">
        <v>28</v>
      </c>
      <c r="R71" t="s">
        <v>689</v>
      </c>
      <c r="S71">
        <v>3</v>
      </c>
      <c r="T71">
        <v>0.78</v>
      </c>
      <c r="U71">
        <v>0.08</v>
      </c>
    </row>
    <row r="72" spans="1:24" ht="16" x14ac:dyDescent="0.2">
      <c r="A72" t="s">
        <v>431</v>
      </c>
      <c r="B72" s="3" t="s">
        <v>82</v>
      </c>
      <c r="C72" t="s">
        <v>430</v>
      </c>
      <c r="D72" t="s">
        <v>384</v>
      </c>
      <c r="E72">
        <f>(4.24+4.12+4.23)/3</f>
        <v>4.1966666666666663</v>
      </c>
      <c r="F72">
        <f>(1.22+1.27+1.31)/3</f>
        <v>1.2666666666666668</v>
      </c>
      <c r="G72">
        <v>83</v>
      </c>
      <c r="H72" t="s">
        <v>677</v>
      </c>
      <c r="I72" t="s">
        <v>606</v>
      </c>
      <c r="J72" t="s">
        <v>682</v>
      </c>
      <c r="L72" t="s">
        <v>269</v>
      </c>
      <c r="M72" t="s">
        <v>672</v>
      </c>
      <c r="N72" t="s">
        <v>667</v>
      </c>
      <c r="O72">
        <v>15.03</v>
      </c>
      <c r="Q72" t="s">
        <v>28</v>
      </c>
      <c r="R72" t="s">
        <v>689</v>
      </c>
      <c r="S72">
        <v>3</v>
      </c>
      <c r="T72">
        <v>0.81</v>
      </c>
      <c r="U72">
        <v>0.09</v>
      </c>
      <c r="X72" s="5" t="s">
        <v>357</v>
      </c>
    </row>
    <row r="73" spans="1:24" ht="16" x14ac:dyDescent="0.2">
      <c r="A73" t="s">
        <v>432</v>
      </c>
      <c r="B73" s="3" t="s">
        <v>82</v>
      </c>
      <c r="C73" t="s">
        <v>430</v>
      </c>
      <c r="D73" t="s">
        <v>384</v>
      </c>
      <c r="E73">
        <v>4.5999999999999996</v>
      </c>
      <c r="F73">
        <f>(1.41+1.38+1.45)/3</f>
        <v>1.4133333333333333</v>
      </c>
      <c r="G73">
        <v>102.7</v>
      </c>
      <c r="H73" t="s">
        <v>677</v>
      </c>
      <c r="I73" t="s">
        <v>606</v>
      </c>
      <c r="J73" t="s">
        <v>687</v>
      </c>
      <c r="L73" t="s">
        <v>269</v>
      </c>
      <c r="M73" t="s">
        <v>672</v>
      </c>
      <c r="N73" t="s">
        <v>667</v>
      </c>
      <c r="O73">
        <v>18.600000000000001</v>
      </c>
      <c r="P73">
        <v>15.57</v>
      </c>
      <c r="Q73" t="s">
        <v>28</v>
      </c>
      <c r="R73" t="s">
        <v>689</v>
      </c>
      <c r="S73" t="s">
        <v>668</v>
      </c>
      <c r="X73" s="5" t="s">
        <v>414</v>
      </c>
    </row>
    <row r="74" spans="1:24" ht="16" x14ac:dyDescent="0.2">
      <c r="A74" t="s">
        <v>433</v>
      </c>
      <c r="B74" s="3" t="s">
        <v>85</v>
      </c>
      <c r="C74" t="s">
        <v>434</v>
      </c>
      <c r="D74" t="s">
        <v>384</v>
      </c>
      <c r="E74">
        <f>(4.05+4.04+3.64)/3</f>
        <v>3.91</v>
      </c>
      <c r="F74">
        <f>(1.29+1.31+1.33)/3</f>
        <v>1.31</v>
      </c>
      <c r="G74">
        <v>73</v>
      </c>
      <c r="H74" t="s">
        <v>677</v>
      </c>
      <c r="I74" t="s">
        <v>606</v>
      </c>
      <c r="J74" t="s">
        <v>682</v>
      </c>
      <c r="L74" t="s">
        <v>269</v>
      </c>
      <c r="M74" t="s">
        <v>672</v>
      </c>
      <c r="N74" t="s">
        <v>690</v>
      </c>
      <c r="O74">
        <v>10.87</v>
      </c>
      <c r="P74">
        <v>8.85</v>
      </c>
      <c r="Q74" t="s">
        <v>28</v>
      </c>
      <c r="R74" t="s">
        <v>691</v>
      </c>
      <c r="S74">
        <v>3</v>
      </c>
      <c r="T74">
        <v>0.93</v>
      </c>
      <c r="U74">
        <v>0.08</v>
      </c>
    </row>
    <row r="75" spans="1:24" ht="16" x14ac:dyDescent="0.2">
      <c r="A75" t="s">
        <v>436</v>
      </c>
      <c r="B75" s="3" t="s">
        <v>85</v>
      </c>
      <c r="C75" t="s">
        <v>434</v>
      </c>
      <c r="D75" t="s">
        <v>321</v>
      </c>
      <c r="E75">
        <f>(4.16+4.15+3.81)/3</f>
        <v>4.04</v>
      </c>
      <c r="F75">
        <f>(1.34+1.36+1.28)/3</f>
        <v>1.3266666666666669</v>
      </c>
      <c r="G75">
        <v>64.3</v>
      </c>
      <c r="H75" t="s">
        <v>677</v>
      </c>
      <c r="I75" t="s">
        <v>606</v>
      </c>
      <c r="J75" t="s">
        <v>682</v>
      </c>
      <c r="L75" t="s">
        <v>269</v>
      </c>
      <c r="M75" t="s">
        <v>672</v>
      </c>
      <c r="N75" t="s">
        <v>690</v>
      </c>
      <c r="O75">
        <v>12.59</v>
      </c>
      <c r="P75">
        <v>10.24</v>
      </c>
      <c r="Q75" t="s">
        <v>28</v>
      </c>
      <c r="R75" t="s">
        <v>691</v>
      </c>
      <c r="S75">
        <v>3</v>
      </c>
      <c r="T75">
        <v>0.82</v>
      </c>
      <c r="U75">
        <v>0.08</v>
      </c>
    </row>
    <row r="76" spans="1:24" ht="16" x14ac:dyDescent="0.2">
      <c r="A76" t="s">
        <v>437</v>
      </c>
      <c r="B76" s="3" t="s">
        <v>85</v>
      </c>
      <c r="C76" t="s">
        <v>434</v>
      </c>
      <c r="D76" t="s">
        <v>384</v>
      </c>
      <c r="E76">
        <f>(4.21+4.01+4.08)/3</f>
        <v>4.0999999999999996</v>
      </c>
      <c r="F76">
        <f>(1.27+1.26+1.31)/3</f>
        <v>1.28</v>
      </c>
      <c r="G76">
        <v>78</v>
      </c>
      <c r="H76" t="s">
        <v>677</v>
      </c>
      <c r="I76" t="s">
        <v>606</v>
      </c>
      <c r="J76" t="s">
        <v>682</v>
      </c>
      <c r="L76" t="s">
        <v>269</v>
      </c>
      <c r="M76" t="s">
        <v>672</v>
      </c>
      <c r="N76" t="s">
        <v>667</v>
      </c>
      <c r="O76">
        <v>11.31</v>
      </c>
      <c r="P76">
        <v>9.36</v>
      </c>
      <c r="Q76" t="s">
        <v>28</v>
      </c>
      <c r="R76" t="s">
        <v>691</v>
      </c>
      <c r="S76">
        <v>3</v>
      </c>
      <c r="T76">
        <v>0.81</v>
      </c>
      <c r="U76">
        <v>0.09</v>
      </c>
    </row>
    <row r="77" spans="1:24" ht="16" x14ac:dyDescent="0.2">
      <c r="A77" t="s">
        <v>438</v>
      </c>
      <c r="B77" s="3" t="s">
        <v>85</v>
      </c>
      <c r="C77" t="s">
        <v>434</v>
      </c>
      <c r="D77" t="s">
        <v>384</v>
      </c>
      <c r="E77">
        <f>(3.53+3.77+4.01)/3</f>
        <v>3.7699999999999996</v>
      </c>
      <c r="F77">
        <f>(1.33+1.3+1.29)/3</f>
        <v>1.3066666666666666</v>
      </c>
      <c r="G77">
        <v>106.7</v>
      </c>
      <c r="H77" t="s">
        <v>677</v>
      </c>
      <c r="I77" t="s">
        <v>606</v>
      </c>
      <c r="J77" t="s">
        <v>682</v>
      </c>
      <c r="L77" t="s">
        <v>269</v>
      </c>
      <c r="M77" t="s">
        <v>672</v>
      </c>
      <c r="N77" t="s">
        <v>690</v>
      </c>
      <c r="O77">
        <v>13.71</v>
      </c>
      <c r="P77">
        <v>11.43</v>
      </c>
      <c r="Q77" t="s">
        <v>28</v>
      </c>
      <c r="R77" t="s">
        <v>691</v>
      </c>
      <c r="S77">
        <v>1</v>
      </c>
      <c r="T77">
        <v>0.86</v>
      </c>
      <c r="U77">
        <v>0.08</v>
      </c>
    </row>
    <row r="78" spans="1:24" ht="16" x14ac:dyDescent="0.2">
      <c r="A78" t="s">
        <v>439</v>
      </c>
      <c r="B78" s="3" t="s">
        <v>88</v>
      </c>
      <c r="C78" t="s">
        <v>440</v>
      </c>
      <c r="D78" t="s">
        <v>384</v>
      </c>
      <c r="E78">
        <f>(3.49+3.56+3.48)/3</f>
        <v>3.5100000000000002</v>
      </c>
      <c r="F78">
        <f>(1.42+1.4+1.44)/3</f>
        <v>1.42</v>
      </c>
      <c r="G78">
        <v>55.7</v>
      </c>
      <c r="H78" t="s">
        <v>677</v>
      </c>
      <c r="I78" t="s">
        <v>606</v>
      </c>
      <c r="J78" t="s">
        <v>682</v>
      </c>
      <c r="L78" t="s">
        <v>269</v>
      </c>
      <c r="M78" t="s">
        <v>672</v>
      </c>
      <c r="N78" t="s">
        <v>690</v>
      </c>
      <c r="O78">
        <v>13.34</v>
      </c>
      <c r="P78">
        <v>11.57</v>
      </c>
      <c r="Q78" t="s">
        <v>28</v>
      </c>
      <c r="R78" t="s">
        <v>689</v>
      </c>
      <c r="S78">
        <v>3</v>
      </c>
      <c r="T78">
        <v>0.93</v>
      </c>
      <c r="U78">
        <v>0.09</v>
      </c>
    </row>
    <row r="79" spans="1:24" ht="16" x14ac:dyDescent="0.2">
      <c r="A79" t="s">
        <v>441</v>
      </c>
      <c r="B79" s="3" t="s">
        <v>88</v>
      </c>
      <c r="C79" t="s">
        <v>440</v>
      </c>
      <c r="D79" t="s">
        <v>321</v>
      </c>
      <c r="E79">
        <f>(3.78+3.89+3.8)/3</f>
        <v>3.8233333333333328</v>
      </c>
      <c r="F79">
        <f>(1.35+1.28+1.33)/3</f>
        <v>1.32</v>
      </c>
      <c r="G79">
        <v>90.7</v>
      </c>
      <c r="H79" t="s">
        <v>677</v>
      </c>
      <c r="I79" t="s">
        <v>606</v>
      </c>
      <c r="J79" t="s">
        <v>682</v>
      </c>
      <c r="L79" t="s">
        <v>269</v>
      </c>
      <c r="M79" t="s">
        <v>672</v>
      </c>
      <c r="N79" t="s">
        <v>690</v>
      </c>
      <c r="O79">
        <v>12.19</v>
      </c>
      <c r="P79">
        <v>9.9600000000000009</v>
      </c>
      <c r="Q79" t="s">
        <v>28</v>
      </c>
      <c r="R79" t="s">
        <v>689</v>
      </c>
      <c r="S79">
        <v>2</v>
      </c>
      <c r="T79">
        <v>0.77</v>
      </c>
      <c r="U79">
        <v>0.08</v>
      </c>
    </row>
    <row r="80" spans="1:24" ht="16" x14ac:dyDescent="0.2">
      <c r="A80" t="s">
        <v>442</v>
      </c>
      <c r="B80" s="3" t="s">
        <v>88</v>
      </c>
      <c r="C80" t="s">
        <v>440</v>
      </c>
      <c r="D80" t="s">
        <v>384</v>
      </c>
      <c r="E80">
        <f>(4.25+4.22+4.21)/3</f>
        <v>4.2266666666666666</v>
      </c>
      <c r="F80">
        <f>(1.42+1.41+1.45)/3</f>
        <v>1.4266666666666667</v>
      </c>
      <c r="G80">
        <v>99</v>
      </c>
      <c r="H80" t="s">
        <v>677</v>
      </c>
      <c r="I80" t="s">
        <v>606</v>
      </c>
      <c r="J80" t="s">
        <v>682</v>
      </c>
      <c r="L80" t="s">
        <v>269</v>
      </c>
      <c r="M80" t="s">
        <v>672</v>
      </c>
      <c r="N80" t="s">
        <v>690</v>
      </c>
      <c r="O80">
        <v>12.56</v>
      </c>
      <c r="P80">
        <v>9.59</v>
      </c>
      <c r="Q80" t="s">
        <v>28</v>
      </c>
      <c r="R80" t="s">
        <v>689</v>
      </c>
      <c r="S80">
        <v>2</v>
      </c>
      <c r="T80">
        <v>0.84</v>
      </c>
      <c r="U80">
        <v>0.09</v>
      </c>
    </row>
    <row r="81" spans="1:24" ht="16" x14ac:dyDescent="0.2">
      <c r="A81" t="s">
        <v>443</v>
      </c>
      <c r="B81" s="3" t="s">
        <v>91</v>
      </c>
      <c r="C81" t="s">
        <v>444</v>
      </c>
      <c r="D81" t="s">
        <v>321</v>
      </c>
      <c r="E81">
        <v>3.855</v>
      </c>
      <c r="F81">
        <f>(1.52+1.35+1.27)/3</f>
        <v>1.3800000000000001</v>
      </c>
      <c r="G81">
        <v>127.7</v>
      </c>
      <c r="H81" t="s">
        <v>677</v>
      </c>
      <c r="I81" t="s">
        <v>606</v>
      </c>
      <c r="J81" t="s">
        <v>682</v>
      </c>
      <c r="L81" t="s">
        <v>269</v>
      </c>
      <c r="M81" t="s">
        <v>672</v>
      </c>
      <c r="N81" t="s">
        <v>690</v>
      </c>
      <c r="O81">
        <v>14.1</v>
      </c>
      <c r="P81">
        <v>11.88</v>
      </c>
      <c r="Q81" t="s">
        <v>28</v>
      </c>
      <c r="R81" t="s">
        <v>689</v>
      </c>
      <c r="S81">
        <v>3</v>
      </c>
      <c r="T81">
        <v>0.85</v>
      </c>
      <c r="U81">
        <v>0.08</v>
      </c>
    </row>
    <row r="82" spans="1:24" ht="16" x14ac:dyDescent="0.2">
      <c r="A82" t="s">
        <v>445</v>
      </c>
      <c r="B82" s="3" t="s">
        <v>91</v>
      </c>
      <c r="C82" t="s">
        <v>444</v>
      </c>
      <c r="D82" t="s">
        <v>384</v>
      </c>
      <c r="E82">
        <f>(2.7+2.68+2.6)/3</f>
        <v>2.66</v>
      </c>
      <c r="F82">
        <f>(1.1+1.15+1.2)/3</f>
        <v>1.1500000000000001</v>
      </c>
      <c r="G82">
        <v>104.7</v>
      </c>
      <c r="H82" t="s">
        <v>677</v>
      </c>
      <c r="I82" t="s">
        <v>606</v>
      </c>
      <c r="J82" t="s">
        <v>682</v>
      </c>
      <c r="L82" t="s">
        <v>269</v>
      </c>
      <c r="M82" t="s">
        <v>672</v>
      </c>
      <c r="N82" t="s">
        <v>690</v>
      </c>
      <c r="O82">
        <v>12.22</v>
      </c>
      <c r="P82">
        <v>10.18</v>
      </c>
      <c r="Q82" t="s">
        <v>28</v>
      </c>
      <c r="R82" t="s">
        <v>689</v>
      </c>
      <c r="S82">
        <v>3</v>
      </c>
      <c r="T82">
        <v>0.57999999999999996</v>
      </c>
      <c r="U82">
        <v>0.08</v>
      </c>
    </row>
    <row r="83" spans="1:24" ht="16" x14ac:dyDescent="0.2">
      <c r="A83" t="s">
        <v>446</v>
      </c>
      <c r="B83" s="3" t="s">
        <v>91</v>
      </c>
      <c r="C83" t="s">
        <v>444</v>
      </c>
      <c r="D83" t="s">
        <v>384</v>
      </c>
      <c r="E83">
        <f>(4.02+4.01+4.03)/3</f>
        <v>4.0199999999999996</v>
      </c>
      <c r="F83">
        <f>(1.13+1.21+1.2)/3</f>
        <v>1.18</v>
      </c>
      <c r="G83">
        <v>86.7</v>
      </c>
      <c r="H83" t="s">
        <v>677</v>
      </c>
      <c r="I83" t="s">
        <v>606</v>
      </c>
      <c r="J83" t="s">
        <v>687</v>
      </c>
      <c r="L83" t="s">
        <v>269</v>
      </c>
      <c r="M83" t="s">
        <v>672</v>
      </c>
      <c r="N83" t="s">
        <v>690</v>
      </c>
      <c r="O83">
        <v>13.49</v>
      </c>
      <c r="P83">
        <v>11.26</v>
      </c>
      <c r="Q83" t="s">
        <v>28</v>
      </c>
      <c r="R83" t="s">
        <v>689</v>
      </c>
      <c r="S83">
        <v>3</v>
      </c>
      <c r="T83">
        <v>0.79</v>
      </c>
      <c r="U83">
        <v>0.08</v>
      </c>
    </row>
    <row r="84" spans="1:24" ht="16" x14ac:dyDescent="0.2">
      <c r="A84" t="s">
        <v>447</v>
      </c>
      <c r="B84" s="3" t="s">
        <v>94</v>
      </c>
      <c r="C84" t="s">
        <v>448</v>
      </c>
      <c r="D84" t="s">
        <v>384</v>
      </c>
      <c r="E84">
        <f>(1.36+1.13+1.31)/3</f>
        <v>1.2666666666666668</v>
      </c>
      <c r="F84">
        <f>(1.05+1.12+1.03)/3</f>
        <v>1.0666666666666667</v>
      </c>
      <c r="G84">
        <v>145</v>
      </c>
      <c r="H84" t="s">
        <v>677</v>
      </c>
      <c r="I84" t="s">
        <v>664</v>
      </c>
      <c r="J84" t="s">
        <v>682</v>
      </c>
      <c r="L84" t="s">
        <v>269</v>
      </c>
      <c r="M84" t="s">
        <v>666</v>
      </c>
      <c r="N84" t="s">
        <v>690</v>
      </c>
      <c r="O84">
        <v>16.04</v>
      </c>
      <c r="P84">
        <v>14.51</v>
      </c>
      <c r="Q84" t="s">
        <v>18</v>
      </c>
      <c r="R84" t="s">
        <v>691</v>
      </c>
      <c r="S84">
        <v>2</v>
      </c>
      <c r="T84">
        <v>0.52</v>
      </c>
      <c r="U84">
        <v>7.0000000000000007E-2</v>
      </c>
    </row>
    <row r="85" spans="1:24" ht="16" x14ac:dyDescent="0.2">
      <c r="A85" t="s">
        <v>449</v>
      </c>
      <c r="B85" s="3" t="s">
        <v>94</v>
      </c>
      <c r="C85" t="s">
        <v>448</v>
      </c>
      <c r="D85" t="s">
        <v>384</v>
      </c>
      <c r="E85">
        <v>1.7450000000000001</v>
      </c>
      <c r="F85">
        <f>(0.99+1.03+1.04)/3</f>
        <v>1.02</v>
      </c>
      <c r="G85">
        <v>185.7</v>
      </c>
      <c r="H85" t="s">
        <v>295</v>
      </c>
      <c r="I85" t="s">
        <v>664</v>
      </c>
      <c r="J85" t="s">
        <v>687</v>
      </c>
      <c r="L85" t="s">
        <v>269</v>
      </c>
      <c r="M85" t="s">
        <v>672</v>
      </c>
      <c r="N85" t="s">
        <v>667</v>
      </c>
      <c r="O85">
        <v>14.55</v>
      </c>
      <c r="P85">
        <v>12.08</v>
      </c>
      <c r="Q85" t="s">
        <v>18</v>
      </c>
      <c r="R85" t="s">
        <v>691</v>
      </c>
      <c r="S85">
        <v>3</v>
      </c>
      <c r="T85">
        <v>0.6</v>
      </c>
      <c r="U85">
        <v>0.08</v>
      </c>
    </row>
    <row r="86" spans="1:24" ht="16" x14ac:dyDescent="0.2">
      <c r="A86" t="s">
        <v>450</v>
      </c>
      <c r="B86" s="3" t="s">
        <v>94</v>
      </c>
      <c r="C86" t="s">
        <v>448</v>
      </c>
      <c r="D86" t="s">
        <v>384</v>
      </c>
      <c r="E86">
        <f>(1.64+1.6+1.82)/3</f>
        <v>1.6866666666666668</v>
      </c>
      <c r="F86">
        <f>(1.12+1.11+1.06)/3</f>
        <v>1.0966666666666669</v>
      </c>
      <c r="G86">
        <v>152.30000000000001</v>
      </c>
      <c r="H86" t="s">
        <v>677</v>
      </c>
      <c r="I86" t="s">
        <v>664</v>
      </c>
      <c r="J86" t="s">
        <v>687</v>
      </c>
      <c r="L86" t="s">
        <v>269</v>
      </c>
      <c r="M86" t="s">
        <v>672</v>
      </c>
      <c r="N86" t="s">
        <v>667</v>
      </c>
      <c r="O86">
        <v>14.23</v>
      </c>
      <c r="P86">
        <v>12.79</v>
      </c>
      <c r="Q86" t="s">
        <v>18</v>
      </c>
      <c r="R86" t="s">
        <v>692</v>
      </c>
      <c r="S86">
        <v>3</v>
      </c>
      <c r="T86">
        <v>0.69</v>
      </c>
      <c r="U86">
        <v>0.09</v>
      </c>
    </row>
    <row r="87" spans="1:24" ht="16" x14ac:dyDescent="0.2">
      <c r="A87" t="s">
        <v>452</v>
      </c>
      <c r="B87" s="3" t="s">
        <v>97</v>
      </c>
      <c r="C87" t="s">
        <v>453</v>
      </c>
      <c r="D87" t="s">
        <v>384</v>
      </c>
      <c r="E87">
        <v>1.5249999999999999</v>
      </c>
      <c r="F87">
        <f>(1.1+0.98+1.08)/3</f>
        <v>1.0533333333333335</v>
      </c>
      <c r="G87">
        <v>180</v>
      </c>
      <c r="H87" t="s">
        <v>348</v>
      </c>
      <c r="I87" t="s">
        <v>664</v>
      </c>
      <c r="J87" t="s">
        <v>682</v>
      </c>
      <c r="L87" t="s">
        <v>269</v>
      </c>
      <c r="M87" t="s">
        <v>672</v>
      </c>
      <c r="N87" t="s">
        <v>667</v>
      </c>
      <c r="O87">
        <v>15.47</v>
      </c>
      <c r="P87">
        <v>13.45</v>
      </c>
      <c r="Q87" t="s">
        <v>18</v>
      </c>
      <c r="R87" t="s">
        <v>692</v>
      </c>
      <c r="S87">
        <v>3</v>
      </c>
      <c r="T87">
        <v>0.63</v>
      </c>
      <c r="U87">
        <v>0.08</v>
      </c>
    </row>
    <row r="88" spans="1:24" ht="16" x14ac:dyDescent="0.2">
      <c r="A88" t="s">
        <v>454</v>
      </c>
      <c r="B88" s="3" t="s">
        <v>97</v>
      </c>
      <c r="C88" t="s">
        <v>453</v>
      </c>
      <c r="D88" t="s">
        <v>384</v>
      </c>
      <c r="E88">
        <f>(1.31+1.29+1.27)/3</f>
        <v>1.29</v>
      </c>
      <c r="F88">
        <f>(0.86+0.93+0.91)/3</f>
        <v>0.9</v>
      </c>
      <c r="G88">
        <v>120</v>
      </c>
      <c r="H88" t="s">
        <v>677</v>
      </c>
      <c r="I88" t="s">
        <v>664</v>
      </c>
      <c r="J88" t="s">
        <v>682</v>
      </c>
      <c r="L88" t="s">
        <v>269</v>
      </c>
      <c r="M88" t="s">
        <v>672</v>
      </c>
      <c r="N88" t="s">
        <v>667</v>
      </c>
      <c r="O88">
        <v>14</v>
      </c>
      <c r="P88">
        <v>13.36</v>
      </c>
      <c r="Q88" t="s">
        <v>18</v>
      </c>
      <c r="R88" t="s">
        <v>693</v>
      </c>
      <c r="S88">
        <v>3</v>
      </c>
      <c r="T88">
        <v>0.43</v>
      </c>
      <c r="U88">
        <v>0.05</v>
      </c>
    </row>
    <row r="89" spans="1:24" ht="16" x14ac:dyDescent="0.2">
      <c r="A89" t="s">
        <v>456</v>
      </c>
      <c r="B89" s="3" t="s">
        <v>97</v>
      </c>
      <c r="C89" t="s">
        <v>453</v>
      </c>
      <c r="D89" t="s">
        <v>384</v>
      </c>
      <c r="E89">
        <f>(1.47+1.2+1.32)/3</f>
        <v>1.33</v>
      </c>
      <c r="F89">
        <f>(1.07+0.92+1.02)/3</f>
        <v>1.0033333333333334</v>
      </c>
      <c r="G89">
        <v>155</v>
      </c>
      <c r="H89" t="s">
        <v>677</v>
      </c>
      <c r="I89" t="s">
        <v>664</v>
      </c>
      <c r="J89" t="s">
        <v>682</v>
      </c>
      <c r="L89" t="s">
        <v>269</v>
      </c>
      <c r="M89" t="s">
        <v>672</v>
      </c>
      <c r="N89" t="s">
        <v>667</v>
      </c>
      <c r="O89">
        <v>15.66</v>
      </c>
      <c r="P89">
        <v>14.25</v>
      </c>
      <c r="Q89" t="s">
        <v>18</v>
      </c>
      <c r="R89" t="s">
        <v>692</v>
      </c>
      <c r="S89">
        <v>3</v>
      </c>
      <c r="T89">
        <v>0.42</v>
      </c>
      <c r="U89">
        <v>7.0000000000000007E-2</v>
      </c>
    </row>
    <row r="90" spans="1:24" ht="16" x14ac:dyDescent="0.2">
      <c r="A90" t="s">
        <v>457</v>
      </c>
      <c r="B90" s="3" t="s">
        <v>100</v>
      </c>
      <c r="C90" t="s">
        <v>458</v>
      </c>
      <c r="D90" t="s">
        <v>384</v>
      </c>
      <c r="E90">
        <f>(1.39+1.32+1.38)/3</f>
        <v>1.3633333333333333</v>
      </c>
      <c r="F90">
        <f>(1.02+1.01+1)/3</f>
        <v>1.01</v>
      </c>
      <c r="G90">
        <v>201.3</v>
      </c>
      <c r="H90" t="s">
        <v>326</v>
      </c>
      <c r="I90" t="s">
        <v>664</v>
      </c>
      <c r="J90" t="s">
        <v>687</v>
      </c>
      <c r="L90" t="s">
        <v>360</v>
      </c>
      <c r="M90" t="s">
        <v>666</v>
      </c>
      <c r="N90" t="s">
        <v>667</v>
      </c>
      <c r="O90">
        <v>11.33</v>
      </c>
      <c r="P90">
        <v>10.1</v>
      </c>
      <c r="Q90" t="s">
        <v>10</v>
      </c>
      <c r="R90" t="s">
        <v>689</v>
      </c>
      <c r="S90">
        <v>2</v>
      </c>
      <c r="T90">
        <v>0.45</v>
      </c>
      <c r="U90">
        <v>0.06</v>
      </c>
    </row>
    <row r="91" spans="1:24" ht="16" x14ac:dyDescent="0.2">
      <c r="A91" t="s">
        <v>459</v>
      </c>
      <c r="B91" s="3" t="s">
        <v>100</v>
      </c>
      <c r="C91" t="s">
        <v>458</v>
      </c>
      <c r="D91" t="s">
        <v>384</v>
      </c>
      <c r="E91">
        <f>(1.57+1.62+1.61)/3</f>
        <v>1.6000000000000003</v>
      </c>
      <c r="F91">
        <f>(0.93+0.95+1)/3</f>
        <v>0.96</v>
      </c>
      <c r="G91">
        <v>243.7</v>
      </c>
      <c r="H91" t="s">
        <v>326</v>
      </c>
      <c r="I91" t="s">
        <v>664</v>
      </c>
      <c r="J91" t="s">
        <v>687</v>
      </c>
      <c r="L91" t="s">
        <v>360</v>
      </c>
      <c r="M91" t="s">
        <v>666</v>
      </c>
      <c r="N91" t="s">
        <v>667</v>
      </c>
      <c r="O91">
        <v>17.11</v>
      </c>
      <c r="P91">
        <v>12.73</v>
      </c>
      <c r="Q91" t="s">
        <v>10</v>
      </c>
      <c r="R91" t="s">
        <v>689</v>
      </c>
      <c r="S91" t="s">
        <v>668</v>
      </c>
      <c r="T91">
        <v>0.53</v>
      </c>
      <c r="U91">
        <v>0.08</v>
      </c>
    </row>
    <row r="92" spans="1:24" ht="16" x14ac:dyDescent="0.2">
      <c r="A92" t="s">
        <v>460</v>
      </c>
      <c r="B92" s="3" t="s">
        <v>100</v>
      </c>
      <c r="C92" t="s">
        <v>458</v>
      </c>
      <c r="D92" t="s">
        <v>384</v>
      </c>
      <c r="E92">
        <f>(1.48+1.46+1.49)/3</f>
        <v>1.4766666666666666</v>
      </c>
      <c r="F92">
        <f>(0.91+0.89+0.92)/3</f>
        <v>0.90666666666666673</v>
      </c>
      <c r="G92">
        <v>245.3</v>
      </c>
      <c r="H92" t="s">
        <v>326</v>
      </c>
      <c r="I92" t="s">
        <v>664</v>
      </c>
      <c r="J92" t="s">
        <v>687</v>
      </c>
      <c r="L92" t="s">
        <v>360</v>
      </c>
      <c r="M92" t="s">
        <v>672</v>
      </c>
      <c r="N92" t="s">
        <v>667</v>
      </c>
      <c r="O92">
        <v>8.89</v>
      </c>
      <c r="P92">
        <v>6.9</v>
      </c>
      <c r="Q92" t="s">
        <v>10</v>
      </c>
      <c r="R92" t="s">
        <v>689</v>
      </c>
      <c r="S92" t="s">
        <v>668</v>
      </c>
      <c r="T92">
        <v>0.39</v>
      </c>
      <c r="U92">
        <v>0.06</v>
      </c>
    </row>
    <row r="93" spans="1:24" ht="16" x14ac:dyDescent="0.2">
      <c r="A93" t="s">
        <v>461</v>
      </c>
      <c r="B93" s="3" t="s">
        <v>103</v>
      </c>
      <c r="C93" t="s">
        <v>462</v>
      </c>
      <c r="D93" t="s">
        <v>384</v>
      </c>
      <c r="E93">
        <f>(1.09+1.01+1.04)/3</f>
        <v>1.0466666666666666</v>
      </c>
      <c r="F93">
        <f>(0.84+0.89+0.88)/3</f>
        <v>0.87</v>
      </c>
      <c r="G93">
        <v>219</v>
      </c>
      <c r="H93" t="s">
        <v>326</v>
      </c>
      <c r="I93" t="s">
        <v>664</v>
      </c>
      <c r="J93" t="s">
        <v>687</v>
      </c>
      <c r="L93" t="s">
        <v>360</v>
      </c>
      <c r="M93" t="s">
        <v>666</v>
      </c>
      <c r="N93" t="s">
        <v>667</v>
      </c>
      <c r="O93">
        <v>11.79</v>
      </c>
      <c r="P93">
        <v>9.5399999999999991</v>
      </c>
      <c r="Q93" t="s">
        <v>10</v>
      </c>
      <c r="R93" t="s">
        <v>689</v>
      </c>
      <c r="S93" t="s">
        <v>668</v>
      </c>
      <c r="T93">
        <v>0.45</v>
      </c>
      <c r="U93">
        <v>0.06</v>
      </c>
      <c r="X93" s="5" t="s">
        <v>463</v>
      </c>
    </row>
    <row r="94" spans="1:24" ht="16" x14ac:dyDescent="0.2">
      <c r="A94" t="s">
        <v>464</v>
      </c>
      <c r="B94" s="3" t="s">
        <v>103</v>
      </c>
      <c r="C94" t="s">
        <v>462</v>
      </c>
      <c r="D94" t="s">
        <v>384</v>
      </c>
      <c r="E94">
        <f>(1.13+1.94+1.2)/3</f>
        <v>1.4233333333333331</v>
      </c>
      <c r="F94">
        <f>(0.99+0.91+0.93)/3</f>
        <v>0.94333333333333336</v>
      </c>
      <c r="G94">
        <v>175.3</v>
      </c>
      <c r="H94" t="s">
        <v>348</v>
      </c>
      <c r="I94" t="s">
        <v>681</v>
      </c>
      <c r="J94" t="s">
        <v>687</v>
      </c>
      <c r="M94" t="s">
        <v>666</v>
      </c>
      <c r="N94" t="s">
        <v>667</v>
      </c>
      <c r="Q94" t="s">
        <v>10</v>
      </c>
      <c r="R94" t="s">
        <v>689</v>
      </c>
      <c r="S94" t="s">
        <v>668</v>
      </c>
      <c r="T94">
        <v>0.53</v>
      </c>
      <c r="U94">
        <v>7.0000000000000007E-2</v>
      </c>
      <c r="X94" s="5" t="s">
        <v>466</v>
      </c>
    </row>
    <row r="95" spans="1:24" ht="16" x14ac:dyDescent="0.2">
      <c r="A95" t="s">
        <v>467</v>
      </c>
      <c r="B95" s="3" t="s">
        <v>103</v>
      </c>
      <c r="C95" t="s">
        <v>462</v>
      </c>
      <c r="D95" t="s">
        <v>384</v>
      </c>
      <c r="E95">
        <f>(1.27+1.26+1.25)/3</f>
        <v>1.26</v>
      </c>
      <c r="F95">
        <f>(0.91+0.89+0.95)/3</f>
        <v>0.91666666666666663</v>
      </c>
      <c r="G95">
        <v>197.7</v>
      </c>
      <c r="H95" t="s">
        <v>295</v>
      </c>
      <c r="I95" t="s">
        <v>664</v>
      </c>
      <c r="J95" t="s">
        <v>687</v>
      </c>
      <c r="L95" t="s">
        <v>269</v>
      </c>
      <c r="M95" t="s">
        <v>666</v>
      </c>
      <c r="N95" t="s">
        <v>667</v>
      </c>
      <c r="O95">
        <v>13.58</v>
      </c>
      <c r="P95">
        <v>11.67</v>
      </c>
      <c r="Q95" t="s">
        <v>10</v>
      </c>
      <c r="R95" t="s">
        <v>689</v>
      </c>
      <c r="S95" t="s">
        <v>668</v>
      </c>
      <c r="T95">
        <v>0.54</v>
      </c>
      <c r="U95">
        <v>0.06</v>
      </c>
      <c r="X95" s="5" t="s">
        <v>463</v>
      </c>
    </row>
    <row r="96" spans="1:24" ht="16" x14ac:dyDescent="0.2">
      <c r="A96" t="s">
        <v>468</v>
      </c>
      <c r="B96" s="3" t="s">
        <v>103</v>
      </c>
      <c r="C96" t="s">
        <v>462</v>
      </c>
      <c r="D96" t="s">
        <v>384</v>
      </c>
      <c r="E96">
        <f>(1.24+1.19+1.26)/3</f>
        <v>1.2299999999999998</v>
      </c>
      <c r="F96">
        <f>(0.93+0.92+0.95)/3</f>
        <v>0.93333333333333324</v>
      </c>
      <c r="G96">
        <v>145</v>
      </c>
      <c r="H96" t="s">
        <v>677</v>
      </c>
      <c r="I96" t="s">
        <v>664</v>
      </c>
      <c r="J96" t="s">
        <v>687</v>
      </c>
      <c r="L96" t="s">
        <v>269</v>
      </c>
      <c r="M96" t="s">
        <v>666</v>
      </c>
      <c r="N96" t="s">
        <v>667</v>
      </c>
      <c r="O96">
        <v>12.68</v>
      </c>
      <c r="P96">
        <v>11.16</v>
      </c>
      <c r="Q96" t="s">
        <v>10</v>
      </c>
      <c r="R96" t="s">
        <v>689</v>
      </c>
      <c r="S96" t="s">
        <v>668</v>
      </c>
      <c r="T96">
        <v>0.43</v>
      </c>
      <c r="U96">
        <v>0.06</v>
      </c>
      <c r="X96" s="5" t="s">
        <v>463</v>
      </c>
    </row>
    <row r="97" spans="1:24" ht="16" x14ac:dyDescent="0.2">
      <c r="A97" t="s">
        <v>469</v>
      </c>
      <c r="B97" s="3" t="s">
        <v>106</v>
      </c>
      <c r="C97" t="s">
        <v>105</v>
      </c>
      <c r="D97" t="s">
        <v>384</v>
      </c>
      <c r="E97">
        <v>1.04</v>
      </c>
      <c r="F97">
        <f>(0.81+0.85+0.89)/3</f>
        <v>0.85000000000000009</v>
      </c>
      <c r="G97">
        <v>186.7</v>
      </c>
      <c r="H97" t="s">
        <v>295</v>
      </c>
      <c r="I97" t="s">
        <v>664</v>
      </c>
      <c r="J97" t="s">
        <v>687</v>
      </c>
      <c r="L97" t="s">
        <v>360</v>
      </c>
      <c r="M97" t="s">
        <v>672</v>
      </c>
      <c r="N97" t="s">
        <v>667</v>
      </c>
      <c r="O97">
        <v>9.09</v>
      </c>
      <c r="P97">
        <v>7.69</v>
      </c>
      <c r="Q97" t="s">
        <v>18</v>
      </c>
      <c r="R97" t="s">
        <v>692</v>
      </c>
      <c r="S97">
        <v>1</v>
      </c>
      <c r="T97">
        <v>0.51</v>
      </c>
      <c r="U97">
        <v>7.0000000000000007E-2</v>
      </c>
    </row>
    <row r="98" spans="1:24" ht="16" x14ac:dyDescent="0.2">
      <c r="A98" t="s">
        <v>470</v>
      </c>
      <c r="B98" s="3" t="s">
        <v>106</v>
      </c>
      <c r="C98" t="s">
        <v>105</v>
      </c>
      <c r="D98" t="s">
        <v>384</v>
      </c>
      <c r="E98">
        <f>(1.04+1.2+1.21)/3</f>
        <v>1.1500000000000001</v>
      </c>
      <c r="F98">
        <f>(0.81+0.79+0.86)/3</f>
        <v>0.82</v>
      </c>
      <c r="G98">
        <v>177</v>
      </c>
      <c r="H98" t="s">
        <v>348</v>
      </c>
      <c r="I98" t="s">
        <v>681</v>
      </c>
      <c r="J98" t="s">
        <v>687</v>
      </c>
      <c r="L98" t="s">
        <v>269</v>
      </c>
      <c r="M98" t="s">
        <v>672</v>
      </c>
      <c r="N98" t="s">
        <v>667</v>
      </c>
      <c r="O98">
        <v>12.76</v>
      </c>
      <c r="P98">
        <v>10.5</v>
      </c>
      <c r="Q98" t="s">
        <v>18</v>
      </c>
      <c r="R98" t="s">
        <v>692</v>
      </c>
      <c r="S98">
        <v>2</v>
      </c>
      <c r="T98">
        <v>0.51</v>
      </c>
      <c r="U98">
        <v>0.09</v>
      </c>
    </row>
    <row r="99" spans="1:24" ht="16" x14ac:dyDescent="0.2">
      <c r="A99" t="s">
        <v>471</v>
      </c>
      <c r="B99" s="3" t="s">
        <v>106</v>
      </c>
      <c r="C99" t="s">
        <v>105</v>
      </c>
      <c r="D99" t="s">
        <v>384</v>
      </c>
      <c r="E99">
        <f>(1.12+1.13+1.12)/3</f>
        <v>1.1233333333333333</v>
      </c>
      <c r="F99">
        <f>(0.89+0.79+0.92)/3</f>
        <v>0.8666666666666667</v>
      </c>
      <c r="G99">
        <v>156</v>
      </c>
      <c r="H99" t="s">
        <v>677</v>
      </c>
      <c r="I99" t="s">
        <v>681</v>
      </c>
      <c r="J99" t="s">
        <v>687</v>
      </c>
      <c r="L99" t="s">
        <v>269</v>
      </c>
      <c r="M99" t="s">
        <v>672</v>
      </c>
      <c r="N99" t="s">
        <v>667</v>
      </c>
      <c r="O99">
        <v>10.86</v>
      </c>
      <c r="P99">
        <v>9.3699999999999992</v>
      </c>
      <c r="Q99" t="s">
        <v>18</v>
      </c>
      <c r="R99" t="s">
        <v>692</v>
      </c>
      <c r="S99" t="s">
        <v>668</v>
      </c>
      <c r="T99">
        <v>0.63</v>
      </c>
      <c r="U99">
        <v>0.08</v>
      </c>
    </row>
    <row r="100" spans="1:24" ht="16" x14ac:dyDescent="0.2">
      <c r="A100" t="s">
        <v>472</v>
      </c>
      <c r="B100" t="s">
        <v>473</v>
      </c>
      <c r="C100" t="s">
        <v>474</v>
      </c>
      <c r="D100" t="s">
        <v>384</v>
      </c>
      <c r="E100">
        <f>(1.07+1.02+1.06)/3</f>
        <v>1.05</v>
      </c>
      <c r="F100">
        <f>(0.91+0.91+0.86)/3</f>
        <v>0.89333333333333342</v>
      </c>
      <c r="G100">
        <v>104.7</v>
      </c>
      <c r="H100" t="s">
        <v>677</v>
      </c>
      <c r="I100" t="s">
        <v>664</v>
      </c>
      <c r="J100" t="s">
        <v>687</v>
      </c>
      <c r="L100" t="s">
        <v>360</v>
      </c>
      <c r="M100" t="s">
        <v>672</v>
      </c>
      <c r="N100" t="s">
        <v>667</v>
      </c>
      <c r="O100">
        <v>10.67</v>
      </c>
      <c r="P100">
        <v>8.26</v>
      </c>
      <c r="Q100" t="s">
        <v>10</v>
      </c>
      <c r="R100" t="s">
        <v>689</v>
      </c>
      <c r="S100">
        <v>3</v>
      </c>
      <c r="T100">
        <v>0.5</v>
      </c>
      <c r="U100">
        <v>0.09</v>
      </c>
      <c r="X100" s="5" t="s">
        <v>463</v>
      </c>
    </row>
    <row r="101" spans="1:24" ht="16" x14ac:dyDescent="0.2">
      <c r="A101" t="s">
        <v>475</v>
      </c>
      <c r="B101" t="s">
        <v>473</v>
      </c>
      <c r="C101" t="s">
        <v>474</v>
      </c>
      <c r="D101" t="s">
        <v>321</v>
      </c>
      <c r="G101">
        <v>160.30000000000001</v>
      </c>
      <c r="H101" t="s">
        <v>348</v>
      </c>
      <c r="I101" t="s">
        <v>664</v>
      </c>
      <c r="J101" t="s">
        <v>687</v>
      </c>
      <c r="L101" t="s">
        <v>360</v>
      </c>
      <c r="M101" t="s">
        <v>672</v>
      </c>
      <c r="N101" t="s">
        <v>667</v>
      </c>
      <c r="O101">
        <v>12.39</v>
      </c>
      <c r="P101">
        <v>10.11</v>
      </c>
      <c r="Q101" t="s">
        <v>10</v>
      </c>
      <c r="R101" t="s">
        <v>689</v>
      </c>
      <c r="X101" s="5" t="s">
        <v>476</v>
      </c>
    </row>
    <row r="102" spans="1:24" ht="16" x14ac:dyDescent="0.2">
      <c r="A102" t="s">
        <v>477</v>
      </c>
      <c r="B102" t="s">
        <v>473</v>
      </c>
      <c r="C102" t="s">
        <v>474</v>
      </c>
      <c r="L102" t="s">
        <v>277</v>
      </c>
      <c r="M102" t="s">
        <v>672</v>
      </c>
      <c r="N102" t="s">
        <v>667</v>
      </c>
      <c r="O102">
        <v>7.26</v>
      </c>
      <c r="P102">
        <v>5.65</v>
      </c>
      <c r="X102" s="5" t="s">
        <v>478</v>
      </c>
    </row>
    <row r="103" spans="1:24" ht="16" x14ac:dyDescent="0.2">
      <c r="A103" t="s">
        <v>479</v>
      </c>
      <c r="B103" t="s">
        <v>114</v>
      </c>
      <c r="C103" t="s">
        <v>480</v>
      </c>
      <c r="D103" t="s">
        <v>321</v>
      </c>
      <c r="E103">
        <v>1.34</v>
      </c>
      <c r="F103">
        <v>0.86</v>
      </c>
      <c r="G103">
        <v>194.5</v>
      </c>
      <c r="H103" t="s">
        <v>326</v>
      </c>
      <c r="I103" t="s">
        <v>664</v>
      </c>
      <c r="J103" t="s">
        <v>665</v>
      </c>
      <c r="M103" t="s">
        <v>672</v>
      </c>
      <c r="N103" t="s">
        <v>667</v>
      </c>
      <c r="O103">
        <v>7.85</v>
      </c>
      <c r="Q103" t="s">
        <v>10</v>
      </c>
      <c r="R103" t="s">
        <v>689</v>
      </c>
      <c r="S103" t="s">
        <v>668</v>
      </c>
      <c r="T103">
        <v>0.28999999999999998</v>
      </c>
      <c r="U103">
        <v>0.04</v>
      </c>
      <c r="X103" s="5" t="s">
        <v>481</v>
      </c>
    </row>
    <row r="104" spans="1:24" ht="16" x14ac:dyDescent="0.2">
      <c r="A104" t="s">
        <v>482</v>
      </c>
      <c r="B104" t="s">
        <v>114</v>
      </c>
      <c r="C104" t="s">
        <v>480</v>
      </c>
      <c r="D104" t="s">
        <v>321</v>
      </c>
      <c r="E104">
        <f>(1.2+1.16+1.18)/3</f>
        <v>1.18</v>
      </c>
      <c r="F104">
        <f>(0.92+0.87+0.8)/3</f>
        <v>0.86333333333333329</v>
      </c>
      <c r="G104">
        <v>233</v>
      </c>
      <c r="H104" t="s">
        <v>326</v>
      </c>
      <c r="I104" t="s">
        <v>664</v>
      </c>
      <c r="J104" t="s">
        <v>665</v>
      </c>
      <c r="L104" t="s">
        <v>269</v>
      </c>
      <c r="M104" t="s">
        <v>672</v>
      </c>
      <c r="N104" t="s">
        <v>667</v>
      </c>
      <c r="O104">
        <v>8.6999999999999993</v>
      </c>
      <c r="P104">
        <v>7.48</v>
      </c>
      <c r="Q104" t="s">
        <v>10</v>
      </c>
      <c r="R104" t="s">
        <v>689</v>
      </c>
      <c r="S104">
        <v>2</v>
      </c>
      <c r="T104">
        <v>0.44</v>
      </c>
      <c r="U104">
        <v>0.05</v>
      </c>
    </row>
    <row r="105" spans="1:24" ht="16" x14ac:dyDescent="0.2">
      <c r="A105" t="s">
        <v>483</v>
      </c>
      <c r="B105" t="s">
        <v>114</v>
      </c>
      <c r="C105" t="s">
        <v>480</v>
      </c>
      <c r="D105" t="s">
        <v>384</v>
      </c>
      <c r="E105">
        <f>(1.52+1.3+1.43)/3</f>
        <v>1.4166666666666667</v>
      </c>
      <c r="F105">
        <f>(0.9+0.92+0.93)/3</f>
        <v>0.91666666666666663</v>
      </c>
      <c r="G105">
        <v>241.3</v>
      </c>
      <c r="H105" t="s">
        <v>326</v>
      </c>
      <c r="I105" t="s">
        <v>664</v>
      </c>
      <c r="J105" t="s">
        <v>665</v>
      </c>
      <c r="L105" t="s">
        <v>360</v>
      </c>
      <c r="M105" t="s">
        <v>672</v>
      </c>
      <c r="N105" t="s">
        <v>667</v>
      </c>
      <c r="O105">
        <v>9.7799999999999994</v>
      </c>
      <c r="P105">
        <v>7.8</v>
      </c>
      <c r="Q105" t="s">
        <v>10</v>
      </c>
      <c r="R105" t="s">
        <v>689</v>
      </c>
      <c r="S105" t="s">
        <v>668</v>
      </c>
      <c r="T105">
        <v>0.53</v>
      </c>
      <c r="U105">
        <v>0.06</v>
      </c>
    </row>
    <row r="106" spans="1:24" ht="16" x14ac:dyDescent="0.2">
      <c r="A106" t="s">
        <v>484</v>
      </c>
      <c r="B106" t="s">
        <v>118</v>
      </c>
      <c r="C106" t="s">
        <v>694</v>
      </c>
      <c r="D106" t="s">
        <v>384</v>
      </c>
      <c r="E106">
        <v>0.85</v>
      </c>
      <c r="F106">
        <f>(0.72+0.73+0.86)/3</f>
        <v>0.77</v>
      </c>
      <c r="G106">
        <v>169.3</v>
      </c>
      <c r="H106" t="s">
        <v>677</v>
      </c>
      <c r="I106" t="s">
        <v>664</v>
      </c>
      <c r="J106" t="s">
        <v>687</v>
      </c>
      <c r="L106" t="s">
        <v>360</v>
      </c>
      <c r="M106" t="s">
        <v>672</v>
      </c>
      <c r="N106" t="s">
        <v>667</v>
      </c>
      <c r="O106">
        <v>14.11</v>
      </c>
      <c r="P106">
        <v>12.32</v>
      </c>
      <c r="Q106" t="s">
        <v>18</v>
      </c>
      <c r="R106" t="s">
        <v>689</v>
      </c>
      <c r="S106" t="s">
        <v>668</v>
      </c>
    </row>
    <row r="107" spans="1:24" ht="16" x14ac:dyDescent="0.2">
      <c r="A107" t="s">
        <v>485</v>
      </c>
      <c r="B107" t="s">
        <v>118</v>
      </c>
      <c r="C107" t="s">
        <v>694</v>
      </c>
      <c r="D107" t="s">
        <v>384</v>
      </c>
      <c r="E107">
        <f>(0.69+0.66+0.68)/3</f>
        <v>0.67666666666666675</v>
      </c>
      <c r="F107">
        <f>(0.86+0.74+0.88)/3</f>
        <v>0.82666666666666666</v>
      </c>
      <c r="G107">
        <v>177.7</v>
      </c>
      <c r="H107" t="s">
        <v>295</v>
      </c>
      <c r="I107" t="s">
        <v>664</v>
      </c>
      <c r="J107" t="s">
        <v>687</v>
      </c>
      <c r="L107" t="s">
        <v>277</v>
      </c>
      <c r="M107" t="s">
        <v>672</v>
      </c>
      <c r="N107" t="s">
        <v>667</v>
      </c>
      <c r="O107">
        <v>9.44</v>
      </c>
      <c r="P107">
        <v>5.8</v>
      </c>
      <c r="Q107" t="s">
        <v>18</v>
      </c>
      <c r="R107" t="s">
        <v>693</v>
      </c>
      <c r="S107">
        <v>3</v>
      </c>
      <c r="T107">
        <v>0.31</v>
      </c>
      <c r="U107">
        <v>0.05</v>
      </c>
    </row>
    <row r="108" spans="1:24" ht="16" x14ac:dyDescent="0.2">
      <c r="A108" t="s">
        <v>486</v>
      </c>
      <c r="B108" t="s">
        <v>118</v>
      </c>
      <c r="C108" t="s">
        <v>694</v>
      </c>
      <c r="D108" t="s">
        <v>384</v>
      </c>
      <c r="E108">
        <f>(0.87+1.03+0.97)/3</f>
        <v>0.95666666666666667</v>
      </c>
      <c r="F108">
        <f>(0.84+0.73+0.86)/3</f>
        <v>0.80999999999999994</v>
      </c>
      <c r="G108">
        <v>156</v>
      </c>
      <c r="H108" t="s">
        <v>677</v>
      </c>
      <c r="I108" t="s">
        <v>664</v>
      </c>
      <c r="J108" t="s">
        <v>682</v>
      </c>
      <c r="L108" t="s">
        <v>360</v>
      </c>
      <c r="M108" t="s">
        <v>672</v>
      </c>
      <c r="N108" t="s">
        <v>667</v>
      </c>
      <c r="O108">
        <v>11.43</v>
      </c>
      <c r="P108">
        <v>9.08</v>
      </c>
      <c r="Q108" t="s">
        <v>18</v>
      </c>
      <c r="R108" t="s">
        <v>693</v>
      </c>
      <c r="S108">
        <v>1</v>
      </c>
    </row>
    <row r="109" spans="1:24" ht="16" x14ac:dyDescent="0.2">
      <c r="A109" t="s">
        <v>487</v>
      </c>
      <c r="B109" t="s">
        <v>120</v>
      </c>
      <c r="C109" t="s">
        <v>694</v>
      </c>
      <c r="D109" t="s">
        <v>321</v>
      </c>
      <c r="E109">
        <f>(0.9+0.85+0.89)/3</f>
        <v>0.88</v>
      </c>
      <c r="F109">
        <f>(0.83+0.9+0.81)/3</f>
        <v>0.84666666666666668</v>
      </c>
      <c r="G109">
        <v>123.3</v>
      </c>
      <c r="H109" t="s">
        <v>677</v>
      </c>
      <c r="I109" t="s">
        <v>664</v>
      </c>
      <c r="J109" t="s">
        <v>665</v>
      </c>
      <c r="L109" t="s">
        <v>277</v>
      </c>
      <c r="M109" t="s">
        <v>666</v>
      </c>
      <c r="N109" t="s">
        <v>667</v>
      </c>
      <c r="O109">
        <v>7.87</v>
      </c>
      <c r="P109">
        <v>5.58</v>
      </c>
      <c r="Q109" t="s">
        <v>10</v>
      </c>
      <c r="R109" t="s">
        <v>689</v>
      </c>
      <c r="S109" t="s">
        <v>668</v>
      </c>
      <c r="T109">
        <v>0.41</v>
      </c>
      <c r="U109">
        <v>0.06</v>
      </c>
      <c r="X109" s="7" t="s">
        <v>488</v>
      </c>
    </row>
    <row r="110" spans="1:24" ht="16" x14ac:dyDescent="0.2">
      <c r="A110" t="s">
        <v>489</v>
      </c>
      <c r="B110" t="s">
        <v>120</v>
      </c>
      <c r="C110" t="s">
        <v>694</v>
      </c>
      <c r="D110" t="s">
        <v>321</v>
      </c>
      <c r="E110">
        <f>(1.11+1.11+1.18)/3</f>
        <v>1.1333333333333335</v>
      </c>
      <c r="F110">
        <f>(0.82+0.89+0.86)/3</f>
        <v>0.85666666666666658</v>
      </c>
      <c r="G110">
        <v>147.69999999999999</v>
      </c>
      <c r="H110" t="s">
        <v>677</v>
      </c>
      <c r="I110" t="s">
        <v>664</v>
      </c>
      <c r="J110" t="s">
        <v>665</v>
      </c>
      <c r="L110" t="s">
        <v>360</v>
      </c>
      <c r="M110" t="s">
        <v>666</v>
      </c>
      <c r="N110" t="s">
        <v>667</v>
      </c>
      <c r="O110">
        <v>10.24</v>
      </c>
      <c r="P110">
        <v>8.1999999999999993</v>
      </c>
      <c r="Q110" t="s">
        <v>10</v>
      </c>
      <c r="R110" t="s">
        <v>689</v>
      </c>
      <c r="S110" t="s">
        <v>668</v>
      </c>
      <c r="T110">
        <v>0.34</v>
      </c>
      <c r="U110">
        <v>0.04</v>
      </c>
      <c r="X110" s="7" t="s">
        <v>488</v>
      </c>
    </row>
    <row r="111" spans="1:24" ht="16" x14ac:dyDescent="0.2">
      <c r="A111" t="s">
        <v>490</v>
      </c>
      <c r="B111" t="s">
        <v>120</v>
      </c>
      <c r="C111" t="s">
        <v>694</v>
      </c>
      <c r="D111" t="s">
        <v>321</v>
      </c>
      <c r="E111">
        <f>(1.09+1.11+1.1)/3</f>
        <v>1.1000000000000001</v>
      </c>
      <c r="F111">
        <f>(0.81+0.83+0.86)/3</f>
        <v>0.83333333333333337</v>
      </c>
      <c r="G111">
        <v>146.69999999999999</v>
      </c>
      <c r="H111" t="s">
        <v>677</v>
      </c>
      <c r="I111" t="s">
        <v>664</v>
      </c>
      <c r="J111" t="s">
        <v>665</v>
      </c>
      <c r="L111" t="s">
        <v>277</v>
      </c>
      <c r="M111" t="s">
        <v>666</v>
      </c>
      <c r="N111" t="s">
        <v>667</v>
      </c>
      <c r="O111">
        <v>7.91</v>
      </c>
      <c r="P111">
        <v>6.14</v>
      </c>
      <c r="Q111" t="s">
        <v>10</v>
      </c>
      <c r="R111" t="s">
        <v>689</v>
      </c>
      <c r="S111" t="s">
        <v>668</v>
      </c>
      <c r="T111">
        <v>0.41</v>
      </c>
      <c r="U111">
        <v>0.05</v>
      </c>
      <c r="X111" s="7" t="s">
        <v>488</v>
      </c>
    </row>
    <row r="112" spans="1:24" ht="16" x14ac:dyDescent="0.2">
      <c r="A112" t="s">
        <v>491</v>
      </c>
      <c r="B112" t="s">
        <v>120</v>
      </c>
      <c r="C112" t="s">
        <v>694</v>
      </c>
      <c r="D112" t="s">
        <v>321</v>
      </c>
      <c r="E112">
        <v>0.9</v>
      </c>
      <c r="F112">
        <f>(0.82+0.9+0.81)/3</f>
        <v>0.84333333333333338</v>
      </c>
      <c r="G112">
        <v>202</v>
      </c>
      <c r="H112" t="s">
        <v>326</v>
      </c>
      <c r="I112" t="s">
        <v>664</v>
      </c>
      <c r="J112" t="s">
        <v>665</v>
      </c>
      <c r="L112" t="s">
        <v>277</v>
      </c>
      <c r="M112" t="s">
        <v>666</v>
      </c>
      <c r="N112" t="s">
        <v>667</v>
      </c>
      <c r="O112">
        <v>8.06</v>
      </c>
      <c r="P112">
        <v>6.76</v>
      </c>
      <c r="Q112" t="s">
        <v>10</v>
      </c>
      <c r="R112" t="s">
        <v>689</v>
      </c>
      <c r="S112" t="s">
        <v>668</v>
      </c>
      <c r="T112">
        <v>0.42</v>
      </c>
      <c r="U112">
        <v>0.04</v>
      </c>
    </row>
    <row r="113" spans="1:24" ht="16" x14ac:dyDescent="0.2">
      <c r="A113" t="s">
        <v>492</v>
      </c>
      <c r="B113" t="s">
        <v>120</v>
      </c>
      <c r="C113" t="s">
        <v>694</v>
      </c>
      <c r="D113" t="s">
        <v>384</v>
      </c>
      <c r="E113">
        <f>(0.89+0.86+0.97)/3</f>
        <v>0.90666666666666662</v>
      </c>
      <c r="F113">
        <f>(0.81+0.73+0.78)/3</f>
        <v>0.77333333333333343</v>
      </c>
      <c r="G113">
        <v>241.7</v>
      </c>
      <c r="H113" t="s">
        <v>326</v>
      </c>
      <c r="I113" t="s">
        <v>664</v>
      </c>
      <c r="J113" t="s">
        <v>665</v>
      </c>
      <c r="L113" t="s">
        <v>277</v>
      </c>
      <c r="M113" t="s">
        <v>666</v>
      </c>
      <c r="N113" t="s">
        <v>667</v>
      </c>
      <c r="O113">
        <v>9.58</v>
      </c>
      <c r="P113">
        <v>7.32</v>
      </c>
      <c r="Q113" t="s">
        <v>10</v>
      </c>
      <c r="R113" t="s">
        <v>689</v>
      </c>
      <c r="S113" t="s">
        <v>668</v>
      </c>
      <c r="T113">
        <v>0.35</v>
      </c>
      <c r="U113">
        <v>0.05</v>
      </c>
    </row>
    <row r="114" spans="1:24" ht="16" x14ac:dyDescent="0.2">
      <c r="A114" t="s">
        <v>493</v>
      </c>
      <c r="B114" t="s">
        <v>120</v>
      </c>
      <c r="C114" t="s">
        <v>694</v>
      </c>
      <c r="D114" t="s">
        <v>321</v>
      </c>
      <c r="E114">
        <f>(0.8+0.82+0.79)/3</f>
        <v>0.80333333333333334</v>
      </c>
      <c r="F114">
        <f>(0.75+0.7+0.79)/3</f>
        <v>0.7466666666666667</v>
      </c>
      <c r="G114">
        <v>223.7</v>
      </c>
      <c r="H114" t="s">
        <v>326</v>
      </c>
      <c r="I114" t="s">
        <v>664</v>
      </c>
      <c r="J114" t="s">
        <v>665</v>
      </c>
      <c r="L114" t="s">
        <v>360</v>
      </c>
      <c r="M114" t="s">
        <v>666</v>
      </c>
      <c r="N114" t="s">
        <v>667</v>
      </c>
      <c r="O114">
        <v>9.41</v>
      </c>
      <c r="P114">
        <v>6.77</v>
      </c>
      <c r="Q114" t="s">
        <v>10</v>
      </c>
      <c r="R114" t="s">
        <v>689</v>
      </c>
      <c r="S114" t="s">
        <v>668</v>
      </c>
      <c r="T114">
        <v>0.41</v>
      </c>
      <c r="U114">
        <v>0.06</v>
      </c>
    </row>
    <row r="115" spans="1:24" ht="16" x14ac:dyDescent="0.2">
      <c r="A115" t="s">
        <v>494</v>
      </c>
      <c r="B115" t="s">
        <v>123</v>
      </c>
      <c r="C115" t="s">
        <v>694</v>
      </c>
      <c r="D115" t="s">
        <v>384</v>
      </c>
      <c r="E115">
        <f>(1.01+0.98+0.98)/3</f>
        <v>0.98999999999999988</v>
      </c>
      <c r="F115">
        <f>(0.82+0.9+0.86)/3</f>
        <v>0.86</v>
      </c>
      <c r="G115">
        <v>142.69999999999999</v>
      </c>
      <c r="H115" t="s">
        <v>677</v>
      </c>
      <c r="I115" t="s">
        <v>681</v>
      </c>
      <c r="J115" t="s">
        <v>687</v>
      </c>
      <c r="L115" t="s">
        <v>269</v>
      </c>
      <c r="M115" t="s">
        <v>672</v>
      </c>
      <c r="N115" t="s">
        <v>667</v>
      </c>
      <c r="O115">
        <v>12.13</v>
      </c>
      <c r="P115">
        <v>9.6999999999999993</v>
      </c>
      <c r="Q115" t="s">
        <v>18</v>
      </c>
      <c r="R115" t="s">
        <v>689</v>
      </c>
      <c r="S115">
        <v>1</v>
      </c>
      <c r="T115">
        <v>0.22</v>
      </c>
      <c r="U115">
        <v>0.08</v>
      </c>
    </row>
    <row r="116" spans="1:24" ht="16" x14ac:dyDescent="0.2">
      <c r="A116" t="s">
        <v>495</v>
      </c>
      <c r="B116" t="s">
        <v>123</v>
      </c>
      <c r="C116" t="s">
        <v>694</v>
      </c>
      <c r="D116" t="s">
        <v>384</v>
      </c>
      <c r="E116">
        <f>(1.42+1.58+1.63)/3</f>
        <v>1.5433333333333332</v>
      </c>
      <c r="F116">
        <f>(1.02+0.93+0.96)/3</f>
        <v>0.97000000000000008</v>
      </c>
      <c r="G116">
        <v>190.3</v>
      </c>
      <c r="H116" t="s">
        <v>348</v>
      </c>
      <c r="I116" t="s">
        <v>681</v>
      </c>
      <c r="J116" t="s">
        <v>682</v>
      </c>
      <c r="L116" t="s">
        <v>269</v>
      </c>
      <c r="M116" t="s">
        <v>672</v>
      </c>
      <c r="N116" t="s">
        <v>667</v>
      </c>
      <c r="O116">
        <v>17.690000000000001</v>
      </c>
      <c r="P116">
        <v>14.84</v>
      </c>
      <c r="Q116" t="s">
        <v>18</v>
      </c>
      <c r="R116" t="s">
        <v>692</v>
      </c>
      <c r="S116">
        <v>2</v>
      </c>
      <c r="T116">
        <v>0.39</v>
      </c>
      <c r="U116">
        <v>7.0000000000000007E-2</v>
      </c>
    </row>
    <row r="117" spans="1:24" ht="16" x14ac:dyDescent="0.2">
      <c r="A117" t="s">
        <v>496</v>
      </c>
      <c r="B117" t="s">
        <v>123</v>
      </c>
      <c r="C117" t="s">
        <v>694</v>
      </c>
      <c r="D117" t="s">
        <v>384</v>
      </c>
      <c r="E117">
        <f>(1.25+1.2+1.12)/3</f>
        <v>1.1900000000000002</v>
      </c>
      <c r="F117">
        <f>(0.98+0.82+1.01)/3</f>
        <v>0.93666666666666654</v>
      </c>
      <c r="G117">
        <v>194.3</v>
      </c>
      <c r="H117" t="s">
        <v>348</v>
      </c>
      <c r="I117" t="s">
        <v>664</v>
      </c>
      <c r="J117" t="s">
        <v>687</v>
      </c>
      <c r="L117" t="s">
        <v>269</v>
      </c>
      <c r="M117" t="s">
        <v>672</v>
      </c>
      <c r="N117" t="s">
        <v>667</v>
      </c>
      <c r="O117">
        <v>12.67</v>
      </c>
      <c r="P117">
        <v>10.8</v>
      </c>
      <c r="Q117" t="s">
        <v>18</v>
      </c>
      <c r="R117" t="s">
        <v>692</v>
      </c>
      <c r="S117" t="s">
        <v>668</v>
      </c>
      <c r="T117">
        <v>0.65</v>
      </c>
      <c r="U117">
        <v>0.08</v>
      </c>
    </row>
    <row r="118" spans="1:24" ht="16" x14ac:dyDescent="0.2">
      <c r="A118" t="s">
        <v>497</v>
      </c>
      <c r="B118" t="s">
        <v>123</v>
      </c>
      <c r="C118" t="s">
        <v>694</v>
      </c>
      <c r="D118" t="s">
        <v>384</v>
      </c>
      <c r="E118">
        <f>(1.4+1.41+1.33)/3</f>
        <v>1.38</v>
      </c>
      <c r="F118">
        <f>(1.03+1.08+1.09)/3</f>
        <v>1.0666666666666667</v>
      </c>
      <c r="G118">
        <v>207</v>
      </c>
      <c r="H118" t="s">
        <v>326</v>
      </c>
      <c r="I118" t="s">
        <v>664</v>
      </c>
      <c r="J118" t="s">
        <v>687</v>
      </c>
      <c r="L118" t="s">
        <v>269</v>
      </c>
      <c r="M118" t="s">
        <v>672</v>
      </c>
      <c r="N118" t="s">
        <v>667</v>
      </c>
      <c r="O118">
        <v>13.72</v>
      </c>
      <c r="P118">
        <v>11.93</v>
      </c>
      <c r="Q118" t="s">
        <v>18</v>
      </c>
      <c r="R118" t="s">
        <v>691</v>
      </c>
      <c r="S118">
        <v>3</v>
      </c>
      <c r="T118">
        <v>0.72</v>
      </c>
      <c r="U118">
        <v>0.08</v>
      </c>
    </row>
    <row r="119" spans="1:24" ht="16" x14ac:dyDescent="0.2">
      <c r="A119" t="s">
        <v>499</v>
      </c>
      <c r="B119" t="s">
        <v>127</v>
      </c>
      <c r="C119" t="s">
        <v>125</v>
      </c>
      <c r="D119" t="s">
        <v>384</v>
      </c>
      <c r="E119">
        <f>(0.92+0.84+0.87)/3</f>
        <v>0.87666666666666659</v>
      </c>
      <c r="F119">
        <f>(0.77+0.82+0.79)/3</f>
        <v>0.79333333333333333</v>
      </c>
      <c r="G119">
        <v>171</v>
      </c>
      <c r="H119" t="s">
        <v>295</v>
      </c>
      <c r="I119" t="s">
        <v>681</v>
      </c>
      <c r="J119" t="s">
        <v>687</v>
      </c>
      <c r="L119" t="s">
        <v>269</v>
      </c>
      <c r="M119" t="s">
        <v>672</v>
      </c>
      <c r="N119" t="s">
        <v>667</v>
      </c>
      <c r="O119">
        <v>6.67</v>
      </c>
      <c r="P119">
        <v>5.32</v>
      </c>
      <c r="Q119" t="s">
        <v>18</v>
      </c>
      <c r="R119" t="s">
        <v>692</v>
      </c>
      <c r="S119">
        <v>3</v>
      </c>
      <c r="T119">
        <v>0.22</v>
      </c>
      <c r="U119">
        <v>0.04</v>
      </c>
    </row>
    <row r="120" spans="1:24" ht="16" x14ac:dyDescent="0.2">
      <c r="A120" t="s">
        <v>500</v>
      </c>
      <c r="B120" t="s">
        <v>129</v>
      </c>
      <c r="C120" t="s">
        <v>14</v>
      </c>
      <c r="D120" t="s">
        <v>384</v>
      </c>
      <c r="E120">
        <f>(1.23+1.39+1.3)/3</f>
        <v>1.3066666666666666</v>
      </c>
      <c r="F120">
        <f>(0.93+1.03+0.82)/3</f>
        <v>0.92666666666666664</v>
      </c>
      <c r="G120">
        <v>225</v>
      </c>
      <c r="H120" t="s">
        <v>326</v>
      </c>
      <c r="I120" t="s">
        <v>664</v>
      </c>
      <c r="J120" t="s">
        <v>687</v>
      </c>
      <c r="L120" t="s">
        <v>360</v>
      </c>
      <c r="M120" t="s">
        <v>672</v>
      </c>
      <c r="N120" t="s">
        <v>667</v>
      </c>
      <c r="O120">
        <v>11.89</v>
      </c>
      <c r="P120">
        <v>10.09</v>
      </c>
      <c r="Q120" t="s">
        <v>10</v>
      </c>
      <c r="R120" t="s">
        <v>689</v>
      </c>
      <c r="S120">
        <v>3</v>
      </c>
      <c r="T120">
        <v>0.5</v>
      </c>
      <c r="U120">
        <v>0.05</v>
      </c>
    </row>
    <row r="121" spans="1:24" ht="16" x14ac:dyDescent="0.2">
      <c r="A121" t="s">
        <v>501</v>
      </c>
      <c r="B121" t="s">
        <v>129</v>
      </c>
      <c r="C121" t="s">
        <v>14</v>
      </c>
      <c r="D121" t="s">
        <v>384</v>
      </c>
      <c r="E121">
        <v>1</v>
      </c>
      <c r="F121">
        <f>(0.81+0.88+0.83)/3</f>
        <v>0.84</v>
      </c>
      <c r="G121">
        <v>231</v>
      </c>
      <c r="H121" t="s">
        <v>326</v>
      </c>
      <c r="I121" t="s">
        <v>664</v>
      </c>
      <c r="J121" t="s">
        <v>687</v>
      </c>
      <c r="L121" t="s">
        <v>269</v>
      </c>
      <c r="M121" t="s">
        <v>672</v>
      </c>
      <c r="N121" t="s">
        <v>667</v>
      </c>
      <c r="O121">
        <v>12.56</v>
      </c>
      <c r="P121">
        <v>10.61</v>
      </c>
      <c r="Q121" t="s">
        <v>10</v>
      </c>
      <c r="R121" t="s">
        <v>689</v>
      </c>
      <c r="S121">
        <v>1</v>
      </c>
      <c r="T121">
        <v>0.63</v>
      </c>
      <c r="U121">
        <v>7.0000000000000007E-2</v>
      </c>
    </row>
    <row r="122" spans="1:24" ht="16" x14ac:dyDescent="0.2">
      <c r="A122" t="s">
        <v>502</v>
      </c>
      <c r="B122" t="s">
        <v>129</v>
      </c>
      <c r="C122" t="s">
        <v>14</v>
      </c>
      <c r="D122" t="s">
        <v>321</v>
      </c>
      <c r="E122">
        <f>(1.14+1.12+1.17)/3</f>
        <v>1.1433333333333333</v>
      </c>
      <c r="F122">
        <f>(0.78+0.84+0.86)/3</f>
        <v>0.82666666666666666</v>
      </c>
      <c r="G122">
        <v>215.7</v>
      </c>
      <c r="H122" t="s">
        <v>326</v>
      </c>
      <c r="I122" t="s">
        <v>664</v>
      </c>
      <c r="J122" t="s">
        <v>665</v>
      </c>
      <c r="L122" t="s">
        <v>360</v>
      </c>
      <c r="M122" t="s">
        <v>672</v>
      </c>
      <c r="N122" t="s">
        <v>667</v>
      </c>
      <c r="O122">
        <v>7.94</v>
      </c>
      <c r="P122">
        <v>6.33</v>
      </c>
      <c r="Q122" t="s">
        <v>10</v>
      </c>
      <c r="R122" t="s">
        <v>689</v>
      </c>
      <c r="S122" t="s">
        <v>668</v>
      </c>
      <c r="T122">
        <v>0.5</v>
      </c>
      <c r="U122">
        <v>0.04</v>
      </c>
    </row>
    <row r="123" spans="1:24" ht="16" x14ac:dyDescent="0.2">
      <c r="A123" t="s">
        <v>503</v>
      </c>
      <c r="B123" t="s">
        <v>132</v>
      </c>
      <c r="C123" t="s">
        <v>504</v>
      </c>
      <c r="D123" t="s">
        <v>384</v>
      </c>
      <c r="E123">
        <f>(1.32+1.29+1.22)/3</f>
        <v>1.2766666666666666</v>
      </c>
      <c r="F123">
        <f>(0.86+0.79+0.82)/3</f>
        <v>0.82333333333333325</v>
      </c>
      <c r="G123">
        <v>221</v>
      </c>
      <c r="H123" t="s">
        <v>326</v>
      </c>
      <c r="I123" t="s">
        <v>664</v>
      </c>
      <c r="J123" t="s">
        <v>665</v>
      </c>
      <c r="L123" t="s">
        <v>360</v>
      </c>
      <c r="M123" t="s">
        <v>672</v>
      </c>
      <c r="N123" t="s">
        <v>667</v>
      </c>
      <c r="O123">
        <v>10.67</v>
      </c>
      <c r="P123">
        <v>8.36</v>
      </c>
      <c r="Q123" t="s">
        <v>10</v>
      </c>
      <c r="R123" t="s">
        <v>689</v>
      </c>
      <c r="S123">
        <v>1</v>
      </c>
      <c r="T123">
        <v>0.52</v>
      </c>
      <c r="U123">
        <v>0.06</v>
      </c>
    </row>
    <row r="124" spans="1:24" ht="16" x14ac:dyDescent="0.2">
      <c r="A124" t="s">
        <v>505</v>
      </c>
      <c r="B124" t="s">
        <v>132</v>
      </c>
      <c r="C124" t="s">
        <v>504</v>
      </c>
      <c r="D124" t="s">
        <v>384</v>
      </c>
      <c r="E124">
        <f>(1.13+1.18+1.02)/3</f>
        <v>1.1099999999999999</v>
      </c>
      <c r="F124">
        <f>(0.75+0.78+0.84)/3</f>
        <v>0.79</v>
      </c>
      <c r="G124">
        <v>175.7</v>
      </c>
      <c r="H124" t="s">
        <v>295</v>
      </c>
      <c r="I124" t="s">
        <v>664</v>
      </c>
      <c r="J124" t="s">
        <v>665</v>
      </c>
      <c r="L124" t="s">
        <v>360</v>
      </c>
      <c r="M124" t="s">
        <v>672</v>
      </c>
      <c r="N124" t="s">
        <v>667</v>
      </c>
      <c r="O124">
        <v>10.39</v>
      </c>
      <c r="P124">
        <v>9.1</v>
      </c>
      <c r="Q124" t="s">
        <v>10</v>
      </c>
      <c r="R124" t="s">
        <v>689</v>
      </c>
      <c r="S124" t="s">
        <v>668</v>
      </c>
      <c r="T124">
        <v>0.51</v>
      </c>
      <c r="U124">
        <v>0.06</v>
      </c>
    </row>
    <row r="125" spans="1:24" ht="16" x14ac:dyDescent="0.2">
      <c r="A125" t="s">
        <v>506</v>
      </c>
      <c r="B125" t="s">
        <v>132</v>
      </c>
      <c r="C125" t="s">
        <v>504</v>
      </c>
      <c r="D125" t="s">
        <v>384</v>
      </c>
      <c r="E125">
        <f>(0.81+0.85+1.01)/3</f>
        <v>0.89</v>
      </c>
      <c r="F125">
        <f>(0.79+0.82+0.8)/3</f>
        <v>0.80333333333333334</v>
      </c>
      <c r="G125">
        <v>205</v>
      </c>
      <c r="H125" t="s">
        <v>326</v>
      </c>
      <c r="I125" t="s">
        <v>664</v>
      </c>
      <c r="J125" t="s">
        <v>665</v>
      </c>
      <c r="L125" t="s">
        <v>269</v>
      </c>
      <c r="M125" t="s">
        <v>672</v>
      </c>
      <c r="N125" t="s">
        <v>667</v>
      </c>
      <c r="O125">
        <v>10.11</v>
      </c>
      <c r="P125">
        <v>8.34</v>
      </c>
      <c r="Q125" t="s">
        <v>10</v>
      </c>
      <c r="R125" t="s">
        <v>689</v>
      </c>
      <c r="S125" t="s">
        <v>668</v>
      </c>
      <c r="T125">
        <v>0.31</v>
      </c>
      <c r="U125">
        <v>0.06</v>
      </c>
    </row>
    <row r="126" spans="1:24" ht="16" x14ac:dyDescent="0.2">
      <c r="A126" t="s">
        <v>507</v>
      </c>
      <c r="B126" t="s">
        <v>136</v>
      </c>
      <c r="C126" t="s">
        <v>508</v>
      </c>
      <c r="D126" t="s">
        <v>321</v>
      </c>
      <c r="E126">
        <f>(1.46+1.52+1.54)/3</f>
        <v>1.5066666666666666</v>
      </c>
      <c r="F126">
        <f>(1.04+1.07+1.02)/3</f>
        <v>1.0433333333333334</v>
      </c>
      <c r="G126">
        <v>163.30000000000001</v>
      </c>
      <c r="H126" t="s">
        <v>677</v>
      </c>
      <c r="I126" t="s">
        <v>664</v>
      </c>
      <c r="J126" t="s">
        <v>665</v>
      </c>
      <c r="L126" t="s">
        <v>269</v>
      </c>
      <c r="M126" t="s">
        <v>672</v>
      </c>
      <c r="N126" t="s">
        <v>667</v>
      </c>
      <c r="O126">
        <v>14.72</v>
      </c>
      <c r="P126">
        <v>11.57</v>
      </c>
      <c r="Q126" t="s">
        <v>10</v>
      </c>
      <c r="R126" t="s">
        <v>689</v>
      </c>
      <c r="S126" t="s">
        <v>668</v>
      </c>
      <c r="T126">
        <v>0.52</v>
      </c>
      <c r="U126">
        <v>7.0000000000000007E-2</v>
      </c>
      <c r="X126" s="5" t="s">
        <v>509</v>
      </c>
    </row>
    <row r="127" spans="1:24" ht="16" x14ac:dyDescent="0.2">
      <c r="A127" t="s">
        <v>510</v>
      </c>
      <c r="B127" t="s">
        <v>136</v>
      </c>
      <c r="C127" t="s">
        <v>508</v>
      </c>
      <c r="D127" t="s">
        <v>384</v>
      </c>
      <c r="E127">
        <f>(1.4+1.51+1.39)/3</f>
        <v>1.4333333333333333</v>
      </c>
      <c r="F127">
        <f>(0.75+0.96+0.83)/3</f>
        <v>0.84666666666666668</v>
      </c>
      <c r="G127">
        <v>184.3</v>
      </c>
      <c r="H127" t="s">
        <v>295</v>
      </c>
      <c r="I127" t="s">
        <v>664</v>
      </c>
      <c r="J127" t="s">
        <v>687</v>
      </c>
      <c r="L127" t="s">
        <v>269</v>
      </c>
      <c r="M127" t="s">
        <v>672</v>
      </c>
      <c r="N127" t="s">
        <v>667</v>
      </c>
      <c r="O127">
        <v>13.75</v>
      </c>
      <c r="P127">
        <v>10.92</v>
      </c>
      <c r="Q127" t="s">
        <v>10</v>
      </c>
      <c r="R127" t="s">
        <v>689</v>
      </c>
      <c r="S127">
        <v>1</v>
      </c>
      <c r="T127">
        <v>0.42</v>
      </c>
      <c r="U127">
        <v>0.08</v>
      </c>
      <c r="X127" s="5" t="s">
        <v>509</v>
      </c>
    </row>
    <row r="128" spans="1:24" ht="16" x14ac:dyDescent="0.2">
      <c r="A128" t="s">
        <v>511</v>
      </c>
      <c r="B128" t="s">
        <v>136</v>
      </c>
      <c r="C128" t="s">
        <v>508</v>
      </c>
      <c r="D128" t="s">
        <v>384</v>
      </c>
      <c r="E128">
        <f>(1.2+1.3+1.31)/3</f>
        <v>1.27</v>
      </c>
      <c r="F128">
        <f>(1.11+1.18+1.09)/3</f>
        <v>1.1266666666666667</v>
      </c>
      <c r="G128">
        <v>155.30000000000001</v>
      </c>
      <c r="H128" t="s">
        <v>677</v>
      </c>
      <c r="I128" t="s">
        <v>664</v>
      </c>
      <c r="J128" t="s">
        <v>665</v>
      </c>
      <c r="L128" t="s">
        <v>360</v>
      </c>
      <c r="M128" t="s">
        <v>666</v>
      </c>
      <c r="N128" t="s">
        <v>667</v>
      </c>
      <c r="O128">
        <v>14.09</v>
      </c>
      <c r="P128">
        <v>11.06</v>
      </c>
      <c r="Q128" t="s">
        <v>10</v>
      </c>
      <c r="R128" t="s">
        <v>689</v>
      </c>
      <c r="S128" t="s">
        <v>668</v>
      </c>
      <c r="T128">
        <v>0.49</v>
      </c>
      <c r="U128">
        <v>0.08</v>
      </c>
      <c r="X128" s="5" t="s">
        <v>509</v>
      </c>
    </row>
    <row r="129" spans="1:24" ht="16" x14ac:dyDescent="0.2">
      <c r="A129" t="s">
        <v>512</v>
      </c>
      <c r="B129" t="s">
        <v>139</v>
      </c>
      <c r="C129" t="s">
        <v>513</v>
      </c>
      <c r="D129" t="s">
        <v>384</v>
      </c>
      <c r="E129">
        <f>(1.27+1.58+1.43)/3</f>
        <v>1.4266666666666667</v>
      </c>
      <c r="F129">
        <f>(0.74+0.92+0.9)/3</f>
        <v>0.85333333333333339</v>
      </c>
      <c r="G129">
        <v>180.7</v>
      </c>
      <c r="H129" t="s">
        <v>295</v>
      </c>
      <c r="I129" t="s">
        <v>664</v>
      </c>
      <c r="J129" t="s">
        <v>687</v>
      </c>
      <c r="L129" t="s">
        <v>360</v>
      </c>
      <c r="M129" t="s">
        <v>672</v>
      </c>
      <c r="N129" t="s">
        <v>667</v>
      </c>
      <c r="O129">
        <v>12.76</v>
      </c>
      <c r="P129">
        <v>9.5</v>
      </c>
      <c r="Q129" t="s">
        <v>10</v>
      </c>
      <c r="R129" t="s">
        <v>689</v>
      </c>
      <c r="S129">
        <v>1</v>
      </c>
      <c r="T129">
        <v>0.44</v>
      </c>
      <c r="U129">
        <v>0.06</v>
      </c>
      <c r="X129" s="5" t="s">
        <v>509</v>
      </c>
    </row>
    <row r="130" spans="1:24" ht="16" x14ac:dyDescent="0.2">
      <c r="A130" t="s">
        <v>514</v>
      </c>
      <c r="B130" t="s">
        <v>139</v>
      </c>
      <c r="C130" t="s">
        <v>513</v>
      </c>
      <c r="D130" t="s">
        <v>384</v>
      </c>
      <c r="E130">
        <f>(1.7+1.52+1.68)/3</f>
        <v>1.6333333333333331</v>
      </c>
      <c r="F130">
        <f>(0.82+0.86+0.81)/3</f>
        <v>0.83000000000000007</v>
      </c>
      <c r="G130">
        <v>215</v>
      </c>
      <c r="H130" t="s">
        <v>326</v>
      </c>
      <c r="I130" t="s">
        <v>664</v>
      </c>
      <c r="J130" t="s">
        <v>665</v>
      </c>
      <c r="L130" t="s">
        <v>360</v>
      </c>
      <c r="M130" t="s">
        <v>672</v>
      </c>
      <c r="N130" t="s">
        <v>667</v>
      </c>
      <c r="O130">
        <v>10.69</v>
      </c>
      <c r="P130">
        <v>8.0399999999999991</v>
      </c>
      <c r="Q130" t="s">
        <v>10</v>
      </c>
      <c r="R130" t="s">
        <v>689</v>
      </c>
      <c r="S130" t="s">
        <v>668</v>
      </c>
      <c r="T130">
        <v>0.42</v>
      </c>
      <c r="U130">
        <v>0.05</v>
      </c>
      <c r="X130" s="5" t="s">
        <v>509</v>
      </c>
    </row>
    <row r="131" spans="1:24" ht="16" x14ac:dyDescent="0.2">
      <c r="A131" t="s">
        <v>515</v>
      </c>
      <c r="B131" t="s">
        <v>139</v>
      </c>
      <c r="C131" t="s">
        <v>513</v>
      </c>
      <c r="D131" t="s">
        <v>384</v>
      </c>
      <c r="E131">
        <v>1.31</v>
      </c>
      <c r="F131">
        <f>(0.83+0.84+0.88)/3</f>
        <v>0.85</v>
      </c>
      <c r="G131">
        <v>156</v>
      </c>
      <c r="H131" t="s">
        <v>677</v>
      </c>
      <c r="I131" t="s">
        <v>664</v>
      </c>
      <c r="J131" t="s">
        <v>687</v>
      </c>
      <c r="L131" t="s">
        <v>360</v>
      </c>
      <c r="M131" t="s">
        <v>672</v>
      </c>
      <c r="N131" t="s">
        <v>667</v>
      </c>
      <c r="O131">
        <v>11.36</v>
      </c>
      <c r="P131">
        <v>8.36</v>
      </c>
      <c r="Q131" t="s">
        <v>10</v>
      </c>
      <c r="R131" t="s">
        <v>689</v>
      </c>
      <c r="S131" t="s">
        <v>668</v>
      </c>
      <c r="T131">
        <v>0.54</v>
      </c>
      <c r="U131">
        <v>0.06</v>
      </c>
      <c r="X131" s="5" t="s">
        <v>509</v>
      </c>
    </row>
    <row r="132" spans="1:24" ht="16" x14ac:dyDescent="0.2">
      <c r="A132" t="s">
        <v>516</v>
      </c>
      <c r="B132" t="s">
        <v>142</v>
      </c>
      <c r="C132" t="s">
        <v>517</v>
      </c>
      <c r="D132" t="s">
        <v>384</v>
      </c>
      <c r="E132">
        <f>(1.1+1.09+1.11)/3</f>
        <v>1.1000000000000003</v>
      </c>
      <c r="F132">
        <f>(0.87+0.79+0.89)/3</f>
        <v>0.85000000000000009</v>
      </c>
      <c r="G132">
        <v>243.3</v>
      </c>
      <c r="H132" t="s">
        <v>326</v>
      </c>
      <c r="I132" t="s">
        <v>664</v>
      </c>
      <c r="J132" t="s">
        <v>665</v>
      </c>
      <c r="L132" t="s">
        <v>360</v>
      </c>
      <c r="M132" t="s">
        <v>672</v>
      </c>
      <c r="N132" t="s">
        <v>667</v>
      </c>
      <c r="O132">
        <v>11.11</v>
      </c>
      <c r="P132">
        <v>9.3699999999999992</v>
      </c>
      <c r="Q132" t="s">
        <v>10</v>
      </c>
      <c r="R132" t="s">
        <v>689</v>
      </c>
      <c r="S132" t="s">
        <v>668</v>
      </c>
      <c r="T132">
        <v>0.43</v>
      </c>
      <c r="U132">
        <v>0.06</v>
      </c>
    </row>
    <row r="133" spans="1:24" ht="16" x14ac:dyDescent="0.2">
      <c r="A133" t="s">
        <v>518</v>
      </c>
      <c r="B133" t="s">
        <v>142</v>
      </c>
      <c r="C133" t="s">
        <v>517</v>
      </c>
      <c r="D133" t="s">
        <v>384</v>
      </c>
      <c r="E133">
        <f>(1.16+1.33+1.38)/3</f>
        <v>1.29</v>
      </c>
      <c r="F133">
        <f>(0.94+0.9+0.94)/3</f>
        <v>0.92666666666666664</v>
      </c>
      <c r="G133">
        <v>213</v>
      </c>
      <c r="H133" t="s">
        <v>326</v>
      </c>
      <c r="I133" t="s">
        <v>664</v>
      </c>
      <c r="J133" t="s">
        <v>665</v>
      </c>
      <c r="L133" t="s">
        <v>269</v>
      </c>
      <c r="M133" t="s">
        <v>672</v>
      </c>
      <c r="N133" t="s">
        <v>667</v>
      </c>
      <c r="O133">
        <v>12.59</v>
      </c>
      <c r="P133">
        <v>10.29</v>
      </c>
      <c r="Q133" t="s">
        <v>10</v>
      </c>
      <c r="R133" t="s">
        <v>689</v>
      </c>
      <c r="S133" t="s">
        <v>668</v>
      </c>
      <c r="T133">
        <v>0.15</v>
      </c>
      <c r="U133">
        <v>0.03</v>
      </c>
    </row>
    <row r="134" spans="1:24" ht="16" x14ac:dyDescent="0.2">
      <c r="A134" t="s">
        <v>519</v>
      </c>
      <c r="B134" t="s">
        <v>142</v>
      </c>
      <c r="C134" t="s">
        <v>517</v>
      </c>
      <c r="D134" t="s">
        <v>384</v>
      </c>
      <c r="E134">
        <v>1.2</v>
      </c>
      <c r="F134">
        <v>1.06</v>
      </c>
      <c r="G134">
        <v>215</v>
      </c>
      <c r="H134" t="s">
        <v>326</v>
      </c>
      <c r="I134" t="s">
        <v>664</v>
      </c>
      <c r="J134" t="s">
        <v>665</v>
      </c>
      <c r="L134" t="s">
        <v>360</v>
      </c>
      <c r="M134" t="s">
        <v>666</v>
      </c>
      <c r="N134" t="s">
        <v>667</v>
      </c>
      <c r="O134">
        <v>13.21</v>
      </c>
      <c r="P134">
        <v>11.15</v>
      </c>
      <c r="Q134" t="s">
        <v>10</v>
      </c>
      <c r="R134" t="s">
        <v>689</v>
      </c>
      <c r="S134">
        <v>2</v>
      </c>
      <c r="T134">
        <v>0.28999999999999998</v>
      </c>
      <c r="U134">
        <v>7.0000000000000007E-2</v>
      </c>
    </row>
    <row r="135" spans="1:24" ht="16" x14ac:dyDescent="0.2">
      <c r="A135" t="s">
        <v>520</v>
      </c>
      <c r="B135" t="s">
        <v>145</v>
      </c>
      <c r="C135" t="s">
        <v>521</v>
      </c>
      <c r="D135" t="s">
        <v>384</v>
      </c>
      <c r="E135">
        <v>2.14</v>
      </c>
      <c r="F135">
        <f>(0.96+1.01+0.95)/3</f>
        <v>0.97333333333333327</v>
      </c>
      <c r="G135">
        <v>139.69999999999999</v>
      </c>
      <c r="H135" t="s">
        <v>677</v>
      </c>
      <c r="I135" t="s">
        <v>681</v>
      </c>
      <c r="J135" t="s">
        <v>687</v>
      </c>
      <c r="L135" t="s">
        <v>269</v>
      </c>
      <c r="M135" t="s">
        <v>666</v>
      </c>
      <c r="N135" t="s">
        <v>667</v>
      </c>
      <c r="O135">
        <v>13.06</v>
      </c>
      <c r="P135">
        <v>11.15</v>
      </c>
      <c r="Q135" t="s">
        <v>28</v>
      </c>
      <c r="R135" t="s">
        <v>692</v>
      </c>
      <c r="S135">
        <v>3</v>
      </c>
      <c r="T135">
        <v>0.56999999999999995</v>
      </c>
      <c r="U135">
        <v>0.09</v>
      </c>
    </row>
    <row r="136" spans="1:24" ht="16" x14ac:dyDescent="0.2">
      <c r="A136" t="s">
        <v>522</v>
      </c>
      <c r="B136" t="s">
        <v>145</v>
      </c>
      <c r="C136" t="s">
        <v>521</v>
      </c>
      <c r="D136" t="s">
        <v>384</v>
      </c>
      <c r="E136">
        <f>(2.93+2.79+2.68)/3</f>
        <v>2.8000000000000003</v>
      </c>
      <c r="F136">
        <f>(1.09+1.07+1.04)/3</f>
        <v>1.0666666666666667</v>
      </c>
      <c r="G136">
        <v>81</v>
      </c>
      <c r="H136" t="s">
        <v>677</v>
      </c>
      <c r="I136" t="s">
        <v>606</v>
      </c>
      <c r="J136" t="s">
        <v>687</v>
      </c>
      <c r="L136" t="s">
        <v>269</v>
      </c>
      <c r="M136" t="s">
        <v>666</v>
      </c>
      <c r="N136" t="s">
        <v>667</v>
      </c>
      <c r="O136">
        <v>14.76</v>
      </c>
      <c r="P136">
        <v>12.99</v>
      </c>
      <c r="Q136" t="s">
        <v>28</v>
      </c>
      <c r="R136" t="s">
        <v>692</v>
      </c>
      <c r="S136">
        <v>3</v>
      </c>
      <c r="T136">
        <v>0.6</v>
      </c>
      <c r="U136">
        <v>0.06</v>
      </c>
      <c r="X136" s="5" t="s">
        <v>523</v>
      </c>
    </row>
    <row r="137" spans="1:24" ht="16" x14ac:dyDescent="0.2">
      <c r="A137" t="s">
        <v>524</v>
      </c>
      <c r="B137" t="s">
        <v>145</v>
      </c>
      <c r="C137" t="s">
        <v>521</v>
      </c>
      <c r="D137" t="s">
        <v>384</v>
      </c>
      <c r="E137">
        <f>(2.21+2.19+2.48)/3</f>
        <v>2.2933333333333334</v>
      </c>
      <c r="F137">
        <f>(1+0.96+0.91)/3</f>
        <v>0.95666666666666667</v>
      </c>
      <c r="G137">
        <v>127.3</v>
      </c>
      <c r="H137" t="s">
        <v>677</v>
      </c>
      <c r="I137" t="s">
        <v>606</v>
      </c>
      <c r="J137" t="s">
        <v>687</v>
      </c>
      <c r="L137" t="s">
        <v>269</v>
      </c>
      <c r="M137" t="s">
        <v>666</v>
      </c>
      <c r="N137" t="s">
        <v>667</v>
      </c>
      <c r="O137">
        <v>12.7</v>
      </c>
      <c r="P137">
        <v>10.66</v>
      </c>
      <c r="Q137" t="s">
        <v>28</v>
      </c>
      <c r="R137" t="s">
        <v>689</v>
      </c>
      <c r="S137">
        <v>3</v>
      </c>
      <c r="T137">
        <v>0.34</v>
      </c>
      <c r="U137">
        <v>0.05</v>
      </c>
      <c r="X137" s="5" t="s">
        <v>523</v>
      </c>
    </row>
    <row r="138" spans="1:24" ht="16" x14ac:dyDescent="0.2">
      <c r="A138" t="s">
        <v>525</v>
      </c>
      <c r="B138" t="s">
        <v>147</v>
      </c>
      <c r="C138" t="s">
        <v>526</v>
      </c>
      <c r="D138" t="s">
        <v>384</v>
      </c>
      <c r="E138">
        <v>2.3199999999999998</v>
      </c>
      <c r="F138">
        <f>(1.16+1.17+1.13)/3</f>
        <v>1.1533333333333333</v>
      </c>
      <c r="G138">
        <v>168</v>
      </c>
      <c r="H138" t="s">
        <v>348</v>
      </c>
      <c r="I138" t="s">
        <v>664</v>
      </c>
      <c r="J138" t="s">
        <v>687</v>
      </c>
      <c r="L138" t="s">
        <v>269</v>
      </c>
      <c r="M138" t="s">
        <v>672</v>
      </c>
      <c r="N138" t="s">
        <v>667</v>
      </c>
      <c r="O138">
        <v>16.77</v>
      </c>
      <c r="P138">
        <v>14.45</v>
      </c>
      <c r="Q138" t="s">
        <v>10</v>
      </c>
      <c r="R138" t="s">
        <v>689</v>
      </c>
      <c r="S138" t="s">
        <v>668</v>
      </c>
      <c r="T138">
        <v>0.62</v>
      </c>
      <c r="U138">
        <v>0.09</v>
      </c>
      <c r="X138" s="5" t="s">
        <v>527</v>
      </c>
    </row>
    <row r="139" spans="1:24" ht="16" x14ac:dyDescent="0.2">
      <c r="A139" t="s">
        <v>528</v>
      </c>
      <c r="B139" t="s">
        <v>147</v>
      </c>
      <c r="C139" t="s">
        <v>526</v>
      </c>
      <c r="D139" t="s">
        <v>384</v>
      </c>
      <c r="E139">
        <v>1.93</v>
      </c>
      <c r="F139">
        <f>(0.99+0.96+0.97)/3</f>
        <v>0.97333333333333327</v>
      </c>
      <c r="G139">
        <v>228.3</v>
      </c>
      <c r="H139" t="s">
        <v>326</v>
      </c>
      <c r="I139" t="s">
        <v>664</v>
      </c>
      <c r="J139" t="s">
        <v>665</v>
      </c>
      <c r="L139" t="s">
        <v>269</v>
      </c>
      <c r="M139" t="s">
        <v>672</v>
      </c>
      <c r="N139" t="s">
        <v>667</v>
      </c>
      <c r="O139">
        <v>13.08</v>
      </c>
      <c r="P139">
        <v>10.58</v>
      </c>
      <c r="Q139" t="s">
        <v>10</v>
      </c>
      <c r="R139" t="s">
        <v>689</v>
      </c>
      <c r="S139" t="s">
        <v>668</v>
      </c>
      <c r="T139">
        <v>0.61</v>
      </c>
      <c r="U139">
        <v>0.08</v>
      </c>
      <c r="X139" s="5" t="s">
        <v>529</v>
      </c>
    </row>
    <row r="140" spans="1:24" ht="16" x14ac:dyDescent="0.2">
      <c r="A140" t="s">
        <v>530</v>
      </c>
      <c r="B140" t="s">
        <v>147</v>
      </c>
      <c r="C140" t="s">
        <v>526</v>
      </c>
      <c r="D140" t="s">
        <v>384</v>
      </c>
      <c r="E140">
        <f>(1.69+1.69+1.75)/3</f>
        <v>1.71</v>
      </c>
      <c r="F140">
        <f>(1+0.98+1.02)/3</f>
        <v>1</v>
      </c>
      <c r="G140">
        <v>199.3</v>
      </c>
      <c r="H140" t="s">
        <v>348</v>
      </c>
      <c r="I140" t="s">
        <v>664</v>
      </c>
      <c r="J140" t="s">
        <v>687</v>
      </c>
      <c r="L140" t="s">
        <v>360</v>
      </c>
      <c r="M140" t="s">
        <v>672</v>
      </c>
      <c r="N140" t="s">
        <v>667</v>
      </c>
      <c r="O140">
        <v>14.72</v>
      </c>
      <c r="P140">
        <v>11.59</v>
      </c>
      <c r="Q140" t="s">
        <v>10</v>
      </c>
      <c r="R140" t="s">
        <v>689</v>
      </c>
      <c r="S140">
        <v>1</v>
      </c>
      <c r="T140">
        <v>0.71</v>
      </c>
      <c r="U140">
        <v>0.09</v>
      </c>
      <c r="X140" s="5" t="s">
        <v>531</v>
      </c>
    </row>
    <row r="141" spans="1:24" ht="16" x14ac:dyDescent="0.2">
      <c r="A141" t="s">
        <v>532</v>
      </c>
      <c r="B141" t="s">
        <v>151</v>
      </c>
      <c r="C141" t="s">
        <v>150</v>
      </c>
      <c r="D141" t="s">
        <v>321</v>
      </c>
      <c r="E141">
        <f>(0.91+0.83+0.92)/3</f>
        <v>0.88666666666666671</v>
      </c>
      <c r="F141">
        <f>(0.84+0.89+0.85)/3</f>
        <v>0.86</v>
      </c>
      <c r="G141">
        <v>163.30000000000001</v>
      </c>
      <c r="H141" t="s">
        <v>677</v>
      </c>
      <c r="I141" t="s">
        <v>664</v>
      </c>
      <c r="J141" t="s">
        <v>682</v>
      </c>
      <c r="L141" t="s">
        <v>269</v>
      </c>
      <c r="M141" t="s">
        <v>666</v>
      </c>
      <c r="N141" t="s">
        <v>667</v>
      </c>
      <c r="O141">
        <v>9.27</v>
      </c>
      <c r="P141">
        <v>8.0500000000000007</v>
      </c>
      <c r="Q141" t="s">
        <v>10</v>
      </c>
      <c r="R141" t="s">
        <v>689</v>
      </c>
      <c r="S141" t="s">
        <v>668</v>
      </c>
      <c r="T141">
        <v>0.5</v>
      </c>
      <c r="U141">
        <v>0.09</v>
      </c>
      <c r="X141" s="5" t="s">
        <v>529</v>
      </c>
    </row>
    <row r="142" spans="1:24" ht="16" x14ac:dyDescent="0.2">
      <c r="A142" t="s">
        <v>533</v>
      </c>
      <c r="B142" t="s">
        <v>151</v>
      </c>
      <c r="C142" t="s">
        <v>150</v>
      </c>
      <c r="D142" t="s">
        <v>384</v>
      </c>
      <c r="E142">
        <f>(1.22+1.23+1.2)/3</f>
        <v>1.2166666666666668</v>
      </c>
      <c r="F142">
        <f>(0.95+0.96+1.01)/3</f>
        <v>0.97333333333333327</v>
      </c>
      <c r="G142">
        <v>218.3</v>
      </c>
      <c r="H142" t="s">
        <v>326</v>
      </c>
      <c r="I142" t="s">
        <v>664</v>
      </c>
      <c r="J142" t="s">
        <v>665</v>
      </c>
      <c r="L142" t="s">
        <v>269</v>
      </c>
      <c r="M142" t="s">
        <v>666</v>
      </c>
      <c r="N142" t="s">
        <v>667</v>
      </c>
      <c r="O142">
        <v>12.75</v>
      </c>
      <c r="P142">
        <v>10.54</v>
      </c>
      <c r="Q142" t="s">
        <v>10</v>
      </c>
      <c r="R142" t="s">
        <v>689</v>
      </c>
      <c r="S142">
        <v>1</v>
      </c>
      <c r="T142">
        <v>0.44</v>
      </c>
      <c r="U142">
        <v>0.09</v>
      </c>
      <c r="X142" s="5" t="s">
        <v>529</v>
      </c>
    </row>
    <row r="143" spans="1:24" ht="16" x14ac:dyDescent="0.2">
      <c r="A143" t="s">
        <v>534</v>
      </c>
      <c r="B143" t="s">
        <v>151</v>
      </c>
      <c r="C143" t="s">
        <v>150</v>
      </c>
      <c r="D143" t="s">
        <v>384</v>
      </c>
      <c r="E143">
        <f>(1.14+1.22+1.1)/3</f>
        <v>1.1533333333333333</v>
      </c>
      <c r="F143">
        <f>(0.97+0.96+0.96)/3</f>
        <v>0.96333333333333326</v>
      </c>
      <c r="G143">
        <v>91</v>
      </c>
      <c r="H143" t="s">
        <v>535</v>
      </c>
      <c r="I143" t="s">
        <v>681</v>
      </c>
      <c r="J143" t="s">
        <v>687</v>
      </c>
      <c r="L143" t="s">
        <v>269</v>
      </c>
      <c r="M143" t="s">
        <v>666</v>
      </c>
      <c r="N143" t="s">
        <v>667</v>
      </c>
      <c r="O143">
        <v>12.15</v>
      </c>
      <c r="P143">
        <v>9.91</v>
      </c>
      <c r="Q143" t="s">
        <v>10</v>
      </c>
      <c r="R143" t="s">
        <v>689</v>
      </c>
      <c r="S143" t="s">
        <v>668</v>
      </c>
      <c r="T143">
        <v>0.43</v>
      </c>
      <c r="U143">
        <v>7.0000000000000007E-2</v>
      </c>
      <c r="X143" s="5" t="s">
        <v>536</v>
      </c>
    </row>
    <row r="144" spans="1:24" ht="16" x14ac:dyDescent="0.2">
      <c r="A144" t="s">
        <v>537</v>
      </c>
      <c r="B144" t="s">
        <v>151</v>
      </c>
      <c r="C144" t="s">
        <v>150</v>
      </c>
      <c r="D144" t="s">
        <v>384</v>
      </c>
      <c r="E144">
        <f>(1.02+1.03+0.99)/3</f>
        <v>1.0133333333333334</v>
      </c>
      <c r="F144">
        <f>(0.87+0.89+0.85)/3</f>
        <v>0.87</v>
      </c>
      <c r="G144">
        <v>162.30000000000001</v>
      </c>
      <c r="H144" t="s">
        <v>677</v>
      </c>
      <c r="I144" t="s">
        <v>664</v>
      </c>
      <c r="J144" t="s">
        <v>687</v>
      </c>
      <c r="L144" t="s">
        <v>269</v>
      </c>
      <c r="M144" t="s">
        <v>666</v>
      </c>
      <c r="N144" t="s">
        <v>667</v>
      </c>
      <c r="O144">
        <v>9.6300000000000008</v>
      </c>
      <c r="P144">
        <v>8.3699999999999992</v>
      </c>
      <c r="Q144" t="s">
        <v>10</v>
      </c>
      <c r="R144" t="s">
        <v>689</v>
      </c>
      <c r="S144" t="s">
        <v>668</v>
      </c>
      <c r="T144">
        <v>0.46</v>
      </c>
      <c r="U144">
        <v>7.0000000000000007E-2</v>
      </c>
      <c r="X144" s="5" t="s">
        <v>529</v>
      </c>
    </row>
    <row r="145" spans="1:24" ht="16" x14ac:dyDescent="0.2">
      <c r="A145" t="s">
        <v>538</v>
      </c>
      <c r="B145" t="s">
        <v>154</v>
      </c>
      <c r="C145" t="s">
        <v>153</v>
      </c>
      <c r="D145" t="s">
        <v>384</v>
      </c>
      <c r="E145">
        <f>(1.11+1.13+1)/3</f>
        <v>1.08</v>
      </c>
      <c r="F145">
        <f>(0.91+1+0.98)/3</f>
        <v>0.96333333333333337</v>
      </c>
      <c r="G145">
        <v>110</v>
      </c>
      <c r="H145" t="s">
        <v>535</v>
      </c>
      <c r="I145" t="s">
        <v>664</v>
      </c>
      <c r="J145" t="s">
        <v>665</v>
      </c>
      <c r="L145" t="s">
        <v>269</v>
      </c>
      <c r="M145" t="s">
        <v>666</v>
      </c>
      <c r="N145" t="s">
        <v>667</v>
      </c>
      <c r="O145">
        <v>12.19</v>
      </c>
      <c r="P145">
        <v>10.1</v>
      </c>
      <c r="Q145" t="s">
        <v>10</v>
      </c>
      <c r="R145" t="s">
        <v>689</v>
      </c>
      <c r="S145" t="s">
        <v>668</v>
      </c>
      <c r="T145">
        <v>0.47</v>
      </c>
      <c r="U145">
        <v>0.08</v>
      </c>
      <c r="X145" s="5" t="s">
        <v>536</v>
      </c>
    </row>
    <row r="146" spans="1:24" ht="16" x14ac:dyDescent="0.2">
      <c r="A146" t="s">
        <v>539</v>
      </c>
      <c r="B146" t="s">
        <v>154</v>
      </c>
      <c r="C146" t="s">
        <v>153</v>
      </c>
      <c r="D146" t="s">
        <v>384</v>
      </c>
      <c r="E146">
        <v>1.08</v>
      </c>
      <c r="F146">
        <f>(0.89+0.82+0.86)/3</f>
        <v>0.85666666666666658</v>
      </c>
      <c r="G146">
        <v>211.7</v>
      </c>
      <c r="H146" t="s">
        <v>326</v>
      </c>
      <c r="I146" t="s">
        <v>664</v>
      </c>
      <c r="J146" t="s">
        <v>665</v>
      </c>
      <c r="L146" t="s">
        <v>360</v>
      </c>
      <c r="M146" t="s">
        <v>666</v>
      </c>
      <c r="N146" t="s">
        <v>667</v>
      </c>
      <c r="O146">
        <v>15.56</v>
      </c>
      <c r="P146">
        <v>11.58</v>
      </c>
      <c r="Q146" t="s">
        <v>10</v>
      </c>
      <c r="R146" t="s">
        <v>689</v>
      </c>
      <c r="S146" t="s">
        <v>668</v>
      </c>
      <c r="T146">
        <v>0.23</v>
      </c>
      <c r="U146">
        <v>0.04</v>
      </c>
    </row>
    <row r="147" spans="1:24" ht="16" x14ac:dyDescent="0.2">
      <c r="A147" t="s">
        <v>540</v>
      </c>
      <c r="B147" t="s">
        <v>154</v>
      </c>
      <c r="C147" t="s">
        <v>153</v>
      </c>
      <c r="D147" t="s">
        <v>321</v>
      </c>
      <c r="E147">
        <f>(1.16+1.09+1.15)/3</f>
        <v>1.1333333333333333</v>
      </c>
      <c r="F147">
        <f>(0.94+0.98+1.03)/3</f>
        <v>0.98333333333333339</v>
      </c>
      <c r="G147">
        <v>217</v>
      </c>
      <c r="H147" t="s">
        <v>326</v>
      </c>
      <c r="I147" t="s">
        <v>664</v>
      </c>
      <c r="J147" t="s">
        <v>665</v>
      </c>
      <c r="L147" t="s">
        <v>360</v>
      </c>
      <c r="M147" t="s">
        <v>666</v>
      </c>
      <c r="N147" t="s">
        <v>667</v>
      </c>
      <c r="O147">
        <v>13.2</v>
      </c>
      <c r="P147">
        <v>10.69</v>
      </c>
      <c r="Q147" t="s">
        <v>10</v>
      </c>
      <c r="R147" t="s">
        <v>689</v>
      </c>
      <c r="S147" t="s">
        <v>668</v>
      </c>
      <c r="T147">
        <v>0.38</v>
      </c>
      <c r="U147">
        <v>0.06</v>
      </c>
    </row>
    <row r="148" spans="1:24" ht="16" x14ac:dyDescent="0.2">
      <c r="A148" t="s">
        <v>541</v>
      </c>
      <c r="B148" t="s">
        <v>157</v>
      </c>
      <c r="C148" t="s">
        <v>542</v>
      </c>
      <c r="D148" t="s">
        <v>384</v>
      </c>
      <c r="E148">
        <f>(0.81+0.75+0.8)/3</f>
        <v>0.78666666666666674</v>
      </c>
      <c r="F148">
        <f>(0.87+0.85+0.76)/3</f>
        <v>0.82666666666666666</v>
      </c>
      <c r="G148">
        <v>131</v>
      </c>
      <c r="H148" t="s">
        <v>677</v>
      </c>
      <c r="I148" t="s">
        <v>664</v>
      </c>
      <c r="J148" t="s">
        <v>687</v>
      </c>
      <c r="L148" t="s">
        <v>269</v>
      </c>
      <c r="M148" t="s">
        <v>666</v>
      </c>
      <c r="N148" t="s">
        <v>667</v>
      </c>
      <c r="O148">
        <v>11.1</v>
      </c>
      <c r="P148">
        <v>9.09</v>
      </c>
      <c r="Q148" t="s">
        <v>10</v>
      </c>
      <c r="R148" t="s">
        <v>689</v>
      </c>
      <c r="S148" t="s">
        <v>668</v>
      </c>
      <c r="X148" s="5" t="s">
        <v>488</v>
      </c>
    </row>
    <row r="149" spans="1:24" ht="16" x14ac:dyDescent="0.2">
      <c r="A149" t="s">
        <v>543</v>
      </c>
      <c r="B149" t="s">
        <v>157</v>
      </c>
      <c r="C149" t="s">
        <v>542</v>
      </c>
      <c r="D149" t="s">
        <v>384</v>
      </c>
      <c r="E149">
        <v>1.19</v>
      </c>
      <c r="F149">
        <f>(0.98+0.87+0.9)/3</f>
        <v>0.91666666666666663</v>
      </c>
      <c r="G149">
        <v>195.3</v>
      </c>
      <c r="H149" t="s">
        <v>295</v>
      </c>
      <c r="I149" t="s">
        <v>664</v>
      </c>
      <c r="J149" t="s">
        <v>687</v>
      </c>
      <c r="L149" t="s">
        <v>360</v>
      </c>
      <c r="M149" t="s">
        <v>666</v>
      </c>
      <c r="N149" t="s">
        <v>667</v>
      </c>
      <c r="O149">
        <v>12.76</v>
      </c>
      <c r="P149">
        <v>9.3800000000000008</v>
      </c>
      <c r="Q149" t="s">
        <v>10</v>
      </c>
      <c r="R149" t="s">
        <v>689</v>
      </c>
      <c r="S149" t="s">
        <v>668</v>
      </c>
    </row>
    <row r="150" spans="1:24" ht="16" x14ac:dyDescent="0.2">
      <c r="A150" t="s">
        <v>544</v>
      </c>
      <c r="B150" t="s">
        <v>157</v>
      </c>
      <c r="C150" t="s">
        <v>542</v>
      </c>
      <c r="D150" t="s">
        <v>384</v>
      </c>
      <c r="E150">
        <f>(1.22+1.41+1.3)/3</f>
        <v>1.3099999999999998</v>
      </c>
      <c r="F150">
        <f>(1.08+0.98+1.03)/3</f>
        <v>1.03</v>
      </c>
      <c r="G150">
        <v>198.7</v>
      </c>
      <c r="H150" t="s">
        <v>348</v>
      </c>
      <c r="I150" t="s">
        <v>664</v>
      </c>
      <c r="J150" t="s">
        <v>687</v>
      </c>
      <c r="L150" t="s">
        <v>360</v>
      </c>
      <c r="M150" t="s">
        <v>666</v>
      </c>
      <c r="N150" t="s">
        <v>667</v>
      </c>
      <c r="O150">
        <v>13.84</v>
      </c>
      <c r="P150">
        <v>10.72</v>
      </c>
      <c r="Q150" t="s">
        <v>10</v>
      </c>
      <c r="R150" t="s">
        <v>689</v>
      </c>
      <c r="S150" t="s">
        <v>695</v>
      </c>
    </row>
    <row r="151" spans="1:24" ht="16" x14ac:dyDescent="0.2">
      <c r="A151" t="s">
        <v>545</v>
      </c>
      <c r="B151" t="s">
        <v>160</v>
      </c>
      <c r="C151" t="s">
        <v>546</v>
      </c>
      <c r="D151" t="s">
        <v>384</v>
      </c>
      <c r="E151">
        <f>(1.12+1.11+1.18)/3</f>
        <v>1.1366666666666667</v>
      </c>
      <c r="F151">
        <f>(0.87+0.89+0.86)/3</f>
        <v>0.87333333333333341</v>
      </c>
      <c r="G151">
        <v>180</v>
      </c>
      <c r="H151" t="s">
        <v>295</v>
      </c>
      <c r="I151" t="s">
        <v>664</v>
      </c>
      <c r="J151" t="s">
        <v>687</v>
      </c>
      <c r="L151" t="s">
        <v>269</v>
      </c>
      <c r="M151" t="s">
        <v>666</v>
      </c>
      <c r="N151" t="s">
        <v>667</v>
      </c>
      <c r="O151">
        <v>11.45</v>
      </c>
      <c r="P151">
        <v>9.4</v>
      </c>
      <c r="Q151" t="s">
        <v>10</v>
      </c>
      <c r="R151" t="s">
        <v>689</v>
      </c>
      <c r="S151" t="s">
        <v>668</v>
      </c>
    </row>
    <row r="152" spans="1:24" ht="16" x14ac:dyDescent="0.2">
      <c r="A152" t="s">
        <v>547</v>
      </c>
      <c r="B152" t="s">
        <v>160</v>
      </c>
      <c r="C152" t="s">
        <v>546</v>
      </c>
      <c r="D152" t="s">
        <v>321</v>
      </c>
      <c r="E152">
        <f>(1.1+1.13+1.08)/3</f>
        <v>1.1033333333333333</v>
      </c>
      <c r="F152">
        <f>(0.81+0.88+0.89)/3</f>
        <v>0.86</v>
      </c>
      <c r="G152">
        <v>210.3</v>
      </c>
      <c r="H152" t="s">
        <v>326</v>
      </c>
      <c r="I152" t="s">
        <v>664</v>
      </c>
      <c r="J152" t="s">
        <v>687</v>
      </c>
      <c r="L152" t="s">
        <v>360</v>
      </c>
      <c r="M152" t="s">
        <v>672</v>
      </c>
      <c r="N152" t="s">
        <v>667</v>
      </c>
      <c r="O152">
        <v>10.01</v>
      </c>
      <c r="P152">
        <v>8.56</v>
      </c>
      <c r="Q152" t="s">
        <v>10</v>
      </c>
      <c r="R152" t="s">
        <v>689</v>
      </c>
      <c r="S152" t="s">
        <v>668</v>
      </c>
    </row>
    <row r="153" spans="1:24" ht="16" x14ac:dyDescent="0.2">
      <c r="A153" t="s">
        <v>548</v>
      </c>
      <c r="B153" t="s">
        <v>160</v>
      </c>
      <c r="C153" t="s">
        <v>546</v>
      </c>
      <c r="D153" t="s">
        <v>384</v>
      </c>
      <c r="E153">
        <f>(0.95+1+0.97)/3</f>
        <v>0.97333333333333327</v>
      </c>
      <c r="F153">
        <f>(0.85+0.84+0.83)/3</f>
        <v>0.84</v>
      </c>
      <c r="G153">
        <v>240.3</v>
      </c>
      <c r="H153" t="s">
        <v>326</v>
      </c>
      <c r="I153" t="s">
        <v>664</v>
      </c>
      <c r="J153" t="s">
        <v>665</v>
      </c>
      <c r="L153" t="s">
        <v>277</v>
      </c>
      <c r="M153" t="s">
        <v>672</v>
      </c>
      <c r="N153" t="s">
        <v>667</v>
      </c>
      <c r="O153">
        <v>9.34</v>
      </c>
      <c r="P153">
        <v>6.68</v>
      </c>
      <c r="Q153" t="s">
        <v>10</v>
      </c>
      <c r="R153" t="s">
        <v>689</v>
      </c>
      <c r="S153" t="s">
        <v>668</v>
      </c>
    </row>
    <row r="154" spans="1:24" ht="16" x14ac:dyDescent="0.2">
      <c r="A154" t="s">
        <v>549</v>
      </c>
      <c r="B154" t="s">
        <v>164</v>
      </c>
      <c r="C154" t="s">
        <v>550</v>
      </c>
      <c r="D154" t="s">
        <v>384</v>
      </c>
      <c r="E154">
        <v>1.43</v>
      </c>
      <c r="F154">
        <f>(0.81+0.96+0.95)/3</f>
        <v>0.90666666666666662</v>
      </c>
      <c r="G154">
        <v>159.30000000000001</v>
      </c>
      <c r="H154" t="s">
        <v>677</v>
      </c>
      <c r="I154" t="s">
        <v>664</v>
      </c>
      <c r="J154" t="s">
        <v>687</v>
      </c>
      <c r="L154" t="s">
        <v>269</v>
      </c>
      <c r="M154" t="s">
        <v>666</v>
      </c>
      <c r="N154" t="s">
        <v>667</v>
      </c>
      <c r="O154">
        <v>14.05</v>
      </c>
      <c r="P154">
        <v>10.92</v>
      </c>
      <c r="Q154" t="s">
        <v>10</v>
      </c>
      <c r="R154" t="s">
        <v>689</v>
      </c>
      <c r="S154" t="s">
        <v>668</v>
      </c>
      <c r="X154" s="5" t="s">
        <v>488</v>
      </c>
    </row>
    <row r="155" spans="1:24" ht="16" x14ac:dyDescent="0.2">
      <c r="A155" t="s">
        <v>551</v>
      </c>
      <c r="B155" t="s">
        <v>164</v>
      </c>
      <c r="C155" t="s">
        <v>550</v>
      </c>
      <c r="D155" t="s">
        <v>384</v>
      </c>
      <c r="E155">
        <f>(1.01+1.03+1/1)/3</f>
        <v>1.0133333333333334</v>
      </c>
      <c r="F155">
        <f>(0.69+0.67+0.76)/3</f>
        <v>0.70666666666666667</v>
      </c>
      <c r="G155">
        <v>220.3</v>
      </c>
      <c r="H155" t="s">
        <v>326</v>
      </c>
      <c r="I155" t="s">
        <v>664</v>
      </c>
      <c r="J155" t="s">
        <v>687</v>
      </c>
      <c r="L155" t="s">
        <v>277</v>
      </c>
      <c r="M155" t="s">
        <v>666</v>
      </c>
      <c r="N155" t="s">
        <v>667</v>
      </c>
      <c r="O155">
        <v>10.97</v>
      </c>
      <c r="P155">
        <v>8.09</v>
      </c>
      <c r="Q155" t="s">
        <v>10</v>
      </c>
      <c r="R155" t="s">
        <v>689</v>
      </c>
      <c r="S155" t="s">
        <v>668</v>
      </c>
    </row>
    <row r="156" spans="1:24" ht="16" x14ac:dyDescent="0.2">
      <c r="A156" t="s">
        <v>552</v>
      </c>
      <c r="B156" t="s">
        <v>164</v>
      </c>
      <c r="C156" t="s">
        <v>550</v>
      </c>
      <c r="D156" t="s">
        <v>384</v>
      </c>
      <c r="E156">
        <f>(1.64+1.45+1.51)/3</f>
        <v>1.5333333333333332</v>
      </c>
      <c r="F156">
        <f>(0.92+0.93+0.9)/3</f>
        <v>0.91666666666666663</v>
      </c>
      <c r="G156">
        <v>165.7</v>
      </c>
      <c r="H156" t="s">
        <v>677</v>
      </c>
      <c r="I156" t="s">
        <v>664</v>
      </c>
      <c r="J156" t="s">
        <v>665</v>
      </c>
      <c r="L156" t="s">
        <v>269</v>
      </c>
      <c r="M156" t="s">
        <v>666</v>
      </c>
      <c r="N156" t="s">
        <v>667</v>
      </c>
      <c r="O156">
        <v>13.44</v>
      </c>
      <c r="P156">
        <v>10.64</v>
      </c>
      <c r="Q156" t="s">
        <v>10</v>
      </c>
      <c r="R156" t="s">
        <v>689</v>
      </c>
      <c r="S156" t="s">
        <v>695</v>
      </c>
      <c r="X156" s="5" t="s">
        <v>488</v>
      </c>
    </row>
    <row r="157" spans="1:24" ht="16" x14ac:dyDescent="0.2">
      <c r="A157" t="s">
        <v>553</v>
      </c>
      <c r="B157" t="s">
        <v>554</v>
      </c>
      <c r="C157" t="s">
        <v>166</v>
      </c>
      <c r="L157" t="s">
        <v>360</v>
      </c>
      <c r="M157" t="s">
        <v>666</v>
      </c>
      <c r="N157" t="s">
        <v>667</v>
      </c>
      <c r="O157">
        <v>12.32</v>
      </c>
      <c r="P157">
        <v>9.9700000000000006</v>
      </c>
      <c r="Q157" t="s">
        <v>10</v>
      </c>
      <c r="X157" t="s">
        <v>555</v>
      </c>
    </row>
    <row r="158" spans="1:24" ht="16" x14ac:dyDescent="0.2">
      <c r="A158" t="s">
        <v>556</v>
      </c>
      <c r="B158" t="s">
        <v>554</v>
      </c>
      <c r="C158" t="s">
        <v>166</v>
      </c>
      <c r="L158" t="s">
        <v>269</v>
      </c>
      <c r="M158" t="s">
        <v>666</v>
      </c>
      <c r="N158" t="s">
        <v>667</v>
      </c>
      <c r="O158">
        <v>8.7200000000000006</v>
      </c>
      <c r="P158">
        <v>7.17</v>
      </c>
      <c r="Q158" t="s">
        <v>10</v>
      </c>
      <c r="X158" t="s">
        <v>555</v>
      </c>
    </row>
    <row r="159" spans="1:24" ht="16" x14ac:dyDescent="0.2">
      <c r="A159" t="s">
        <v>557</v>
      </c>
      <c r="B159" t="s">
        <v>554</v>
      </c>
      <c r="C159" t="s">
        <v>166</v>
      </c>
      <c r="L159" t="s">
        <v>360</v>
      </c>
      <c r="M159" t="s">
        <v>672</v>
      </c>
      <c r="N159" t="s">
        <v>667</v>
      </c>
      <c r="O159">
        <v>9.16</v>
      </c>
      <c r="P159">
        <v>7.3</v>
      </c>
      <c r="Q159" t="s">
        <v>10</v>
      </c>
      <c r="X159" t="s">
        <v>555</v>
      </c>
    </row>
    <row r="160" spans="1:24" ht="16" x14ac:dyDescent="0.2">
      <c r="A160" t="s">
        <v>558</v>
      </c>
      <c r="B160" t="s">
        <v>554</v>
      </c>
      <c r="C160" t="s">
        <v>166</v>
      </c>
      <c r="D160" t="s">
        <v>321</v>
      </c>
      <c r="E160">
        <f>(0.81+0.79+0.8)/3</f>
        <v>0.80000000000000016</v>
      </c>
      <c r="F160">
        <f>(0.73+0.79+0.8)/3</f>
        <v>0.77333333333333343</v>
      </c>
      <c r="G160">
        <v>183.3</v>
      </c>
      <c r="H160" t="s">
        <v>295</v>
      </c>
      <c r="I160" t="s">
        <v>664</v>
      </c>
      <c r="J160" t="s">
        <v>665</v>
      </c>
      <c r="L160" t="s">
        <v>360</v>
      </c>
      <c r="M160" t="s">
        <v>672</v>
      </c>
      <c r="N160" t="s">
        <v>667</v>
      </c>
      <c r="O160">
        <v>9.42</v>
      </c>
      <c r="P160">
        <v>7.49</v>
      </c>
      <c r="Q160" t="s">
        <v>10</v>
      </c>
      <c r="R160" t="s">
        <v>689</v>
      </c>
      <c r="S160" t="s">
        <v>668</v>
      </c>
    </row>
    <row r="161" spans="1:24" ht="16" x14ac:dyDescent="0.2">
      <c r="A161" t="s">
        <v>559</v>
      </c>
      <c r="B161" t="s">
        <v>560</v>
      </c>
      <c r="C161" t="s">
        <v>169</v>
      </c>
      <c r="D161" t="s">
        <v>384</v>
      </c>
      <c r="E161">
        <f>(1.09+1.11+1.1)/3</f>
        <v>1.1000000000000001</v>
      </c>
      <c r="F161">
        <f>(0.86+0.79+0.87)/3</f>
        <v>0.84</v>
      </c>
      <c r="G161">
        <v>213.3</v>
      </c>
      <c r="H161" t="s">
        <v>326</v>
      </c>
      <c r="I161" t="s">
        <v>664</v>
      </c>
      <c r="J161" t="s">
        <v>665</v>
      </c>
      <c r="L161" t="s">
        <v>360</v>
      </c>
      <c r="M161" t="s">
        <v>672</v>
      </c>
      <c r="N161" t="s">
        <v>667</v>
      </c>
      <c r="O161">
        <v>10.33</v>
      </c>
      <c r="P161">
        <v>7.89</v>
      </c>
      <c r="Q161" t="s">
        <v>10</v>
      </c>
      <c r="R161" t="s">
        <v>689</v>
      </c>
      <c r="S161" t="s">
        <v>668</v>
      </c>
    </row>
    <row r="162" spans="1:24" ht="16" x14ac:dyDescent="0.2">
      <c r="A162" t="s">
        <v>561</v>
      </c>
      <c r="B162" t="s">
        <v>560</v>
      </c>
      <c r="C162" t="s">
        <v>169</v>
      </c>
      <c r="D162" t="s">
        <v>321</v>
      </c>
      <c r="E162">
        <f>(1.09+0.98+1)/3</f>
        <v>1.0233333333333334</v>
      </c>
      <c r="F162">
        <f>(0.9+0.91+0.92)/3</f>
        <v>0.91</v>
      </c>
      <c r="G162">
        <v>244</v>
      </c>
      <c r="H162" t="s">
        <v>326</v>
      </c>
      <c r="I162" t="s">
        <v>664</v>
      </c>
      <c r="J162" t="s">
        <v>665</v>
      </c>
      <c r="L162" t="s">
        <v>360</v>
      </c>
      <c r="M162" t="s">
        <v>672</v>
      </c>
      <c r="N162" t="s">
        <v>667</v>
      </c>
      <c r="O162">
        <v>10.18</v>
      </c>
      <c r="Q162" t="s">
        <v>10</v>
      </c>
      <c r="R162" t="s">
        <v>689</v>
      </c>
      <c r="S162" t="s">
        <v>668</v>
      </c>
      <c r="X162" s="5" t="s">
        <v>562</v>
      </c>
    </row>
    <row r="163" spans="1:24" ht="16" x14ac:dyDescent="0.2">
      <c r="A163" t="s">
        <v>563</v>
      </c>
      <c r="B163" t="s">
        <v>560</v>
      </c>
      <c r="C163" t="s">
        <v>169</v>
      </c>
      <c r="D163" t="s">
        <v>321</v>
      </c>
      <c r="E163">
        <f>(1.13+1.04+1.07)/3</f>
        <v>1.08</v>
      </c>
      <c r="F163">
        <f>(0.7+0.88+0.79)/3</f>
        <v>0.79</v>
      </c>
      <c r="G163">
        <v>230.7</v>
      </c>
      <c r="H163" t="s">
        <v>326</v>
      </c>
      <c r="I163" t="s">
        <v>664</v>
      </c>
      <c r="J163" t="s">
        <v>665</v>
      </c>
      <c r="L163" t="s">
        <v>277</v>
      </c>
      <c r="M163" t="s">
        <v>672</v>
      </c>
      <c r="N163" t="s">
        <v>667</v>
      </c>
      <c r="O163">
        <v>9.2899999999999991</v>
      </c>
      <c r="P163">
        <v>6.94</v>
      </c>
      <c r="Q163" t="s">
        <v>10</v>
      </c>
      <c r="R163" t="s">
        <v>689</v>
      </c>
      <c r="S163" t="s">
        <v>668</v>
      </c>
    </row>
    <row r="164" spans="1:24" ht="16" x14ac:dyDescent="0.2">
      <c r="A164" t="s">
        <v>564</v>
      </c>
      <c r="B164" t="s">
        <v>565</v>
      </c>
      <c r="C164" t="s">
        <v>171</v>
      </c>
      <c r="D164" t="s">
        <v>384</v>
      </c>
      <c r="E164">
        <f>(1.49+1.28+1.48)/3</f>
        <v>1.4166666666666667</v>
      </c>
      <c r="F164">
        <f>(0.71+0.71+0.9)/3</f>
        <v>0.77333333333333332</v>
      </c>
      <c r="G164">
        <v>233</v>
      </c>
      <c r="H164" t="s">
        <v>326</v>
      </c>
      <c r="I164" t="s">
        <v>664</v>
      </c>
      <c r="J164" t="s">
        <v>687</v>
      </c>
      <c r="L164" t="s">
        <v>360</v>
      </c>
      <c r="M164" t="s">
        <v>666</v>
      </c>
      <c r="N164" t="s">
        <v>667</v>
      </c>
      <c r="O164">
        <v>12.1</v>
      </c>
      <c r="P164">
        <v>9.59</v>
      </c>
      <c r="Q164" t="s">
        <v>10</v>
      </c>
      <c r="R164" t="s">
        <v>689</v>
      </c>
      <c r="S164" t="s">
        <v>668</v>
      </c>
      <c r="X164" t="s">
        <v>566</v>
      </c>
    </row>
    <row r="165" spans="1:24" ht="16" x14ac:dyDescent="0.2">
      <c r="A165" t="s">
        <v>567</v>
      </c>
      <c r="B165" t="s">
        <v>565</v>
      </c>
      <c r="C165" t="s">
        <v>171</v>
      </c>
      <c r="D165" t="s">
        <v>384</v>
      </c>
      <c r="E165">
        <f>(1.29+1.38+1.41)/3</f>
        <v>1.36</v>
      </c>
      <c r="F165">
        <f>(0.95+0.84+0.91)/3</f>
        <v>0.9</v>
      </c>
      <c r="G165">
        <v>110.7</v>
      </c>
      <c r="H165" t="s">
        <v>677</v>
      </c>
      <c r="I165" t="s">
        <v>664</v>
      </c>
      <c r="J165" t="s">
        <v>665</v>
      </c>
      <c r="L165" t="s">
        <v>269</v>
      </c>
      <c r="M165" t="s">
        <v>666</v>
      </c>
      <c r="N165" t="s">
        <v>667</v>
      </c>
      <c r="O165">
        <v>12.82</v>
      </c>
      <c r="P165">
        <v>11</v>
      </c>
      <c r="Q165" t="s">
        <v>10</v>
      </c>
      <c r="R165" t="s">
        <v>689</v>
      </c>
      <c r="S165" t="s">
        <v>695</v>
      </c>
      <c r="X165" s="5" t="s">
        <v>488</v>
      </c>
    </row>
    <row r="166" spans="1:24" ht="16" x14ac:dyDescent="0.2">
      <c r="A166" t="s">
        <v>568</v>
      </c>
      <c r="B166" t="s">
        <v>565</v>
      </c>
      <c r="C166" t="s">
        <v>171</v>
      </c>
      <c r="D166" t="s">
        <v>384</v>
      </c>
      <c r="E166">
        <f>(1.45+1.43+1.33)/3</f>
        <v>1.4033333333333333</v>
      </c>
      <c r="F166">
        <f>(0.79+0.81+0.82)/3</f>
        <v>0.80666666666666664</v>
      </c>
      <c r="G166">
        <v>203.7</v>
      </c>
      <c r="H166" t="s">
        <v>348</v>
      </c>
      <c r="I166" t="s">
        <v>664</v>
      </c>
      <c r="J166" t="s">
        <v>687</v>
      </c>
      <c r="L166" t="s">
        <v>360</v>
      </c>
      <c r="M166" t="s">
        <v>666</v>
      </c>
      <c r="N166" t="s">
        <v>667</v>
      </c>
      <c r="O166">
        <v>10.71</v>
      </c>
      <c r="P166">
        <v>8.59</v>
      </c>
      <c r="Q166" t="s">
        <v>10</v>
      </c>
      <c r="R166" t="s">
        <v>689</v>
      </c>
      <c r="S166" t="s">
        <v>668</v>
      </c>
    </row>
    <row r="167" spans="1:24" ht="16" x14ac:dyDescent="0.2">
      <c r="A167" t="s">
        <v>569</v>
      </c>
      <c r="B167" t="s">
        <v>570</v>
      </c>
      <c r="C167" t="s">
        <v>224</v>
      </c>
      <c r="D167" t="s">
        <v>321</v>
      </c>
      <c r="G167">
        <v>232</v>
      </c>
      <c r="H167" t="s">
        <v>326</v>
      </c>
      <c r="I167" t="s">
        <v>664</v>
      </c>
      <c r="J167" t="s">
        <v>682</v>
      </c>
      <c r="L167" t="s">
        <v>269</v>
      </c>
      <c r="M167" t="s">
        <v>666</v>
      </c>
      <c r="N167" t="s">
        <v>667</v>
      </c>
      <c r="O167">
        <v>14.8</v>
      </c>
      <c r="P167">
        <v>11.39</v>
      </c>
      <c r="Q167" t="s">
        <v>10</v>
      </c>
      <c r="R167" t="s">
        <v>689</v>
      </c>
    </row>
    <row r="168" spans="1:24" ht="16" x14ac:dyDescent="0.2">
      <c r="A168" t="s">
        <v>571</v>
      </c>
      <c r="B168" t="s">
        <v>570</v>
      </c>
      <c r="C168" t="s">
        <v>224</v>
      </c>
      <c r="E168">
        <f>(1.69+1.63+1.12)/3</f>
        <v>1.4799999999999998</v>
      </c>
      <c r="F168">
        <f>(0.93+0.95+0.92)/3</f>
        <v>0.93333333333333324</v>
      </c>
      <c r="G168">
        <v>244</v>
      </c>
      <c r="H168" t="s">
        <v>326</v>
      </c>
      <c r="I168" t="s">
        <v>664</v>
      </c>
      <c r="J168" t="s">
        <v>687</v>
      </c>
      <c r="Q168" t="s">
        <v>10</v>
      </c>
      <c r="R168" t="s">
        <v>689</v>
      </c>
      <c r="S168" t="s">
        <v>668</v>
      </c>
      <c r="X168" s="5" t="s">
        <v>572</v>
      </c>
    </row>
    <row r="169" spans="1:24" ht="16" x14ac:dyDescent="0.2">
      <c r="A169" t="s">
        <v>573</v>
      </c>
      <c r="B169" t="s">
        <v>570</v>
      </c>
      <c r="C169" t="s">
        <v>224</v>
      </c>
      <c r="E169">
        <f>(1.03+1+1.05)/3</f>
        <v>1.0266666666666666</v>
      </c>
      <c r="F169">
        <f>(0.83+0.81+0.87)/3</f>
        <v>0.83666666666666678</v>
      </c>
      <c r="G169">
        <v>216.3</v>
      </c>
      <c r="H169" t="s">
        <v>326</v>
      </c>
      <c r="I169" t="s">
        <v>664</v>
      </c>
      <c r="J169" t="s">
        <v>665</v>
      </c>
      <c r="Q169" t="s">
        <v>10</v>
      </c>
      <c r="R169" t="s">
        <v>689</v>
      </c>
      <c r="S169" t="s">
        <v>668</v>
      </c>
      <c r="X169" s="5" t="s">
        <v>572</v>
      </c>
    </row>
    <row r="170" spans="1:24" ht="16" x14ac:dyDescent="0.2">
      <c r="A170" t="s">
        <v>574</v>
      </c>
      <c r="B170" t="s">
        <v>570</v>
      </c>
      <c r="C170" t="s">
        <v>224</v>
      </c>
      <c r="E170">
        <f>(1.3+1.27+1.26)/3</f>
        <v>1.2766666666666666</v>
      </c>
      <c r="F170">
        <f>(0.81+0.84+0.88)/3</f>
        <v>0.84333333333333327</v>
      </c>
      <c r="G170">
        <v>231.7</v>
      </c>
      <c r="H170" t="s">
        <v>326</v>
      </c>
      <c r="I170" t="s">
        <v>664</v>
      </c>
      <c r="J170" t="s">
        <v>665</v>
      </c>
      <c r="Q170" t="s">
        <v>10</v>
      </c>
      <c r="R170" t="s">
        <v>689</v>
      </c>
      <c r="S170" t="s">
        <v>695</v>
      </c>
      <c r="X170" s="5" t="s">
        <v>572</v>
      </c>
    </row>
    <row r="171" spans="1:24" ht="16" x14ac:dyDescent="0.2">
      <c r="A171" t="s">
        <v>575</v>
      </c>
      <c r="B171" t="s">
        <v>576</v>
      </c>
      <c r="C171" t="s">
        <v>577</v>
      </c>
      <c r="D171" t="s">
        <v>384</v>
      </c>
      <c r="E171">
        <f>(1.15+1.12+1.13)/3</f>
        <v>1.1333333333333333</v>
      </c>
      <c r="F171">
        <f>(0.91+0.91+0.94)/3</f>
        <v>0.91999999999999993</v>
      </c>
      <c r="G171">
        <v>205</v>
      </c>
      <c r="H171" t="s">
        <v>348</v>
      </c>
      <c r="I171" t="s">
        <v>606</v>
      </c>
      <c r="J171" t="s">
        <v>682</v>
      </c>
      <c r="L171" t="s">
        <v>269</v>
      </c>
      <c r="M171" t="s">
        <v>672</v>
      </c>
      <c r="N171" t="s">
        <v>667</v>
      </c>
      <c r="O171">
        <v>13.65</v>
      </c>
      <c r="P171">
        <v>11.29</v>
      </c>
      <c r="Q171" t="s">
        <v>18</v>
      </c>
      <c r="R171" t="s">
        <v>692</v>
      </c>
      <c r="S171" t="s">
        <v>695</v>
      </c>
    </row>
    <row r="172" spans="1:24" ht="16" x14ac:dyDescent="0.2">
      <c r="A172" t="s">
        <v>579</v>
      </c>
      <c r="B172" t="s">
        <v>576</v>
      </c>
      <c r="C172" t="s">
        <v>577</v>
      </c>
      <c r="D172" t="s">
        <v>384</v>
      </c>
      <c r="E172">
        <f>(0.91+1.1+1.3)/3</f>
        <v>1.1033333333333335</v>
      </c>
      <c r="F172">
        <f>(0.93+1.13+0.98)/3</f>
        <v>1.0133333333333334</v>
      </c>
      <c r="G172">
        <v>122</v>
      </c>
      <c r="H172" t="s">
        <v>677</v>
      </c>
      <c r="I172" t="s">
        <v>664</v>
      </c>
      <c r="J172" t="s">
        <v>682</v>
      </c>
      <c r="L172" t="s">
        <v>269</v>
      </c>
      <c r="M172" t="s">
        <v>672</v>
      </c>
      <c r="N172" t="s">
        <v>667</v>
      </c>
      <c r="O172">
        <v>12.84</v>
      </c>
      <c r="P172">
        <v>11.16</v>
      </c>
      <c r="Q172" t="s">
        <v>18</v>
      </c>
      <c r="R172" t="s">
        <v>693</v>
      </c>
      <c r="S172" t="s">
        <v>695</v>
      </c>
    </row>
    <row r="173" spans="1:24" ht="16" x14ac:dyDescent="0.2">
      <c r="A173" t="s">
        <v>580</v>
      </c>
      <c r="B173" t="s">
        <v>576</v>
      </c>
      <c r="C173" t="s">
        <v>577</v>
      </c>
      <c r="D173" t="s">
        <v>384</v>
      </c>
      <c r="E173">
        <f>(0.97+1.08+1.03)/3</f>
        <v>1.0266666666666666</v>
      </c>
      <c r="F173">
        <f>(0.92+0.95+0.97)/3</f>
        <v>0.94666666666666666</v>
      </c>
      <c r="G173">
        <v>158.30000000000001</v>
      </c>
      <c r="H173" t="s">
        <v>677</v>
      </c>
      <c r="I173" t="s">
        <v>664</v>
      </c>
      <c r="J173" t="s">
        <v>682</v>
      </c>
      <c r="L173" t="s">
        <v>269</v>
      </c>
      <c r="M173" t="s">
        <v>672</v>
      </c>
      <c r="N173" t="s">
        <v>667</v>
      </c>
      <c r="O173">
        <v>8.8800000000000008</v>
      </c>
      <c r="P173">
        <v>6.93</v>
      </c>
      <c r="Q173" t="s">
        <v>18</v>
      </c>
      <c r="R173" t="s">
        <v>692</v>
      </c>
      <c r="S173" t="s">
        <v>695</v>
      </c>
    </row>
    <row r="174" spans="1:24" ht="16" x14ac:dyDescent="0.2">
      <c r="A174" t="s">
        <v>581</v>
      </c>
      <c r="B174" t="s">
        <v>582</v>
      </c>
      <c r="C174" t="s">
        <v>224</v>
      </c>
      <c r="L174" t="s">
        <v>269</v>
      </c>
      <c r="M174" t="s">
        <v>672</v>
      </c>
      <c r="N174" t="s">
        <v>667</v>
      </c>
      <c r="O174">
        <v>11.82</v>
      </c>
      <c r="P174">
        <v>9.9600000000000009</v>
      </c>
      <c r="Q174" t="s">
        <v>18</v>
      </c>
    </row>
    <row r="175" spans="1:24" ht="16" x14ac:dyDescent="0.2">
      <c r="A175" t="s">
        <v>583</v>
      </c>
      <c r="B175" t="s">
        <v>584</v>
      </c>
      <c r="C175" t="s">
        <v>224</v>
      </c>
      <c r="L175" t="s">
        <v>269</v>
      </c>
      <c r="M175" t="s">
        <v>672</v>
      </c>
      <c r="N175" t="s">
        <v>667</v>
      </c>
      <c r="O175">
        <v>8.74</v>
      </c>
      <c r="P175">
        <v>7.09</v>
      </c>
      <c r="Q175" t="s">
        <v>18</v>
      </c>
    </row>
    <row r="176" spans="1:24" ht="16" x14ac:dyDescent="0.2">
      <c r="A176" t="s">
        <v>585</v>
      </c>
      <c r="B176" t="s">
        <v>586</v>
      </c>
      <c r="C176" t="s">
        <v>224</v>
      </c>
      <c r="D176" t="s">
        <v>384</v>
      </c>
      <c r="E176">
        <f>(1.43 + 1.31 + 1.01) / 3</f>
        <v>1.25</v>
      </c>
      <c r="F176">
        <f>(0.91+0.87+0.84)/3</f>
        <v>0.87333333333333341</v>
      </c>
      <c r="G176">
        <v>137.30000000000001</v>
      </c>
      <c r="H176" t="s">
        <v>677</v>
      </c>
      <c r="I176" t="s">
        <v>664</v>
      </c>
      <c r="J176" t="s">
        <v>687</v>
      </c>
      <c r="L176" t="s">
        <v>360</v>
      </c>
      <c r="M176" t="s">
        <v>672</v>
      </c>
      <c r="N176" t="s">
        <v>667</v>
      </c>
      <c r="O176">
        <v>10.76</v>
      </c>
      <c r="P176">
        <v>7.97</v>
      </c>
      <c r="Q176" t="s">
        <v>18</v>
      </c>
      <c r="R176" t="s">
        <v>689</v>
      </c>
      <c r="S176" t="s">
        <v>695</v>
      </c>
    </row>
    <row r="177" spans="4:18" ht="16" x14ac:dyDescent="0.2"/>
    <row r="178" spans="4:18" ht="16" x14ac:dyDescent="0.2">
      <c r="H178" t="s">
        <v>696</v>
      </c>
      <c r="I178" t="s">
        <v>697</v>
      </c>
      <c r="J178" t="s">
        <v>698</v>
      </c>
      <c r="M178" t="s">
        <v>699</v>
      </c>
      <c r="N178" t="s">
        <v>700</v>
      </c>
      <c r="R178" t="s">
        <v>701</v>
      </c>
    </row>
    <row r="179" spans="4:18" ht="16" x14ac:dyDescent="0.2">
      <c r="D179" s="5" t="s">
        <v>702</v>
      </c>
      <c r="H179" t="s">
        <v>703</v>
      </c>
      <c r="I179" t="s">
        <v>704</v>
      </c>
      <c r="J179" t="s">
        <v>705</v>
      </c>
      <c r="M179" t="s">
        <v>706</v>
      </c>
      <c r="N179" t="s">
        <v>707</v>
      </c>
      <c r="R179" t="s">
        <v>708</v>
      </c>
    </row>
    <row r="180" spans="4:18" ht="16" x14ac:dyDescent="0.2">
      <c r="H180" t="s">
        <v>709</v>
      </c>
      <c r="I180" t="s">
        <v>710</v>
      </c>
      <c r="J180" t="s">
        <v>711</v>
      </c>
      <c r="R180" t="s">
        <v>712</v>
      </c>
    </row>
    <row r="181" spans="4:18" ht="16" x14ac:dyDescent="0.2">
      <c r="H181" t="s">
        <v>713</v>
      </c>
      <c r="I181" t="s">
        <v>714</v>
      </c>
      <c r="J181" t="s">
        <v>715</v>
      </c>
    </row>
    <row r="182" spans="4:18" ht="16" x14ac:dyDescent="0.2"/>
    <row r="183" spans="4:18" ht="16" x14ac:dyDescent="0.2">
      <c r="H183" s="10" t="s">
        <v>716</v>
      </c>
    </row>
    <row r="184" spans="4:18" ht="16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D69F-F0D3-489B-A955-E7599DDDE567}">
  <dimension ref="A1:Y1"/>
  <sheetViews>
    <sheetView workbookViewId="0">
      <selection activeCell="T1" sqref="T1:Y1"/>
    </sheetView>
  </sheetViews>
  <sheetFormatPr baseColWidth="10" defaultColWidth="8.83203125" defaultRowHeight="16" x14ac:dyDescent="0.2"/>
  <sheetData>
    <row r="1" spans="1:25" x14ac:dyDescent="0.2">
      <c r="A1" s="4" t="s">
        <v>298</v>
      </c>
      <c r="B1" s="4" t="s">
        <v>299</v>
      </c>
      <c r="C1" s="4" t="s">
        <v>300</v>
      </c>
      <c r="D1" s="4" t="s">
        <v>301</v>
      </c>
      <c r="E1" s="4" t="s">
        <v>302</v>
      </c>
      <c r="F1" s="4" t="s">
        <v>304</v>
      </c>
      <c r="G1" s="1" t="s">
        <v>305</v>
      </c>
      <c r="H1" s="1" t="s">
        <v>253</v>
      </c>
      <c r="I1" s="1" t="s">
        <v>306</v>
      </c>
      <c r="J1" s="1" t="s">
        <v>307</v>
      </c>
      <c r="K1" s="1" t="s">
        <v>308</v>
      </c>
      <c r="L1" s="1" t="s">
        <v>309</v>
      </c>
      <c r="M1" s="1" t="s">
        <v>310</v>
      </c>
      <c r="N1" s="1" t="s">
        <v>297</v>
      </c>
      <c r="O1" s="1" t="s">
        <v>259</v>
      </c>
      <c r="P1" s="1" t="s">
        <v>260</v>
      </c>
      <c r="Q1" s="1" t="s">
        <v>261</v>
      </c>
      <c r="R1" s="1" t="s">
        <v>262</v>
      </c>
      <c r="S1" s="17" t="s">
        <v>263</v>
      </c>
      <c r="T1" s="17" t="s">
        <v>311</v>
      </c>
      <c r="U1" s="17" t="s">
        <v>312</v>
      </c>
      <c r="V1" s="17" t="s">
        <v>313</v>
      </c>
      <c r="W1" s="17" t="s">
        <v>314</v>
      </c>
      <c r="X1" s="17" t="s">
        <v>315</v>
      </c>
      <c r="Y1" s="17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Locality_Data</vt:lpstr>
      <vt:lpstr>C_Gorge_Apr_18_24</vt:lpstr>
      <vt:lpstr>Raw_Morpho_Data</vt:lpstr>
      <vt:lpstr>pH</vt:lpstr>
      <vt:lpstr>Cleaned_Data</vt:lpstr>
      <vt:lpstr>All_Characters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Lambert, Brett</cp:lastModifiedBy>
  <cp:revision/>
  <dcterms:created xsi:type="dcterms:W3CDTF">2023-03-08T14:18:52Z</dcterms:created>
  <dcterms:modified xsi:type="dcterms:W3CDTF">2025-02-12T13:14:07Z</dcterms:modified>
  <cp:category/>
  <cp:contentStatus/>
</cp:coreProperties>
</file>