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lariamalisan\Downloads\"/>
    </mc:Choice>
  </mc:AlternateContent>
  <bookViews>
    <workbookView xWindow="0" yWindow="0" windowWidth="21600" windowHeight="9630"/>
  </bookViews>
  <sheets>
    <sheet name="eq2_homeworkhours" sheetId="1" r:id="rId1"/>
  </sheets>
  <calcPr calcId="0"/>
</workbook>
</file>

<file path=xl/calcChain.xml><?xml version="1.0" encoding="utf-8"?>
<calcChain xmlns="http://schemas.openxmlformats.org/spreadsheetml/2006/main">
  <c r="E2" i="1" l="1"/>
  <c r="D2" i="1"/>
  <c r="C2" i="1"/>
  <c r="B2" i="1"/>
  <c r="A2" i="1"/>
  <c r="A3" i="1"/>
  <c r="B3" i="1"/>
  <c r="C3" i="1"/>
  <c r="D3" i="1"/>
  <c r="E3" i="1"/>
  <c r="A14" i="1"/>
  <c r="B14" i="1"/>
  <c r="C14" i="1"/>
  <c r="D14" i="1"/>
  <c r="E14" i="1"/>
  <c r="A15" i="1"/>
  <c r="B15" i="1"/>
  <c r="C15" i="1"/>
  <c r="D15" i="1"/>
  <c r="E15" i="1"/>
  <c r="A20" i="1"/>
  <c r="B20" i="1"/>
  <c r="C20" i="1"/>
  <c r="D20" i="1"/>
  <c r="E20" i="1"/>
  <c r="A21" i="1"/>
  <c r="B21" i="1"/>
  <c r="C21" i="1"/>
  <c r="D21" i="1"/>
  <c r="E21" i="1"/>
  <c r="A26" i="1"/>
  <c r="B26" i="1"/>
  <c r="C26" i="1"/>
  <c r="D26" i="1"/>
  <c r="E26" i="1"/>
  <c r="A27" i="1"/>
  <c r="B27" i="1"/>
  <c r="C27" i="1"/>
  <c r="D27" i="1"/>
  <c r="E27" i="1"/>
  <c r="A32" i="1"/>
  <c r="B32" i="1"/>
  <c r="C32" i="1"/>
  <c r="D32" i="1"/>
  <c r="E32" i="1"/>
  <c r="A33" i="1"/>
  <c r="B33" i="1"/>
  <c r="C33" i="1"/>
  <c r="D33" i="1"/>
  <c r="E33" i="1"/>
  <c r="A38" i="1"/>
  <c r="B38" i="1"/>
  <c r="C38" i="1"/>
  <c r="D38" i="1"/>
  <c r="E38" i="1"/>
  <c r="A39" i="1"/>
  <c r="B39" i="1"/>
  <c r="C39" i="1"/>
  <c r="D39" i="1"/>
  <c r="E39" i="1"/>
  <c r="A44" i="1"/>
  <c r="B44" i="1"/>
  <c r="C44" i="1"/>
  <c r="D44" i="1"/>
  <c r="E44" i="1"/>
  <c r="A45" i="1"/>
  <c r="B45" i="1"/>
  <c r="C45" i="1"/>
  <c r="D45" i="1"/>
  <c r="E45" i="1"/>
  <c r="A50" i="1"/>
  <c r="B50" i="1"/>
  <c r="C50" i="1"/>
  <c r="D50" i="1"/>
  <c r="E50" i="1"/>
  <c r="A51" i="1"/>
  <c r="B51" i="1"/>
  <c r="C51" i="1"/>
  <c r="D51" i="1"/>
  <c r="E51" i="1"/>
  <c r="A53" i="1"/>
  <c r="B53" i="1"/>
  <c r="C53" i="1"/>
  <c r="D53" i="1"/>
  <c r="E53" i="1"/>
  <c r="A54" i="1"/>
  <c r="B54" i="1"/>
  <c r="C54" i="1"/>
  <c r="D54" i="1"/>
  <c r="E54" i="1"/>
  <c r="A56" i="1"/>
  <c r="B56" i="1"/>
  <c r="C56" i="1"/>
  <c r="D56" i="1"/>
  <c r="E56" i="1"/>
  <c r="A57" i="1"/>
  <c r="B57" i="1"/>
  <c r="C57" i="1"/>
  <c r="D57" i="1"/>
  <c r="E57" i="1"/>
  <c r="A59" i="1"/>
  <c r="B59" i="1"/>
  <c r="C59" i="1"/>
  <c r="D59" i="1"/>
  <c r="E59" i="1"/>
  <c r="A60" i="1"/>
  <c r="B60" i="1"/>
  <c r="C60" i="1"/>
  <c r="D60" i="1"/>
  <c r="E60" i="1"/>
  <c r="A62" i="1"/>
  <c r="B62" i="1"/>
  <c r="C62" i="1"/>
  <c r="D62" i="1"/>
  <c r="E62" i="1"/>
  <c r="A63" i="1"/>
  <c r="B63" i="1"/>
  <c r="C63" i="1"/>
  <c r="D63" i="1"/>
  <c r="E63" i="1"/>
  <c r="A65" i="1"/>
  <c r="B65" i="1"/>
  <c r="C65" i="1"/>
  <c r="D65" i="1"/>
  <c r="E65" i="1"/>
  <c r="A66" i="1"/>
  <c r="B66" i="1"/>
  <c r="C66" i="1"/>
  <c r="D66" i="1"/>
  <c r="E66" i="1"/>
  <c r="A68" i="1"/>
  <c r="B68" i="1"/>
  <c r="C68" i="1"/>
  <c r="D68" i="1"/>
  <c r="E68" i="1"/>
  <c r="A69" i="1"/>
  <c r="B69" i="1"/>
  <c r="C69" i="1"/>
  <c r="D69" i="1"/>
  <c r="E69" i="1"/>
  <c r="A71" i="1"/>
  <c r="B71" i="1"/>
  <c r="C71" i="1"/>
  <c r="D71" i="1"/>
  <c r="E71" i="1"/>
  <c r="A72" i="1"/>
  <c r="B72" i="1"/>
  <c r="C72" i="1"/>
  <c r="D72" i="1"/>
  <c r="E72" i="1"/>
  <c r="A74" i="1"/>
  <c r="B74" i="1"/>
  <c r="C74" i="1"/>
  <c r="D74" i="1"/>
  <c r="E74" i="1"/>
  <c r="A75" i="1"/>
  <c r="B75" i="1"/>
  <c r="C75" i="1"/>
  <c r="D75" i="1"/>
  <c r="E75" i="1"/>
  <c r="A77" i="1"/>
  <c r="B77" i="1"/>
  <c r="C77" i="1"/>
  <c r="D77" i="1"/>
  <c r="E77" i="1"/>
  <c r="A78" i="1"/>
  <c r="B78" i="1"/>
  <c r="C78" i="1"/>
  <c r="D78" i="1"/>
  <c r="E78" i="1"/>
  <c r="A80" i="1"/>
  <c r="B80" i="1"/>
  <c r="C80" i="1"/>
  <c r="D80" i="1"/>
  <c r="E80" i="1"/>
  <c r="A81" i="1"/>
  <c r="B81" i="1"/>
  <c r="C81" i="1"/>
  <c r="D81" i="1"/>
  <c r="E81" i="1"/>
  <c r="A83" i="1"/>
  <c r="B83" i="1"/>
  <c r="C83" i="1"/>
  <c r="D83" i="1"/>
  <c r="E83" i="1"/>
  <c r="A84" i="1"/>
  <c r="B84" i="1"/>
  <c r="C84" i="1"/>
  <c r="D84" i="1"/>
  <c r="E84" i="1"/>
  <c r="A86" i="1"/>
  <c r="B86" i="1"/>
  <c r="C86" i="1"/>
  <c r="D86" i="1"/>
  <c r="E86" i="1"/>
  <c r="A87" i="1"/>
  <c r="B87" i="1"/>
  <c r="C87" i="1"/>
  <c r="D87" i="1"/>
  <c r="E87" i="1"/>
  <c r="A89" i="1"/>
  <c r="B89" i="1"/>
  <c r="C89" i="1"/>
  <c r="D89" i="1"/>
  <c r="E89" i="1"/>
  <c r="A90" i="1"/>
  <c r="B90" i="1"/>
  <c r="C90" i="1"/>
  <c r="D90" i="1"/>
  <c r="E90" i="1"/>
  <c r="A92" i="1"/>
  <c r="B92" i="1"/>
  <c r="C92" i="1"/>
  <c r="D92" i="1"/>
  <c r="E92" i="1"/>
  <c r="A93" i="1"/>
  <c r="B93" i="1"/>
  <c r="C93" i="1"/>
  <c r="D93" i="1"/>
  <c r="E93" i="1"/>
  <c r="A95" i="1"/>
  <c r="B95" i="1"/>
  <c r="C95" i="1"/>
  <c r="D95" i="1"/>
  <c r="E95" i="1"/>
  <c r="A96" i="1"/>
  <c r="B96" i="1"/>
  <c r="C96" i="1"/>
  <c r="D96" i="1"/>
  <c r="E96" i="1"/>
  <c r="A98" i="1"/>
  <c r="B98" i="1"/>
  <c r="C98" i="1"/>
  <c r="D98" i="1"/>
  <c r="E98" i="1"/>
  <c r="A99" i="1"/>
  <c r="B99" i="1"/>
  <c r="C99" i="1"/>
  <c r="D99" i="1"/>
  <c r="E99" i="1"/>
  <c r="A104" i="1"/>
  <c r="B104" i="1"/>
  <c r="C104" i="1"/>
  <c r="D104" i="1"/>
  <c r="E104" i="1"/>
  <c r="A105" i="1"/>
  <c r="B105" i="1"/>
  <c r="C105" i="1"/>
  <c r="D105" i="1"/>
  <c r="E105" i="1"/>
  <c r="A107" i="1"/>
  <c r="B107" i="1"/>
  <c r="C107" i="1"/>
  <c r="D107" i="1"/>
  <c r="E107" i="1"/>
  <c r="A108" i="1"/>
  <c r="B108" i="1"/>
  <c r="C108" i="1"/>
  <c r="D108" i="1"/>
  <c r="E108" i="1"/>
  <c r="A110" i="1"/>
  <c r="B110" i="1"/>
  <c r="C110" i="1"/>
  <c r="D110" i="1"/>
  <c r="E110" i="1"/>
  <c r="A111" i="1"/>
  <c r="B111" i="1"/>
  <c r="C111" i="1"/>
  <c r="D111" i="1"/>
  <c r="E111" i="1"/>
  <c r="A113" i="1"/>
  <c r="B113" i="1"/>
  <c r="C113" i="1"/>
  <c r="D113" i="1"/>
  <c r="E113" i="1"/>
  <c r="A114" i="1"/>
  <c r="B114" i="1"/>
  <c r="C114" i="1"/>
  <c r="D114" i="1"/>
  <c r="E114" i="1"/>
  <c r="A116" i="1"/>
  <c r="B116" i="1"/>
  <c r="C116" i="1"/>
  <c r="D116" i="1"/>
  <c r="E116" i="1"/>
  <c r="A117" i="1"/>
  <c r="B117" i="1"/>
  <c r="C117" i="1"/>
  <c r="D117" i="1"/>
  <c r="E117" i="1"/>
  <c r="A119" i="1"/>
  <c r="B119" i="1"/>
  <c r="C119" i="1"/>
  <c r="D119" i="1"/>
  <c r="E119" i="1"/>
  <c r="A120" i="1"/>
  <c r="B120" i="1"/>
  <c r="C120" i="1"/>
  <c r="D120" i="1"/>
  <c r="E120" i="1"/>
  <c r="A122" i="1"/>
  <c r="B122" i="1"/>
  <c r="C122" i="1"/>
  <c r="D122" i="1"/>
  <c r="E122" i="1"/>
  <c r="A123" i="1"/>
  <c r="B123" i="1"/>
  <c r="C123" i="1"/>
  <c r="D123" i="1"/>
  <c r="E123" i="1"/>
  <c r="A125" i="1"/>
  <c r="B125" i="1"/>
  <c r="C125" i="1"/>
  <c r="D125" i="1"/>
  <c r="E125" i="1"/>
  <c r="A126" i="1"/>
  <c r="B126" i="1"/>
  <c r="C126" i="1"/>
  <c r="D126" i="1"/>
  <c r="E126" i="1"/>
  <c r="A128" i="1"/>
  <c r="B128" i="1"/>
  <c r="C128" i="1"/>
  <c r="D128" i="1"/>
  <c r="E128" i="1"/>
  <c r="A129" i="1"/>
  <c r="B129" i="1"/>
  <c r="C129" i="1"/>
  <c r="D129" i="1"/>
  <c r="E129" i="1"/>
  <c r="A131" i="1"/>
  <c r="B131" i="1"/>
  <c r="C131" i="1"/>
  <c r="D131" i="1"/>
  <c r="E131" i="1"/>
  <c r="A132" i="1"/>
  <c r="B132" i="1"/>
  <c r="C132" i="1"/>
  <c r="D132" i="1"/>
  <c r="E132" i="1"/>
  <c r="A134" i="1"/>
  <c r="B134" i="1"/>
  <c r="C134" i="1"/>
  <c r="D134" i="1"/>
  <c r="E134" i="1"/>
  <c r="A135" i="1"/>
  <c r="B135" i="1"/>
  <c r="C135" i="1"/>
  <c r="D135" i="1"/>
  <c r="E135" i="1"/>
  <c r="A137" i="1"/>
  <c r="B137" i="1"/>
  <c r="C137" i="1"/>
  <c r="D137" i="1"/>
  <c r="E137" i="1"/>
  <c r="A138" i="1"/>
  <c r="B138" i="1"/>
  <c r="C138" i="1"/>
  <c r="D138" i="1"/>
  <c r="E138" i="1"/>
  <c r="A140" i="1"/>
  <c r="B140" i="1"/>
  <c r="C140" i="1"/>
  <c r="D140" i="1"/>
  <c r="E140" i="1"/>
  <c r="A141" i="1"/>
  <c r="B141" i="1"/>
  <c r="C141" i="1"/>
  <c r="D141" i="1"/>
  <c r="E141" i="1"/>
  <c r="A143" i="1"/>
  <c r="B143" i="1"/>
  <c r="C143" i="1"/>
  <c r="D143" i="1"/>
  <c r="E143" i="1"/>
  <c r="A144" i="1"/>
  <c r="B144" i="1"/>
  <c r="C144" i="1"/>
  <c r="D144" i="1"/>
  <c r="E144" i="1"/>
  <c r="A146" i="1"/>
  <c r="B146" i="1"/>
  <c r="C146" i="1"/>
  <c r="D146" i="1"/>
  <c r="E146" i="1"/>
  <c r="A147" i="1"/>
  <c r="B147" i="1"/>
  <c r="C147" i="1"/>
  <c r="D147" i="1"/>
  <c r="E147" i="1"/>
  <c r="A149" i="1"/>
  <c r="B149" i="1"/>
  <c r="C149" i="1"/>
  <c r="D149" i="1"/>
  <c r="E149" i="1"/>
  <c r="A150" i="1"/>
  <c r="B150" i="1"/>
  <c r="C150" i="1"/>
  <c r="D150" i="1"/>
  <c r="E150" i="1"/>
  <c r="A152" i="1"/>
  <c r="B152" i="1"/>
  <c r="C152" i="1"/>
  <c r="D152" i="1"/>
  <c r="E152" i="1"/>
  <c r="A153" i="1"/>
  <c r="B153" i="1"/>
  <c r="C153" i="1"/>
  <c r="D153" i="1"/>
  <c r="E153" i="1"/>
  <c r="A155" i="1"/>
  <c r="B155" i="1"/>
  <c r="C155" i="1"/>
  <c r="D155" i="1"/>
  <c r="E155" i="1"/>
  <c r="A156" i="1"/>
  <c r="B156" i="1"/>
  <c r="C156" i="1"/>
  <c r="D156" i="1"/>
  <c r="E156" i="1"/>
  <c r="A158" i="1"/>
  <c r="B158" i="1"/>
  <c r="C158" i="1"/>
  <c r="D158" i="1"/>
  <c r="E158" i="1"/>
  <c r="A159" i="1"/>
  <c r="B159" i="1"/>
  <c r="C159" i="1"/>
  <c r="D159" i="1"/>
  <c r="E159" i="1"/>
  <c r="A161" i="1"/>
  <c r="B161" i="1"/>
  <c r="C161" i="1"/>
  <c r="D161" i="1"/>
  <c r="E161" i="1"/>
  <c r="A162" i="1"/>
  <c r="B162" i="1"/>
  <c r="C162" i="1"/>
  <c r="D162" i="1"/>
  <c r="E162" i="1"/>
  <c r="A5" i="1"/>
  <c r="B5" i="1"/>
  <c r="C5" i="1"/>
  <c r="D5" i="1"/>
  <c r="E5" i="1"/>
  <c r="A6" i="1"/>
  <c r="B6" i="1"/>
  <c r="C6" i="1"/>
  <c r="D6" i="1"/>
  <c r="E6" i="1"/>
  <c r="A17" i="1"/>
  <c r="B17" i="1"/>
  <c r="C17" i="1"/>
  <c r="D17" i="1"/>
  <c r="E17" i="1"/>
  <c r="A18" i="1"/>
  <c r="B18" i="1"/>
  <c r="C18" i="1"/>
  <c r="D18" i="1"/>
  <c r="E18" i="1"/>
  <c r="A23" i="1"/>
  <c r="B23" i="1"/>
  <c r="C23" i="1"/>
  <c r="D23" i="1"/>
  <c r="E23" i="1"/>
  <c r="A24" i="1"/>
  <c r="B24" i="1"/>
  <c r="C24" i="1"/>
  <c r="D24" i="1"/>
  <c r="E24" i="1"/>
  <c r="A29" i="1"/>
  <c r="B29" i="1"/>
  <c r="C29" i="1"/>
  <c r="D29" i="1"/>
  <c r="E29" i="1"/>
  <c r="A30" i="1"/>
  <c r="B30" i="1"/>
  <c r="C30" i="1"/>
  <c r="D30" i="1"/>
  <c r="E30" i="1"/>
  <c r="A35" i="1"/>
  <c r="B35" i="1"/>
  <c r="C35" i="1"/>
  <c r="D35" i="1"/>
  <c r="E35" i="1"/>
  <c r="A36" i="1"/>
  <c r="B36" i="1"/>
  <c r="C36" i="1"/>
  <c r="D36" i="1"/>
  <c r="E36" i="1"/>
  <c r="A41" i="1"/>
  <c r="B41" i="1"/>
  <c r="C41" i="1"/>
  <c r="D41" i="1"/>
  <c r="E41" i="1"/>
  <c r="A42" i="1"/>
  <c r="B42" i="1"/>
  <c r="C42" i="1"/>
  <c r="D42" i="1"/>
  <c r="E42" i="1"/>
  <c r="A47" i="1"/>
  <c r="B47" i="1"/>
  <c r="C47" i="1"/>
  <c r="D47" i="1"/>
  <c r="E47" i="1"/>
  <c r="A48" i="1"/>
  <c r="B48" i="1"/>
  <c r="C48" i="1"/>
  <c r="D48" i="1"/>
  <c r="E48" i="1"/>
  <c r="A101" i="1"/>
  <c r="B101" i="1"/>
  <c r="C101" i="1"/>
  <c r="D101" i="1"/>
  <c r="E101" i="1"/>
  <c r="A102" i="1"/>
  <c r="B102" i="1"/>
  <c r="C102" i="1"/>
  <c r="D102" i="1"/>
  <c r="E102" i="1"/>
  <c r="A8" i="1"/>
  <c r="B8" i="1"/>
  <c r="C8" i="1"/>
  <c r="D8" i="1"/>
  <c r="E8" i="1"/>
  <c r="A9" i="1"/>
  <c r="B9" i="1"/>
  <c r="C9" i="1"/>
  <c r="D9" i="1"/>
  <c r="E9" i="1"/>
  <c r="A11" i="1"/>
  <c r="B11" i="1"/>
  <c r="C11" i="1"/>
  <c r="D11" i="1"/>
  <c r="E11" i="1"/>
  <c r="A12" i="1"/>
  <c r="B12" i="1"/>
  <c r="C12" i="1"/>
  <c r="D12" i="1"/>
  <c r="E12" i="1"/>
  <c r="A164" i="1"/>
  <c r="B164" i="1"/>
  <c r="C164" i="1"/>
  <c r="D164" i="1"/>
  <c r="E164" i="1"/>
  <c r="A165" i="1"/>
  <c r="B165" i="1"/>
  <c r="C165" i="1"/>
  <c r="D165" i="1"/>
  <c r="E165" i="1"/>
  <c r="A167" i="1"/>
  <c r="B167" i="1"/>
  <c r="C167" i="1"/>
  <c r="D167" i="1"/>
  <c r="E167" i="1"/>
  <c r="A169" i="1"/>
  <c r="B169" i="1"/>
  <c r="C169" i="1"/>
  <c r="D169" i="1"/>
  <c r="E169" i="1"/>
  <c r="A171" i="1"/>
  <c r="B171" i="1"/>
  <c r="C171" i="1"/>
  <c r="D171" i="1"/>
  <c r="E171" i="1"/>
  <c r="A173" i="1"/>
</calcChain>
</file>

<file path=xl/sharedStrings.xml><?xml version="1.0" encoding="utf-8"?>
<sst xmlns="http://schemas.openxmlformats.org/spreadsheetml/2006/main" count="4" uniqueCount="4">
  <si>
    <t>="* p&lt;0.05</t>
  </si>
  <si>
    <t xml:space="preserve"> *** p&lt;0.001"</t>
  </si>
  <si>
    <t>Married</t>
  </si>
  <si>
    <t>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</si>
</sst>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4"/>
  <sheetViews>
    <sheetView tabSelected="1" zoomScale="170" zoomScaleNormal="170" workbookViewId="0">
      <selection activeCell="G5" sqref="G5"/>
    </sheetView>
  </sheetViews>
  <sheetFormatPr defaultRowHeight="15" x14ac:dyDescent="0.25"/>
  <cols>
    <col min="1" max="1" width="23.85546875" bestFit="1" customWidth="1"/>
  </cols>
  <sheetData>
    <row r="1" spans="1:5" x14ac:dyDescent="0.25">
      <c r="B1" s="1" t="s">
        <v>2</v>
      </c>
      <c r="C1" s="1"/>
      <c r="D1" s="1" t="s">
        <v>3</v>
      </c>
      <c r="E1" s="1"/>
    </row>
    <row r="2" spans="1:5" x14ac:dyDescent="0.25">
      <c r="A2" t="str">
        <f>""</f>
        <v/>
      </c>
      <c r="B2" t="str">
        <f>"(1)"</f>
        <v>(1)</v>
      </c>
      <c r="C2" t="str">
        <f>"(2)"</f>
        <v>(2)</v>
      </c>
      <c r="D2" t="str">
        <f>"(3)"</f>
        <v>(3)</v>
      </c>
      <c r="E2" t="str">
        <f>"(4)"</f>
        <v>(4)</v>
      </c>
    </row>
    <row r="3" spans="1:5" x14ac:dyDescent="0.25">
      <c r="A3" t="str">
        <f>""</f>
        <v/>
      </c>
      <c r="B3" t="str">
        <f>"act_hhact"</f>
        <v>act_hhact</v>
      </c>
      <c r="C3" t="str">
        <f>"act_hhact"</f>
        <v>act_hhact</v>
      </c>
      <c r="D3" t="str">
        <f>"act_hhact"</f>
        <v>act_hhact</v>
      </c>
      <c r="E3" t="str">
        <f>"act_hhact"</f>
        <v>act_hhact</v>
      </c>
    </row>
    <row r="5" spans="1:5" x14ac:dyDescent="0.25">
      <c r="A5" t="str">
        <f>"pter_cps_couple"</f>
        <v>pter_cps_couple</v>
      </c>
      <c r="B5" t="str">
        <f>"17.27*"</f>
        <v>17.27*</v>
      </c>
      <c r="C5" t="str">
        <f>""</f>
        <v/>
      </c>
      <c r="D5" t="str">
        <f>""</f>
        <v/>
      </c>
      <c r="E5" t="str">
        <f>""</f>
        <v/>
      </c>
    </row>
    <row r="6" spans="1:5" x14ac:dyDescent="0.25">
      <c r="A6" t="str">
        <f>""</f>
        <v/>
      </c>
      <c r="B6" t="str">
        <f>"(2.42)"</f>
        <v>(2.42)</v>
      </c>
      <c r="C6" t="str">
        <f>""</f>
        <v/>
      </c>
      <c r="D6" t="str">
        <f>""</f>
        <v/>
      </c>
      <c r="E6" t="str">
        <f>""</f>
        <v/>
      </c>
    </row>
    <row r="8" spans="1:5" x14ac:dyDescent="0.25">
      <c r="A8" t="str">
        <f>"pter_atus_couple"</f>
        <v>pter_atus_couple</v>
      </c>
      <c r="B8" t="str">
        <f>""</f>
        <v/>
      </c>
      <c r="C8" t="str">
        <f>"-2.471"</f>
        <v>-2.471</v>
      </c>
      <c r="D8" t="str">
        <f>""</f>
        <v/>
      </c>
      <c r="E8" t="str">
        <f>""</f>
        <v/>
      </c>
    </row>
    <row r="9" spans="1:5" x14ac:dyDescent="0.25">
      <c r="A9" t="str">
        <f>""</f>
        <v/>
      </c>
      <c r="B9" t="str">
        <f>""</f>
        <v/>
      </c>
      <c r="C9" t="str">
        <f>"(-0.09)"</f>
        <v>(-0.09)</v>
      </c>
      <c r="D9" t="str">
        <f>""</f>
        <v/>
      </c>
      <c r="E9" t="str">
        <f>""</f>
        <v/>
      </c>
    </row>
    <row r="11" spans="1:5" x14ac:dyDescent="0.25">
      <c r="A11" t="str">
        <f>"pter_head"</f>
        <v>pter_head</v>
      </c>
      <c r="B11" t="str">
        <f>""</f>
        <v/>
      </c>
      <c r="C11" t="str">
        <f>""</f>
        <v/>
      </c>
      <c r="D11" t="str">
        <f>"0.233"</f>
        <v>0.233</v>
      </c>
      <c r="E11" t="str">
        <f>""</f>
        <v/>
      </c>
    </row>
    <row r="12" spans="1:5" x14ac:dyDescent="0.25">
      <c r="A12" t="str">
        <f>""</f>
        <v/>
      </c>
      <c r="B12" t="str">
        <f>""</f>
        <v/>
      </c>
      <c r="C12" t="str">
        <f>""</f>
        <v/>
      </c>
      <c r="D12" t="str">
        <f>"(0.16)"</f>
        <v>(0.16)</v>
      </c>
      <c r="E12" t="str">
        <f>""</f>
        <v/>
      </c>
    </row>
    <row r="14" spans="1:5" x14ac:dyDescent="0.25">
      <c r="A14" t="str">
        <f>"pter_atus"</f>
        <v>pter_atus</v>
      </c>
      <c r="B14" t="str">
        <f>""</f>
        <v/>
      </c>
      <c r="C14" t="str">
        <f>""</f>
        <v/>
      </c>
      <c r="D14" t="str">
        <f>""</f>
        <v/>
      </c>
      <c r="E14" t="str">
        <f>"-4.437"</f>
        <v>-4.437</v>
      </c>
    </row>
    <row r="15" spans="1:5" x14ac:dyDescent="0.25">
      <c r="A15" t="str">
        <f>""</f>
        <v/>
      </c>
      <c r="B15" t="str">
        <f>""</f>
        <v/>
      </c>
      <c r="C15" t="str">
        <f>""</f>
        <v/>
      </c>
      <c r="D15" t="str">
        <f>""</f>
        <v/>
      </c>
      <c r="E15" t="str">
        <f>"(-0.51)"</f>
        <v>(-0.51)</v>
      </c>
    </row>
    <row r="17" spans="1:5" x14ac:dyDescent="0.25">
      <c r="A17" t="str">
        <f>"age_head"</f>
        <v>age_head</v>
      </c>
      <c r="B17" t="str">
        <f>"1.118***"</f>
        <v>1.118***</v>
      </c>
      <c r="C17" t="str">
        <f>""</f>
        <v/>
      </c>
      <c r="D17" t="str">
        <f>"1.498***"</f>
        <v>1.498***</v>
      </c>
      <c r="E17" t="str">
        <f>""</f>
        <v/>
      </c>
    </row>
    <row r="18" spans="1:5" x14ac:dyDescent="0.25">
      <c r="A18" t="str">
        <f>""</f>
        <v/>
      </c>
      <c r="B18" t="str">
        <f>"(9.04)"</f>
        <v>(9.04)</v>
      </c>
      <c r="C18" t="str">
        <f>""</f>
        <v/>
      </c>
      <c r="D18" t="str">
        <f>"(27.97)"</f>
        <v>(27.97)</v>
      </c>
      <c r="E18" t="str">
        <f>""</f>
        <v/>
      </c>
    </row>
    <row r="20" spans="1:5" x14ac:dyDescent="0.25">
      <c r="A20" t="str">
        <f>"age"</f>
        <v>age</v>
      </c>
      <c r="B20" t="str">
        <f>""</f>
        <v/>
      </c>
      <c r="C20" t="str">
        <f>"1.740***"</f>
        <v>1.740***</v>
      </c>
      <c r="D20" t="str">
        <f>""</f>
        <v/>
      </c>
      <c r="E20" t="str">
        <f>"1.062***"</f>
        <v>1.062***</v>
      </c>
    </row>
    <row r="21" spans="1:5" x14ac:dyDescent="0.25">
      <c r="A21" t="str">
        <f>""</f>
        <v/>
      </c>
      <c r="B21" t="str">
        <f>""</f>
        <v/>
      </c>
      <c r="C21" t="str">
        <f>"(3.44)"</f>
        <v>(3.44)</v>
      </c>
      <c r="D21" t="str">
        <f>""</f>
        <v/>
      </c>
      <c r="E21" t="str">
        <f>"(3.84)"</f>
        <v>(3.84)</v>
      </c>
    </row>
    <row r="23" spans="1:5" x14ac:dyDescent="0.25">
      <c r="A23" t="str">
        <f>"1.female_head"</f>
        <v>1.female_head</v>
      </c>
      <c r="B23" t="str">
        <f>"34.77***"</f>
        <v>34.77***</v>
      </c>
      <c r="C23" t="str">
        <f>""</f>
        <v/>
      </c>
      <c r="D23" t="str">
        <f>"34.57***"</f>
        <v>34.57***</v>
      </c>
      <c r="E23" t="str">
        <f>""</f>
        <v/>
      </c>
    </row>
    <row r="24" spans="1:5" x14ac:dyDescent="0.25">
      <c r="A24" t="str">
        <f>""</f>
        <v/>
      </c>
      <c r="B24" t="str">
        <f>"(11.43)"</f>
        <v>(11.43)</v>
      </c>
      <c r="C24" t="str">
        <f>""</f>
        <v/>
      </c>
      <c r="D24" t="str">
        <f>"(27.11)"</f>
        <v>(27.11)</v>
      </c>
      <c r="E24" t="str">
        <f>""</f>
        <v/>
      </c>
    </row>
    <row r="26" spans="1:5" x14ac:dyDescent="0.25">
      <c r="A26" t="str">
        <f>"1.female"</f>
        <v>1.female</v>
      </c>
      <c r="B26" t="str">
        <f>""</f>
        <v/>
      </c>
      <c r="C26" t="str">
        <f>"25.14*"</f>
        <v>25.14*</v>
      </c>
      <c r="D26" t="str">
        <f>""</f>
        <v/>
      </c>
      <c r="E26" t="str">
        <f>"29.27***"</f>
        <v>29.27***</v>
      </c>
    </row>
    <row r="27" spans="1:5" x14ac:dyDescent="0.25">
      <c r="A27" t="str">
        <f>""</f>
        <v/>
      </c>
      <c r="B27" t="str">
        <f>""</f>
        <v/>
      </c>
      <c r="C27" t="str">
        <f>"(2.56)"</f>
        <v>(2.56)</v>
      </c>
      <c r="D27" t="str">
        <f>""</f>
        <v/>
      </c>
      <c r="E27" t="str">
        <f>"(4.67)"</f>
        <v>(4.67)</v>
      </c>
    </row>
    <row r="29" spans="1:5" x14ac:dyDescent="0.25">
      <c r="A29" t="str">
        <f>"1.black_head"</f>
        <v>1.black_head</v>
      </c>
      <c r="B29" t="str">
        <f>"-36.77***"</f>
        <v>-36.77***</v>
      </c>
      <c r="C29" t="str">
        <f>""</f>
        <v/>
      </c>
      <c r="D29" t="str">
        <f>"-24.52***"</f>
        <v>-24.52***</v>
      </c>
      <c r="E29" t="str">
        <f>""</f>
        <v/>
      </c>
    </row>
    <row r="30" spans="1:5" x14ac:dyDescent="0.25">
      <c r="A30" t="str">
        <f>""</f>
        <v/>
      </c>
      <c r="B30" t="str">
        <f>"(-7.14)"</f>
        <v>(-7.14)</v>
      </c>
      <c r="C30" t="str">
        <f>""</f>
        <v/>
      </c>
      <c r="D30" t="str">
        <f>"(-17.00)"</f>
        <v>(-17.00)</v>
      </c>
      <c r="E30" t="str">
        <f>""</f>
        <v/>
      </c>
    </row>
    <row r="32" spans="1:5" x14ac:dyDescent="0.25">
      <c r="A32" t="str">
        <f>"1.black"</f>
        <v>1.black</v>
      </c>
      <c r="B32" t="str">
        <f>""</f>
        <v/>
      </c>
      <c r="C32" t="str">
        <f>"-28.27"</f>
        <v>-28.27</v>
      </c>
      <c r="D32" t="str">
        <f>""</f>
        <v/>
      </c>
      <c r="E32" t="str">
        <f>"-12.51"</f>
        <v>-12.51</v>
      </c>
    </row>
    <row r="33" spans="1:5" x14ac:dyDescent="0.25">
      <c r="A33" t="str">
        <f>""</f>
        <v/>
      </c>
      <c r="B33" t="str">
        <f>""</f>
        <v/>
      </c>
      <c r="C33" t="str">
        <f>"(-1.54)"</f>
        <v>(-1.54)</v>
      </c>
      <c r="D33" t="str">
        <f>""</f>
        <v/>
      </c>
      <c r="E33" t="str">
        <f>"(-1.47)"</f>
        <v>(-1.47)</v>
      </c>
    </row>
    <row r="35" spans="1:5" x14ac:dyDescent="0.25">
      <c r="A35" t="str">
        <f>"1.highschool_head"</f>
        <v>1.highschool_head</v>
      </c>
      <c r="B35" t="str">
        <f>"-14.49*"</f>
        <v>-14.49*</v>
      </c>
      <c r="C35" t="str">
        <f>""</f>
        <v/>
      </c>
      <c r="D35" t="str">
        <f>"-7.685**"</f>
        <v>-7.685**</v>
      </c>
      <c r="E35" t="str">
        <f>""</f>
        <v/>
      </c>
    </row>
    <row r="36" spans="1:5" x14ac:dyDescent="0.25">
      <c r="A36" t="str">
        <f>""</f>
        <v/>
      </c>
      <c r="B36" t="str">
        <f>"(-2.39)"</f>
        <v>(-2.39)</v>
      </c>
      <c r="C36" t="str">
        <f>""</f>
        <v/>
      </c>
      <c r="D36" t="str">
        <f>"(-2.83)"</f>
        <v>(-2.83)</v>
      </c>
      <c r="E36" t="str">
        <f>""</f>
        <v/>
      </c>
    </row>
    <row r="38" spans="1:5" x14ac:dyDescent="0.25">
      <c r="A38" t="str">
        <f>"1.highschool"</f>
        <v>1.highschool</v>
      </c>
      <c r="B38" t="str">
        <f>""</f>
        <v/>
      </c>
      <c r="C38" t="str">
        <f>"6.831"</f>
        <v>6.831</v>
      </c>
      <c r="D38" t="str">
        <f>""</f>
        <v/>
      </c>
      <c r="E38" t="str">
        <f>"-12.74"</f>
        <v>-12.74</v>
      </c>
    </row>
    <row r="39" spans="1:5" x14ac:dyDescent="0.25">
      <c r="A39" t="str">
        <f>""</f>
        <v/>
      </c>
      <c r="B39" t="str">
        <f>""</f>
        <v/>
      </c>
      <c r="C39" t="str">
        <f>"(0.27)"</f>
        <v>(0.27)</v>
      </c>
      <c r="D39" t="str">
        <f>""</f>
        <v/>
      </c>
      <c r="E39" t="str">
        <f>"(-1.05)"</f>
        <v>(-1.05)</v>
      </c>
    </row>
    <row r="41" spans="1:5" x14ac:dyDescent="0.25">
      <c r="A41" t="str">
        <f>"1.somecollege_head"</f>
        <v>1.somecollege_head</v>
      </c>
      <c r="B41" t="str">
        <f>"-8.674"</f>
        <v>-8.674</v>
      </c>
      <c r="C41" t="str">
        <f>""</f>
        <v/>
      </c>
      <c r="D41" t="str">
        <f>"-12.49***"</f>
        <v>-12.49***</v>
      </c>
      <c r="E41" t="str">
        <f>""</f>
        <v/>
      </c>
    </row>
    <row r="42" spans="1:5" x14ac:dyDescent="0.25">
      <c r="A42" t="str">
        <f>""</f>
        <v/>
      </c>
      <c r="B42" t="str">
        <f>"(-1.41)"</f>
        <v>(-1.41)</v>
      </c>
      <c r="C42" t="str">
        <f>""</f>
        <v/>
      </c>
      <c r="D42" t="str">
        <f>"(-4.62)"</f>
        <v>(-4.62)</v>
      </c>
      <c r="E42" t="str">
        <f>""</f>
        <v/>
      </c>
    </row>
    <row r="44" spans="1:5" x14ac:dyDescent="0.25">
      <c r="A44" t="str">
        <f>"1.somecollege"</f>
        <v>1.somecollege</v>
      </c>
      <c r="B44" t="str">
        <f>""</f>
        <v/>
      </c>
      <c r="C44" t="str">
        <f>"29.53"</f>
        <v>29.53</v>
      </c>
      <c r="D44" t="str">
        <f>""</f>
        <v/>
      </c>
      <c r="E44" t="str">
        <f>"-19.48"</f>
        <v>-19.48</v>
      </c>
    </row>
    <row r="45" spans="1:5" x14ac:dyDescent="0.25">
      <c r="A45" t="str">
        <f>""</f>
        <v/>
      </c>
      <c r="B45" t="str">
        <f>""</f>
        <v/>
      </c>
      <c r="C45" t="str">
        <f>"(1.16)"</f>
        <v>(1.16)</v>
      </c>
      <c r="D45" t="str">
        <f>""</f>
        <v/>
      </c>
      <c r="E45" t="str">
        <f>"(-1.64)"</f>
        <v>(-1.64)</v>
      </c>
    </row>
    <row r="47" spans="1:5" x14ac:dyDescent="0.25">
      <c r="A47" t="str">
        <f>"1.collegeup_head"</f>
        <v>1.collegeup_head</v>
      </c>
      <c r="B47" t="str">
        <f>"-23.46***"</f>
        <v>-23.46***</v>
      </c>
      <c r="C47" t="str">
        <f>""</f>
        <v/>
      </c>
      <c r="D47" t="str">
        <f>"-9.012**"</f>
        <v>-9.012**</v>
      </c>
      <c r="E47" t="str">
        <f>""</f>
        <v/>
      </c>
    </row>
    <row r="48" spans="1:5" x14ac:dyDescent="0.25">
      <c r="A48" t="str">
        <f>""</f>
        <v/>
      </c>
      <c r="B48" t="str">
        <f>"(-3.78)"</f>
        <v>(-3.78)</v>
      </c>
      <c r="C48" t="str">
        <f>""</f>
        <v/>
      </c>
      <c r="D48" t="str">
        <f>"(-3.15)"</f>
        <v>(-3.15)</v>
      </c>
      <c r="E48" t="str">
        <f>""</f>
        <v/>
      </c>
    </row>
    <row r="50" spans="1:5" x14ac:dyDescent="0.25">
      <c r="A50" t="str">
        <f>"1.collegeup"</f>
        <v>1.collegeup</v>
      </c>
      <c r="B50" t="str">
        <f>""</f>
        <v/>
      </c>
      <c r="C50" t="str">
        <f>"7.548"</f>
        <v>7.548</v>
      </c>
      <c r="D50" t="str">
        <f>""</f>
        <v/>
      </c>
      <c r="E50" t="str">
        <f>"-14.73"</f>
        <v>-14.73</v>
      </c>
    </row>
    <row r="51" spans="1:5" x14ac:dyDescent="0.25">
      <c r="A51" t="str">
        <f>""</f>
        <v/>
      </c>
      <c r="B51" t="str">
        <f>""</f>
        <v/>
      </c>
      <c r="C51" t="str">
        <f>"(0.30)"</f>
        <v>(0.30)</v>
      </c>
      <c r="D51" t="str">
        <f>""</f>
        <v/>
      </c>
      <c r="E51" t="str">
        <f>"(-1.21)"</f>
        <v>(-1.21)</v>
      </c>
    </row>
    <row r="53" spans="1:5" x14ac:dyDescent="0.25">
      <c r="A53" t="str">
        <f>"2.famincome"</f>
        <v>2.famincome</v>
      </c>
      <c r="B53" t="str">
        <f>"53.77*"</f>
        <v>53.77*</v>
      </c>
      <c r="C53" t="str">
        <f>"146.6"</f>
        <v>146.6</v>
      </c>
      <c r="D53" t="str">
        <f>"3.231"</f>
        <v>3.231</v>
      </c>
      <c r="E53" t="str">
        <f>"49.20"</f>
        <v>49.20</v>
      </c>
    </row>
    <row r="54" spans="1:5" x14ac:dyDescent="0.25">
      <c r="A54" t="str">
        <f>""</f>
        <v/>
      </c>
      <c r="B54" t="str">
        <f>"(2.12)"</f>
        <v>(2.12)</v>
      </c>
      <c r="C54" t="str">
        <f>"(1.92)"</f>
        <v>(1.92)</v>
      </c>
      <c r="D54" t="str">
        <f>"(0.85)"</f>
        <v>(0.85)</v>
      </c>
      <c r="E54" t="str">
        <f>"(1.85)"</f>
        <v>(1.85)</v>
      </c>
    </row>
    <row r="56" spans="1:5" x14ac:dyDescent="0.25">
      <c r="A56" t="str">
        <f>"3.famincome"</f>
        <v>3.famincome</v>
      </c>
      <c r="B56" t="str">
        <f>"101.4***"</f>
        <v>101.4***</v>
      </c>
      <c r="C56" t="str">
        <f>""</f>
        <v/>
      </c>
      <c r="D56" t="str">
        <f>"11.40*"</f>
        <v>11.40*</v>
      </c>
      <c r="E56" t="str">
        <f>"49.66*"</f>
        <v>49.66*</v>
      </c>
    </row>
    <row r="57" spans="1:5" x14ac:dyDescent="0.25">
      <c r="A57" t="str">
        <f>""</f>
        <v/>
      </c>
      <c r="B57" t="str">
        <f>"(3.81)"</f>
        <v>(3.81)</v>
      </c>
      <c r="C57" t="str">
        <f>""</f>
        <v/>
      </c>
      <c r="D57" t="str">
        <f>"(2.52)"</f>
        <v>(2.52)</v>
      </c>
      <c r="E57" t="str">
        <f>"(2.35)"</f>
        <v>(2.35)</v>
      </c>
    </row>
    <row r="59" spans="1:5" x14ac:dyDescent="0.25">
      <c r="A59" t="str">
        <f>"4.famincome"</f>
        <v>4.famincome</v>
      </c>
      <c r="B59" t="str">
        <f>"37.86"</f>
        <v>37.86</v>
      </c>
      <c r="C59" t="str">
        <f>"42.77"</f>
        <v>42.77</v>
      </c>
      <c r="D59" t="str">
        <f>"25.84***"</f>
        <v>25.84***</v>
      </c>
      <c r="E59" t="str">
        <f>"70.25*"</f>
        <v>70.25*</v>
      </c>
    </row>
    <row r="60" spans="1:5" x14ac:dyDescent="0.25">
      <c r="A60" t="str">
        <f>""</f>
        <v/>
      </c>
      <c r="B60" t="str">
        <f>"(1.67)"</f>
        <v>(1.67)</v>
      </c>
      <c r="C60" t="str">
        <f>"(1.05)"</f>
        <v>(1.05)</v>
      </c>
      <c r="D60" t="str">
        <f>"(6.10)"</f>
        <v>(6.10)</v>
      </c>
      <c r="E60" t="str">
        <f>"(2.19)"</f>
        <v>(2.19)</v>
      </c>
    </row>
    <row r="62" spans="1:5" x14ac:dyDescent="0.25">
      <c r="A62" t="str">
        <f>"5.famincome"</f>
        <v>5.famincome</v>
      </c>
      <c r="B62" t="str">
        <f>"31.73"</f>
        <v>31.73</v>
      </c>
      <c r="C62" t="str">
        <f>"-15.38"</f>
        <v>-15.38</v>
      </c>
      <c r="D62" t="str">
        <f>"6.223"</f>
        <v>6.223</v>
      </c>
      <c r="E62" t="str">
        <f>"19.88"</f>
        <v>19.88</v>
      </c>
    </row>
    <row r="63" spans="1:5" x14ac:dyDescent="0.25">
      <c r="A63" t="str">
        <f>""</f>
        <v/>
      </c>
      <c r="B63" t="str">
        <f>"(1.32)"</f>
        <v>(1.32)</v>
      </c>
      <c r="C63" t="str">
        <f>"(-0.20)"</f>
        <v>(-0.20)</v>
      </c>
      <c r="D63" t="str">
        <f>"(1.57)"</f>
        <v>(1.57)</v>
      </c>
      <c r="E63" t="str">
        <f>"(1.11)"</f>
        <v>(1.11)</v>
      </c>
    </row>
    <row r="65" spans="1:5" x14ac:dyDescent="0.25">
      <c r="A65" t="str">
        <f>"6.famincome"</f>
        <v>6.famincome</v>
      </c>
      <c r="B65" t="str">
        <f>"1.132"</f>
        <v>1.132</v>
      </c>
      <c r="C65" t="str">
        <f>"34.45"</f>
        <v>34.45</v>
      </c>
      <c r="D65" t="str">
        <f>"4.122"</f>
        <v>4.122</v>
      </c>
      <c r="E65" t="str">
        <f>"40.60*"</f>
        <v>40.60*</v>
      </c>
    </row>
    <row r="66" spans="1:5" x14ac:dyDescent="0.25">
      <c r="A66" t="str">
        <f>""</f>
        <v/>
      </c>
      <c r="B66" t="str">
        <f>"(0.06)"</f>
        <v>(0.06)</v>
      </c>
      <c r="C66" t="str">
        <f>"(0.62)"</f>
        <v>(0.62)</v>
      </c>
      <c r="D66" t="str">
        <f>"(1.17)"</f>
        <v>(1.17)</v>
      </c>
      <c r="E66" t="str">
        <f>"(2.50)"</f>
        <v>(2.50)</v>
      </c>
    </row>
    <row r="68" spans="1:5" x14ac:dyDescent="0.25">
      <c r="A68" t="str">
        <f>"7.famincome"</f>
        <v>7.famincome</v>
      </c>
      <c r="B68" t="str">
        <f>"7.055"</f>
        <v>7.055</v>
      </c>
      <c r="C68" t="str">
        <f>"15.48"</f>
        <v>15.48</v>
      </c>
      <c r="D68" t="str">
        <f>"3.749"</f>
        <v>3.749</v>
      </c>
      <c r="E68" t="str">
        <f>"29.00"</f>
        <v>29.00</v>
      </c>
    </row>
    <row r="69" spans="1:5" x14ac:dyDescent="0.25">
      <c r="A69" t="str">
        <f>""</f>
        <v/>
      </c>
      <c r="B69" t="str">
        <f>"(0.37)"</f>
        <v>(0.37)</v>
      </c>
      <c r="C69" t="str">
        <f>"(0.31)"</f>
        <v>(0.31)</v>
      </c>
      <c r="D69" t="str">
        <f>"(1.04)"</f>
        <v>(1.04)</v>
      </c>
      <c r="E69" t="str">
        <f>"(1.71)"</f>
        <v>(1.71)</v>
      </c>
    </row>
    <row r="71" spans="1:5" x14ac:dyDescent="0.25">
      <c r="A71" t="str">
        <f>"8.famincome"</f>
        <v>8.famincome</v>
      </c>
      <c r="B71" t="str">
        <f>"-2.069"</f>
        <v>-2.069</v>
      </c>
      <c r="C71" t="str">
        <f>"100.9"</f>
        <v>100.9</v>
      </c>
      <c r="D71" t="str">
        <f>"2.157"</f>
        <v>2.157</v>
      </c>
      <c r="E71" t="str">
        <f>"16.59"</f>
        <v>16.59</v>
      </c>
    </row>
    <row r="72" spans="1:5" x14ac:dyDescent="0.25">
      <c r="A72" t="str">
        <f>""</f>
        <v/>
      </c>
      <c r="B72" t="str">
        <f>"(-0.11)"</f>
        <v>(-0.11)</v>
      </c>
      <c r="C72" t="str">
        <f>"(0.69)"</f>
        <v>(0.69)</v>
      </c>
      <c r="D72" t="str">
        <f>"(0.59)"</f>
        <v>(0.59)</v>
      </c>
      <c r="E72" t="str">
        <f>"(0.89)"</f>
        <v>(0.89)</v>
      </c>
    </row>
    <row r="74" spans="1:5" x14ac:dyDescent="0.25">
      <c r="A74" t="str">
        <f>"9.famincome"</f>
        <v>9.famincome</v>
      </c>
      <c r="B74" t="str">
        <f>"3.876"</f>
        <v>3.876</v>
      </c>
      <c r="C74" t="str">
        <f>"-73.17"</f>
        <v>-73.17</v>
      </c>
      <c r="D74" t="str">
        <f>"1.427"</f>
        <v>1.427</v>
      </c>
      <c r="E74" t="str">
        <f>"36.45*"</f>
        <v>36.45*</v>
      </c>
    </row>
    <row r="75" spans="1:5" x14ac:dyDescent="0.25">
      <c r="A75" t="str">
        <f>""</f>
        <v/>
      </c>
      <c r="B75" t="str">
        <f>"(0.21)"</f>
        <v>(0.21)</v>
      </c>
      <c r="C75" t="str">
        <f>"(-1.70)"</f>
        <v>(-1.70)</v>
      </c>
      <c r="D75" t="str">
        <f>"(0.39)"</f>
        <v>(0.39)</v>
      </c>
      <c r="E75" t="str">
        <f>"(2.03)"</f>
        <v>(2.03)</v>
      </c>
    </row>
    <row r="77" spans="1:5" x14ac:dyDescent="0.25">
      <c r="A77" t="str">
        <f>"10.famincome"</f>
        <v>10.famincome</v>
      </c>
      <c r="B77" t="str">
        <f>"-1.512"</f>
        <v>-1.512</v>
      </c>
      <c r="C77" t="str">
        <f>"-1.087"</f>
        <v>-1.087</v>
      </c>
      <c r="D77" t="str">
        <f>"1.960"</f>
        <v>1.960</v>
      </c>
      <c r="E77" t="str">
        <f>"30.81"</f>
        <v>30.81</v>
      </c>
    </row>
    <row r="78" spans="1:5" x14ac:dyDescent="0.25">
      <c r="A78" t="str">
        <f>""</f>
        <v/>
      </c>
      <c r="B78" t="str">
        <f>"(-0.08)"</f>
        <v>(-0.08)</v>
      </c>
      <c r="C78" t="str">
        <f>"(-0.02)"</f>
        <v>(-0.02)</v>
      </c>
      <c r="D78" t="str">
        <f>"(0.51)"</f>
        <v>(0.51)</v>
      </c>
      <c r="E78" t="str">
        <f>"(1.86)"</f>
        <v>(1.86)</v>
      </c>
    </row>
    <row r="80" spans="1:5" x14ac:dyDescent="0.25">
      <c r="A80" t="str">
        <f>"11.famincome"</f>
        <v>11.famincome</v>
      </c>
      <c r="B80" t="str">
        <f>"20.82"</f>
        <v>20.82</v>
      </c>
      <c r="C80" t="str">
        <f>"-18.17"</f>
        <v>-18.17</v>
      </c>
      <c r="D80" t="str">
        <f>"1.975"</f>
        <v>1.975</v>
      </c>
      <c r="E80" t="str">
        <f>"17.96"</f>
        <v>17.96</v>
      </c>
    </row>
    <row r="81" spans="1:5" x14ac:dyDescent="0.25">
      <c r="A81" t="str">
        <f>""</f>
        <v/>
      </c>
      <c r="B81" t="str">
        <f>"(1.13)"</f>
        <v>(1.13)</v>
      </c>
      <c r="C81" t="str">
        <f>"(-0.42)"</f>
        <v>(-0.42)</v>
      </c>
      <c r="D81" t="str">
        <f>"(0.55)"</f>
        <v>(0.55)</v>
      </c>
      <c r="E81" t="str">
        <f>"(1.18)"</f>
        <v>(1.18)</v>
      </c>
    </row>
    <row r="83" spans="1:5" x14ac:dyDescent="0.25">
      <c r="A83" t="str">
        <f>"12.famincome"</f>
        <v>12.famincome</v>
      </c>
      <c r="B83" t="str">
        <f>"24.72"</f>
        <v>24.72</v>
      </c>
      <c r="C83" t="str">
        <f>"4.779"</f>
        <v>4.779</v>
      </c>
      <c r="D83" t="str">
        <f>"-5.881"</f>
        <v>-5.881</v>
      </c>
      <c r="E83" t="str">
        <f>"31.96"</f>
        <v>31.96</v>
      </c>
    </row>
    <row r="84" spans="1:5" x14ac:dyDescent="0.25">
      <c r="A84" t="str">
        <f>""</f>
        <v/>
      </c>
      <c r="B84" t="str">
        <f>"(1.35)"</f>
        <v>(1.35)</v>
      </c>
      <c r="C84" t="str">
        <f>"(0.11)"</f>
        <v>(0.11)</v>
      </c>
      <c r="D84" t="str">
        <f>"(-1.63)"</f>
        <v>(-1.63)</v>
      </c>
      <c r="E84" t="str">
        <f>"(1.96)"</f>
        <v>(1.96)</v>
      </c>
    </row>
    <row r="86" spans="1:5" x14ac:dyDescent="0.25">
      <c r="A86" t="str">
        <f>"13.famincome"</f>
        <v>13.famincome</v>
      </c>
      <c r="B86" t="str">
        <f>"10.99"</f>
        <v>10.99</v>
      </c>
      <c r="C86" t="str">
        <f>"-16.63"</f>
        <v>-16.63</v>
      </c>
      <c r="D86" t="str">
        <f>"-6.707"</f>
        <v>-6.707</v>
      </c>
      <c r="E86" t="str">
        <f>"19.82"</f>
        <v>19.82</v>
      </c>
    </row>
    <row r="87" spans="1:5" x14ac:dyDescent="0.25">
      <c r="A87" t="str">
        <f>""</f>
        <v/>
      </c>
      <c r="B87" t="str">
        <f>"(0.61)"</f>
        <v>(0.61)</v>
      </c>
      <c r="C87" t="str">
        <f>"(-0.38)"</f>
        <v>(-0.38)</v>
      </c>
      <c r="D87" t="str">
        <f>"(-1.92)"</f>
        <v>(-1.92)</v>
      </c>
      <c r="E87" t="str">
        <f>"(1.25)"</f>
        <v>(1.25)</v>
      </c>
    </row>
    <row r="89" spans="1:5" x14ac:dyDescent="0.25">
      <c r="A89" t="str">
        <f>"14.famincome"</f>
        <v>14.famincome</v>
      </c>
      <c r="B89" t="str">
        <f>"12.38"</f>
        <v>12.38</v>
      </c>
      <c r="C89" t="str">
        <f>"-19.45"</f>
        <v>-19.45</v>
      </c>
      <c r="D89" t="str">
        <f>"-4.562"</f>
        <v>-4.562</v>
      </c>
      <c r="E89" t="str">
        <f>"32.72"</f>
        <v>32.72</v>
      </c>
    </row>
    <row r="90" spans="1:5" x14ac:dyDescent="0.25">
      <c r="A90" t="str">
        <f>""</f>
        <v/>
      </c>
      <c r="B90" t="str">
        <f>"(0.68)"</f>
        <v>(0.68)</v>
      </c>
      <c r="C90" t="str">
        <f>"(-0.46)"</f>
        <v>(-0.46)</v>
      </c>
      <c r="D90" t="str">
        <f>"(-1.28)"</f>
        <v>(-1.28)</v>
      </c>
      <c r="E90" t="str">
        <f>"(1.84)"</f>
        <v>(1.84)</v>
      </c>
    </row>
    <row r="92" spans="1:5" x14ac:dyDescent="0.25">
      <c r="A92" t="str">
        <f>"15.famincome"</f>
        <v>15.famincome</v>
      </c>
      <c r="B92" t="str">
        <f>"7.820"</f>
        <v>7.820</v>
      </c>
      <c r="C92" t="str">
        <f>"-17.33"</f>
        <v>-17.33</v>
      </c>
      <c r="D92" t="str">
        <f>"-10.65**"</f>
        <v>-10.65**</v>
      </c>
      <c r="E92" t="str">
        <f>"31.62"</f>
        <v>31.62</v>
      </c>
    </row>
    <row r="93" spans="1:5" x14ac:dyDescent="0.25">
      <c r="A93" t="str">
        <f>""</f>
        <v/>
      </c>
      <c r="B93" t="str">
        <f>"(0.43)"</f>
        <v>(0.43)</v>
      </c>
      <c r="C93" t="str">
        <f>"(-0.39)"</f>
        <v>(-0.39)</v>
      </c>
      <c r="D93" t="str">
        <f>"(-2.86)"</f>
        <v>(-2.86)</v>
      </c>
      <c r="E93" t="str">
        <f>"(1.63)"</f>
        <v>(1.63)</v>
      </c>
    </row>
    <row r="95" spans="1:5" x14ac:dyDescent="0.25">
      <c r="A95" t="str">
        <f>"16.famincome"</f>
        <v>16.famincome</v>
      </c>
      <c r="B95" t="str">
        <f>"-5.495"</f>
        <v>-5.495</v>
      </c>
      <c r="C95" t="str">
        <f>"-2.220"</f>
        <v>-2.220</v>
      </c>
      <c r="D95" t="str">
        <f>"-14.40**"</f>
        <v>-14.40**</v>
      </c>
      <c r="E95" t="str">
        <f>"25.48"</f>
        <v>25.48</v>
      </c>
    </row>
    <row r="96" spans="1:5" x14ac:dyDescent="0.25">
      <c r="A96" t="str">
        <f>""</f>
        <v/>
      </c>
      <c r="B96" t="str">
        <f>"(-0.30)"</f>
        <v>(-0.30)</v>
      </c>
      <c r="C96" t="str">
        <f>"(-0.05)"</f>
        <v>(-0.05)</v>
      </c>
      <c r="D96" t="str">
        <f>"(-3.28)"</f>
        <v>(-3.28)</v>
      </c>
      <c r="E96" t="str">
        <f>"(1.04)"</f>
        <v>(1.04)</v>
      </c>
    </row>
    <row r="98" spans="1:5" x14ac:dyDescent="0.25">
      <c r="A98" t="str">
        <f>"income"</f>
        <v>income</v>
      </c>
      <c r="B98" t="str">
        <f>"-0.0000470"</f>
        <v>-0.0000470</v>
      </c>
      <c r="C98" t="str">
        <f>"-0.000132"</f>
        <v>-0.000132</v>
      </c>
      <c r="D98" t="str">
        <f>"0.000101**"</f>
        <v>0.000101**</v>
      </c>
      <c r="E98" t="str">
        <f>"0.000151"</f>
        <v>0.000151</v>
      </c>
    </row>
    <row r="99" spans="1:5" x14ac:dyDescent="0.25">
      <c r="A99" t="str">
        <f>""</f>
        <v/>
      </c>
      <c r="B99" t="str">
        <f>"(-0.95)"</f>
        <v>(-0.95)</v>
      </c>
      <c r="C99" t="str">
        <f>"(-0.67)"</f>
        <v>(-0.67)</v>
      </c>
      <c r="D99" t="str">
        <f>"(3.23)"</f>
        <v>(3.23)</v>
      </c>
      <c r="E99" t="str">
        <f>"(0.94)"</f>
        <v>(0.94)</v>
      </c>
    </row>
    <row r="101" spans="1:5" x14ac:dyDescent="0.25">
      <c r="A101" t="str">
        <f>"income_sp"</f>
        <v>income_sp</v>
      </c>
      <c r="B101" t="str">
        <f>"0.000248***"</f>
        <v>0.000248***</v>
      </c>
      <c r="C101" t="str">
        <f>"0.000163"</f>
        <v>0.000163</v>
      </c>
      <c r="D101" t="str">
        <f>""</f>
        <v/>
      </c>
      <c r="E101" t="str">
        <f>""</f>
        <v/>
      </c>
    </row>
    <row r="102" spans="1:5" x14ac:dyDescent="0.25">
      <c r="A102" t="str">
        <f>""</f>
        <v/>
      </c>
      <c r="B102" t="str">
        <f>"(5.07)"</f>
        <v>(5.07)</v>
      </c>
      <c r="C102" t="str">
        <f>"(0.84)"</f>
        <v>(0.84)</v>
      </c>
      <c r="D102" t="str">
        <f>""</f>
        <v/>
      </c>
      <c r="E102" t="str">
        <f>""</f>
        <v/>
      </c>
    </row>
    <row r="104" spans="1:5" x14ac:dyDescent="0.25">
      <c r="A104" t="str">
        <f>"11.industry"</f>
        <v>11.industry</v>
      </c>
      <c r="B104" t="str">
        <f>"-34.82"</f>
        <v>-34.82</v>
      </c>
      <c r="C104" t="str">
        <f>"-245.2**"</f>
        <v>-245.2**</v>
      </c>
      <c r="D104" t="str">
        <f>"-44.55***"</f>
        <v>-44.55***</v>
      </c>
      <c r="E104" t="str">
        <f>"-76.96"</f>
        <v>-76.96</v>
      </c>
    </row>
    <row r="105" spans="1:5" x14ac:dyDescent="0.25">
      <c r="A105" t="str">
        <f>""</f>
        <v/>
      </c>
      <c r="B105" t="str">
        <f>"(-1.16)"</f>
        <v>(-1.16)</v>
      </c>
      <c r="C105" t="str">
        <f>"(-2.77)"</f>
        <v>(-2.77)</v>
      </c>
      <c r="D105" t="str">
        <f>"(-3.57)"</f>
        <v>(-3.57)</v>
      </c>
      <c r="E105" t="str">
        <f>"(-1.91)"</f>
        <v>(-1.91)</v>
      </c>
    </row>
    <row r="107" spans="1:5" x14ac:dyDescent="0.25">
      <c r="A107" t="str">
        <f>"12.industry"</f>
        <v>12.industry</v>
      </c>
      <c r="B107" t="str">
        <f>"-5.538"</f>
        <v>-5.538</v>
      </c>
      <c r="C107" t="str">
        <f>"-141.0"</f>
        <v>-141.0</v>
      </c>
      <c r="D107" t="str">
        <f>"-3.845"</f>
        <v>-3.845</v>
      </c>
      <c r="E107" t="str">
        <f>"-24.96"</f>
        <v>-24.96</v>
      </c>
    </row>
    <row r="108" spans="1:5" x14ac:dyDescent="0.25">
      <c r="A108" t="str">
        <f>""</f>
        <v/>
      </c>
      <c r="B108" t="str">
        <f>"(-0.30)"</f>
        <v>(-0.30)</v>
      </c>
      <c r="C108" t="str">
        <f>"(-1.64)"</f>
        <v>(-1.64)</v>
      </c>
      <c r="D108" t="str">
        <f>"(-0.42)"</f>
        <v>(-0.42)</v>
      </c>
      <c r="E108" t="str">
        <f>"(-0.72)"</f>
        <v>(-0.72)</v>
      </c>
    </row>
    <row r="110" spans="1:5" x14ac:dyDescent="0.25">
      <c r="A110" t="str">
        <f>"13.industry"</f>
        <v>13.industry</v>
      </c>
      <c r="B110" t="str">
        <f>"-11.40"</f>
        <v>-11.40</v>
      </c>
      <c r="C110" t="str">
        <f>"-126.5"</f>
        <v>-126.5</v>
      </c>
      <c r="D110" t="str">
        <f>"-3.346"</f>
        <v>-3.346</v>
      </c>
      <c r="E110" t="str">
        <f>"-10.17"</f>
        <v>-10.17</v>
      </c>
    </row>
    <row r="111" spans="1:5" x14ac:dyDescent="0.25">
      <c r="A111" t="str">
        <f>""</f>
        <v/>
      </c>
      <c r="B111" t="str">
        <f>"(-0.63)"</f>
        <v>(-0.63)</v>
      </c>
      <c r="C111" t="str">
        <f>"(-1.48)"</f>
        <v>(-1.48)</v>
      </c>
      <c r="D111" t="str">
        <f>"(-0.35)"</f>
        <v>(-0.35)</v>
      </c>
      <c r="E111" t="str">
        <f>"(-0.28)"</f>
        <v>(-0.28)</v>
      </c>
    </row>
    <row r="113" spans="1:5" x14ac:dyDescent="0.25">
      <c r="A113" t="str">
        <f>"14.industry"</f>
        <v>14.industry</v>
      </c>
      <c r="B113" t="str">
        <f>"-9.979"</f>
        <v>-9.979</v>
      </c>
      <c r="C113" t="str">
        <f>"-90.25"</f>
        <v>-90.25</v>
      </c>
      <c r="D113" t="str">
        <f>"-14.44"</f>
        <v>-14.44</v>
      </c>
      <c r="E113" t="str">
        <f>"-15.72"</f>
        <v>-15.72</v>
      </c>
    </row>
    <row r="114" spans="1:5" x14ac:dyDescent="0.25">
      <c r="A114" t="str">
        <f>""</f>
        <v/>
      </c>
      <c r="B114" t="str">
        <f>"(-0.52)"</f>
        <v>(-0.52)</v>
      </c>
      <c r="C114" t="str">
        <f>"(-1.03)"</f>
        <v>(-1.03)</v>
      </c>
      <c r="D114" t="str">
        <f>"(-1.54)"</f>
        <v>(-1.54)</v>
      </c>
      <c r="E114" t="str">
        <f>"(-0.44)"</f>
        <v>(-0.44)</v>
      </c>
    </row>
    <row r="116" spans="1:5" x14ac:dyDescent="0.25">
      <c r="A116" t="str">
        <f>"15.industry"</f>
        <v>15.industry</v>
      </c>
      <c r="B116" t="str">
        <f>"-16.90"</f>
        <v>-16.90</v>
      </c>
      <c r="C116" t="str">
        <f>"-142.1"</f>
        <v>-142.1</v>
      </c>
      <c r="D116" t="str">
        <f>"12.87"</f>
        <v>12.87</v>
      </c>
      <c r="E116" t="str">
        <f>"7.633"</f>
        <v>7.633</v>
      </c>
    </row>
    <row r="117" spans="1:5" x14ac:dyDescent="0.25">
      <c r="A117" t="str">
        <f>""</f>
        <v/>
      </c>
      <c r="B117" t="str">
        <f>"(-0.83)"</f>
        <v>(-0.83)</v>
      </c>
      <c r="C117" t="str">
        <f>"(-1.64)"</f>
        <v>(-1.64)</v>
      </c>
      <c r="D117" t="str">
        <f>"(1.25)"</f>
        <v>(1.25)</v>
      </c>
      <c r="E117" t="str">
        <f>"(0.20)"</f>
        <v>(0.20)</v>
      </c>
    </row>
    <row r="119" spans="1:5" x14ac:dyDescent="0.25">
      <c r="A119" t="str">
        <f>"16.industry"</f>
        <v>16.industry</v>
      </c>
      <c r="B119" t="str">
        <f>"-47.06**"</f>
        <v>-47.06**</v>
      </c>
      <c r="C119" t="str">
        <f>"-145.5"</f>
        <v>-145.5</v>
      </c>
      <c r="D119" t="str">
        <f>"-17.29*"</f>
        <v>-17.29*</v>
      </c>
      <c r="E119" t="str">
        <f>"-17.98"</f>
        <v>-17.98</v>
      </c>
    </row>
    <row r="120" spans="1:5" x14ac:dyDescent="0.25">
      <c r="A120" t="str">
        <f>""</f>
        <v/>
      </c>
      <c r="B120" t="str">
        <f>"(-2.66)"</f>
        <v>(-2.66)</v>
      </c>
      <c r="C120" t="str">
        <f>"(-1.72)"</f>
        <v>(-1.72)</v>
      </c>
      <c r="D120" t="str">
        <f>"(-1.98)"</f>
        <v>(-1.98)</v>
      </c>
      <c r="E120" t="str">
        <f>"(-0.51)"</f>
        <v>(-0.51)</v>
      </c>
    </row>
    <row r="122" spans="1:5" x14ac:dyDescent="0.25">
      <c r="A122" t="str">
        <f>"17.industry"</f>
        <v>17.industry</v>
      </c>
      <c r="B122" t="str">
        <f>"-25.58"</f>
        <v>-25.58</v>
      </c>
      <c r="C122" t="str">
        <f>"-190.1*"</f>
        <v>-190.1*</v>
      </c>
      <c r="D122" t="str">
        <f>"-11.17"</f>
        <v>-11.17</v>
      </c>
      <c r="E122" t="str">
        <f>"-37.67"</f>
        <v>-37.67</v>
      </c>
    </row>
    <row r="123" spans="1:5" x14ac:dyDescent="0.25">
      <c r="A123" t="str">
        <f>""</f>
        <v/>
      </c>
      <c r="B123" t="str">
        <f>"(-1.36)"</f>
        <v>(-1.36)</v>
      </c>
      <c r="C123" t="str">
        <f>"(-2.21)"</f>
        <v>(-2.21)</v>
      </c>
      <c r="D123" t="str">
        <f>"(-1.22)"</f>
        <v>(-1.22)</v>
      </c>
      <c r="E123" t="str">
        <f>"(-1.08)"</f>
        <v>(-1.08)</v>
      </c>
    </row>
    <row r="125" spans="1:5" x14ac:dyDescent="0.25">
      <c r="A125" t="str">
        <f>"18.industry"</f>
        <v>18.industry</v>
      </c>
      <c r="B125" t="str">
        <f>"-14.97"</f>
        <v>-14.97</v>
      </c>
      <c r="C125" t="str">
        <f>"-164.0"</f>
        <v>-164.0</v>
      </c>
      <c r="D125" t="str">
        <f>"18.37"</f>
        <v>18.37</v>
      </c>
      <c r="E125" t="str">
        <f>"132.4"</f>
        <v>132.4</v>
      </c>
    </row>
    <row r="126" spans="1:5" x14ac:dyDescent="0.25">
      <c r="A126" t="str">
        <f>""</f>
        <v/>
      </c>
      <c r="B126" t="str">
        <f>"(-0.72)"</f>
        <v>(-0.72)</v>
      </c>
      <c r="C126" t="str">
        <f>"(-1.88)"</f>
        <v>(-1.88)</v>
      </c>
      <c r="D126" t="str">
        <f>"(1.19)"</f>
        <v>(1.19)</v>
      </c>
      <c r="E126" t="str">
        <f>"(1.31)"</f>
        <v>(1.31)</v>
      </c>
    </row>
    <row r="128" spans="1:5" x14ac:dyDescent="0.25">
      <c r="A128" t="str">
        <f>"19.industry"</f>
        <v>19.industry</v>
      </c>
      <c r="B128" t="str">
        <f>"8.891"</f>
        <v>8.891</v>
      </c>
      <c r="C128" t="str">
        <f>"-156.0"</f>
        <v>-156.0</v>
      </c>
      <c r="D128" t="str">
        <f>"-15.69"</f>
        <v>-15.69</v>
      </c>
      <c r="E128" t="str">
        <f>"-45.37"</f>
        <v>-45.37</v>
      </c>
    </row>
    <row r="129" spans="1:5" x14ac:dyDescent="0.25">
      <c r="A129" t="str">
        <f>""</f>
        <v/>
      </c>
      <c r="B129" t="str">
        <f>"(0.45)"</f>
        <v>(0.45)</v>
      </c>
      <c r="C129" t="str">
        <f>"(-1.82)"</f>
        <v>(-1.82)</v>
      </c>
      <c r="D129" t="str">
        <f>"(-1.69)"</f>
        <v>(-1.69)</v>
      </c>
      <c r="E129" t="str">
        <f>"(-1.28)"</f>
        <v>(-1.28)</v>
      </c>
    </row>
    <row r="131" spans="1:5" x14ac:dyDescent="0.25">
      <c r="A131" t="str">
        <f>"20.industry"</f>
        <v>20.industry</v>
      </c>
      <c r="B131" t="str">
        <f>"-25.52"</f>
        <v>-25.52</v>
      </c>
      <c r="C131" t="str">
        <f>"-131.2"</f>
        <v>-131.2</v>
      </c>
      <c r="D131" t="str">
        <f>"-23.05*"</f>
        <v>-23.05*</v>
      </c>
      <c r="E131" t="str">
        <f>"-32.73"</f>
        <v>-32.73</v>
      </c>
    </row>
    <row r="132" spans="1:5" x14ac:dyDescent="0.25">
      <c r="A132" t="str">
        <f>""</f>
        <v/>
      </c>
      <c r="B132" t="str">
        <f>"(-1.40)"</f>
        <v>(-1.40)</v>
      </c>
      <c r="C132" t="str">
        <f>"(-1.55)"</f>
        <v>(-1.55)</v>
      </c>
      <c r="D132" t="str">
        <f>"(-2.54)"</f>
        <v>(-2.54)</v>
      </c>
      <c r="E132" t="str">
        <f>"(-0.94)"</f>
        <v>(-0.94)</v>
      </c>
    </row>
    <row r="134" spans="1:5" x14ac:dyDescent="0.25">
      <c r="A134" t="str">
        <f>"21.industry"</f>
        <v>21.industry</v>
      </c>
      <c r="B134" t="str">
        <f>"-28.17"</f>
        <v>-28.17</v>
      </c>
      <c r="C134" t="str">
        <f>"-139.4"</f>
        <v>-139.4</v>
      </c>
      <c r="D134" t="str">
        <f>"-20.87*"</f>
        <v>-20.87*</v>
      </c>
      <c r="E134" t="str">
        <f>"-32.07"</f>
        <v>-32.07</v>
      </c>
    </row>
    <row r="135" spans="1:5" x14ac:dyDescent="0.25">
      <c r="A135" t="str">
        <f>""</f>
        <v/>
      </c>
      <c r="B135" t="str">
        <f>"(-1.48)"</f>
        <v>(-1.48)</v>
      </c>
      <c r="C135" t="str">
        <f>"(-1.46)"</f>
        <v>(-1.46)</v>
      </c>
      <c r="D135" t="str">
        <f>"(-2.07)"</f>
        <v>(-2.07)</v>
      </c>
      <c r="E135" t="str">
        <f>"(-0.88)"</f>
        <v>(-0.88)</v>
      </c>
    </row>
    <row r="137" spans="1:5" x14ac:dyDescent="0.25">
      <c r="A137" t="str">
        <f>"22.industry"</f>
        <v>22.industry</v>
      </c>
      <c r="B137" t="str">
        <f>"-8.548"</f>
        <v>-8.548</v>
      </c>
      <c r="C137" t="str">
        <f>"-130.1"</f>
        <v>-130.1</v>
      </c>
      <c r="D137" t="str">
        <f>"-15.68"</f>
        <v>-15.68</v>
      </c>
      <c r="E137" t="str">
        <f>"-21.42"</f>
        <v>-21.42</v>
      </c>
    </row>
    <row r="138" spans="1:5" x14ac:dyDescent="0.25">
      <c r="A138" t="str">
        <f>""</f>
        <v/>
      </c>
      <c r="B138" t="str">
        <f>"(-0.47)"</f>
        <v>(-0.47)</v>
      </c>
      <c r="C138" t="str">
        <f>"(-1.53)"</f>
        <v>(-1.53)</v>
      </c>
      <c r="D138" t="str">
        <f>"(-1.74)"</f>
        <v>(-1.74)</v>
      </c>
      <c r="E138" t="str">
        <f>"(-0.61)"</f>
        <v>(-0.61)</v>
      </c>
    </row>
    <row r="140" spans="1:5" x14ac:dyDescent="0.25">
      <c r="A140" t="str">
        <f>"23.industry"</f>
        <v>23.industry</v>
      </c>
      <c r="B140" t="str">
        <f>"-35.36"</f>
        <v>-35.36</v>
      </c>
      <c r="C140" t="str">
        <f>"-134.0"</f>
        <v>-134.0</v>
      </c>
      <c r="D140" t="str">
        <f>"-8.141"</f>
        <v>-8.141</v>
      </c>
      <c r="E140" t="str">
        <f>"-25.26"</f>
        <v>-25.26</v>
      </c>
    </row>
    <row r="141" spans="1:5" x14ac:dyDescent="0.25">
      <c r="A141" t="str">
        <f>""</f>
        <v/>
      </c>
      <c r="B141" t="str">
        <f>"(-1.94)"</f>
        <v>(-1.94)</v>
      </c>
      <c r="C141" t="str">
        <f>"(-1.54)"</f>
        <v>(-1.54)</v>
      </c>
      <c r="D141" t="str">
        <f>"(-0.90)"</f>
        <v>(-0.90)</v>
      </c>
      <c r="E141" t="str">
        <f>"(-0.72)"</f>
        <v>(-0.72)</v>
      </c>
    </row>
    <row r="143" spans="1:5" x14ac:dyDescent="0.25">
      <c r="A143" t="str">
        <f>"24.industry"</f>
        <v>24.industry</v>
      </c>
      <c r="B143" t="str">
        <f>"-17.35"</f>
        <v>-17.35</v>
      </c>
      <c r="C143" t="str">
        <f>"-130.8"</f>
        <v>-130.8</v>
      </c>
      <c r="D143" t="str">
        <f>"-21.22*"</f>
        <v>-21.22*</v>
      </c>
      <c r="E143" t="str">
        <f>"-25.31"</f>
        <v>-25.31</v>
      </c>
    </row>
    <row r="144" spans="1:5" x14ac:dyDescent="0.25">
      <c r="A144" t="str">
        <f>""</f>
        <v/>
      </c>
      <c r="B144" t="str">
        <f>"(-0.98)"</f>
        <v>(-0.98)</v>
      </c>
      <c r="C144" t="str">
        <f>"(-1.54)"</f>
        <v>(-1.54)</v>
      </c>
      <c r="D144" t="str">
        <f>"(-2.42)"</f>
        <v>(-2.42)</v>
      </c>
      <c r="E144" t="str">
        <f>"(-0.73)"</f>
        <v>(-0.73)</v>
      </c>
    </row>
    <row r="146" spans="1:5" x14ac:dyDescent="0.25">
      <c r="A146" t="str">
        <f>"25.industry"</f>
        <v>25.industry</v>
      </c>
      <c r="B146" t="str">
        <f>"-13.79"</f>
        <v>-13.79</v>
      </c>
      <c r="C146" t="str">
        <f>"-139.4"</f>
        <v>-139.4</v>
      </c>
      <c r="D146" t="str">
        <f>"-8.307"</f>
        <v>-8.307</v>
      </c>
      <c r="E146" t="str">
        <f>"-26.30"</f>
        <v>-26.30</v>
      </c>
    </row>
    <row r="147" spans="1:5" x14ac:dyDescent="0.25">
      <c r="A147" t="str">
        <f>""</f>
        <v/>
      </c>
      <c r="B147" t="str">
        <f>"(-0.78)"</f>
        <v>(-0.78)</v>
      </c>
      <c r="C147" t="str">
        <f>"(-1.65)"</f>
        <v>(-1.65)</v>
      </c>
      <c r="D147" t="str">
        <f>"(-0.95)"</f>
        <v>(-0.95)</v>
      </c>
      <c r="E147" t="str">
        <f>"(-0.77)"</f>
        <v>(-0.77)</v>
      </c>
    </row>
    <row r="149" spans="1:5" x14ac:dyDescent="0.25">
      <c r="A149" t="str">
        <f>"26.industry"</f>
        <v>26.industry</v>
      </c>
      <c r="B149" t="str">
        <f>"-43.81*"</f>
        <v>-43.81*</v>
      </c>
      <c r="C149" t="str">
        <f>"-176.7"</f>
        <v>-176.7</v>
      </c>
      <c r="D149" t="str">
        <f>"-27.39**"</f>
        <v>-27.39**</v>
      </c>
      <c r="E149" t="str">
        <f>"-28.74"</f>
        <v>-28.74</v>
      </c>
    </row>
    <row r="150" spans="1:5" x14ac:dyDescent="0.25">
      <c r="A150" t="str">
        <f>""</f>
        <v/>
      </c>
      <c r="B150" t="str">
        <f>"(-2.31)"</f>
        <v>(-2.31)</v>
      </c>
      <c r="C150" t="str">
        <f>"(-1.85)"</f>
        <v>(-1.85)</v>
      </c>
      <c r="D150" t="str">
        <f>"(-2.99)"</f>
        <v>(-2.99)</v>
      </c>
      <c r="E150" t="str">
        <f>"(-0.70)"</f>
        <v>(-0.70)</v>
      </c>
    </row>
    <row r="152" spans="1:5" x14ac:dyDescent="0.25">
      <c r="A152" t="str">
        <f>"27.industry"</f>
        <v>27.industry</v>
      </c>
      <c r="B152" t="str">
        <f>"-35.44"</f>
        <v>-35.44</v>
      </c>
      <c r="C152" t="str">
        <f>"-122.3"</f>
        <v>-122.3</v>
      </c>
      <c r="D152" t="str">
        <f>"-21.98*"</f>
        <v>-21.98*</v>
      </c>
      <c r="E152" t="str">
        <f>"-47.42"</f>
        <v>-47.42</v>
      </c>
    </row>
    <row r="153" spans="1:5" x14ac:dyDescent="0.25">
      <c r="A153" t="str">
        <f>""</f>
        <v/>
      </c>
      <c r="B153" t="str">
        <f>"(-1.93)"</f>
        <v>(-1.93)</v>
      </c>
      <c r="C153" t="str">
        <f>"(-1.35)"</f>
        <v>(-1.35)</v>
      </c>
      <c r="D153" t="str">
        <f>"(-2.52)"</f>
        <v>(-2.52)</v>
      </c>
      <c r="E153" t="str">
        <f>"(-1.39)"</f>
        <v>(-1.39)</v>
      </c>
    </row>
    <row r="155" spans="1:5" x14ac:dyDescent="0.25">
      <c r="A155" t="str">
        <f>"28.industry"</f>
        <v>28.industry</v>
      </c>
      <c r="B155" t="str">
        <f>"5.889"</f>
        <v>5.889</v>
      </c>
      <c r="C155" t="str">
        <f>""</f>
        <v/>
      </c>
      <c r="D155" t="str">
        <f>"3.718"</f>
        <v>3.718</v>
      </c>
      <c r="E155" t="str">
        <f>"77.50"</f>
        <v>77.50</v>
      </c>
    </row>
    <row r="156" spans="1:5" x14ac:dyDescent="0.25">
      <c r="A156" t="str">
        <f>""</f>
        <v/>
      </c>
      <c r="B156" t="str">
        <f>"(0.25)"</f>
        <v>(0.25)</v>
      </c>
      <c r="C156" t="str">
        <f>""</f>
        <v/>
      </c>
      <c r="D156" t="str">
        <f>"(0.37)"</f>
        <v>(0.37)</v>
      </c>
      <c r="E156" t="str">
        <f>"(1.17)"</f>
        <v>(1.17)</v>
      </c>
    </row>
    <row r="158" spans="1:5" x14ac:dyDescent="0.25">
      <c r="A158" t="str">
        <f>"29.industry"</f>
        <v>29.industry</v>
      </c>
      <c r="B158" t="str">
        <f>"7.716"</f>
        <v>7.716</v>
      </c>
      <c r="C158" t="str">
        <f>"-113.6"</f>
        <v>-113.6</v>
      </c>
      <c r="D158" t="str">
        <f>"-5.565"</f>
        <v>-5.565</v>
      </c>
      <c r="E158" t="str">
        <f>"-8.127"</f>
        <v>-8.127</v>
      </c>
    </row>
    <row r="159" spans="1:5" x14ac:dyDescent="0.25">
      <c r="A159" t="str">
        <f>""</f>
        <v/>
      </c>
      <c r="B159" t="str">
        <f>"(0.42)"</f>
        <v>(0.42)</v>
      </c>
      <c r="C159" t="str">
        <f>"(-1.27)"</f>
        <v>(-1.27)</v>
      </c>
      <c r="D159" t="str">
        <f>"(-0.59)"</f>
        <v>(-0.59)</v>
      </c>
      <c r="E159" t="str">
        <f>"(-0.21)"</f>
        <v>(-0.21)</v>
      </c>
    </row>
    <row r="161" spans="1:5" x14ac:dyDescent="0.25">
      <c r="A161" t="str">
        <f>"30.industry"</f>
        <v>30.industry</v>
      </c>
      <c r="B161" t="str">
        <f>"-4.594"</f>
        <v>-4.594</v>
      </c>
      <c r="C161" t="str">
        <f>"-130.9"</f>
        <v>-130.9</v>
      </c>
      <c r="D161" t="str">
        <f>"-12.17"</f>
        <v>-12.17</v>
      </c>
      <c r="E161" t="str">
        <f>"-30.03"</f>
        <v>-30.03</v>
      </c>
    </row>
    <row r="162" spans="1:5" x14ac:dyDescent="0.25">
      <c r="A162" t="str">
        <f>""</f>
        <v/>
      </c>
      <c r="B162" t="str">
        <f>"(-0.26)"</f>
        <v>(-0.26)</v>
      </c>
      <c r="C162" t="str">
        <f>"(-1.54)"</f>
        <v>(-1.54)</v>
      </c>
      <c r="D162" t="str">
        <f>"(-1.34)"</f>
        <v>(-1.34)</v>
      </c>
      <c r="E162" t="str">
        <f>"(-0.86)"</f>
        <v>(-0.86)</v>
      </c>
    </row>
    <row r="164" spans="1:5" x14ac:dyDescent="0.25">
      <c r="A164" t="str">
        <f>"_cons"</f>
        <v>_cons</v>
      </c>
      <c r="B164" t="str">
        <f>"74.91**"</f>
        <v>74.91**</v>
      </c>
      <c r="C164" t="str">
        <f>"163.2"</f>
        <v>163.2</v>
      </c>
      <c r="D164" t="str">
        <f>"38.49***"</f>
        <v>38.49***</v>
      </c>
      <c r="E164" t="str">
        <f>"40.89"</f>
        <v>40.89</v>
      </c>
    </row>
    <row r="165" spans="1:5" x14ac:dyDescent="0.25">
      <c r="A165" t="str">
        <f>""</f>
        <v/>
      </c>
      <c r="B165" t="str">
        <f>"(2.84)"</f>
        <v>(2.84)</v>
      </c>
      <c r="C165" t="str">
        <f>"(1.76)"</f>
        <v>(1.76)</v>
      </c>
      <c r="D165" t="str">
        <f>"(4.24)"</f>
        <v>(4.24)</v>
      </c>
      <c r="E165" t="str">
        <f>"(1.14)"</f>
        <v>(1.14)</v>
      </c>
    </row>
    <row r="167" spans="1:5" x14ac:dyDescent="0.25">
      <c r="A167" t="str">
        <f>"Year FE"</f>
        <v>Year FE</v>
      </c>
      <c r="B167" t="str">
        <f>"No"</f>
        <v>No</v>
      </c>
      <c r="C167" t="str">
        <f>"Yes"</f>
        <v>Yes</v>
      </c>
      <c r="D167" t="str">
        <f>"No"</f>
        <v>No</v>
      </c>
      <c r="E167" t="str">
        <f>"Yes"</f>
        <v>Yes</v>
      </c>
    </row>
    <row r="169" spans="1:5" x14ac:dyDescent="0.25">
      <c r="A169" t="str">
        <f>"Year FE"</f>
        <v>Year FE</v>
      </c>
      <c r="B169" t="str">
        <f>"Yes"</f>
        <v>Yes</v>
      </c>
      <c r="C169" t="str">
        <f>"No"</f>
        <v>No</v>
      </c>
      <c r="D169" t="str">
        <f>"Yes"</f>
        <v>Yes</v>
      </c>
      <c r="E169" t="str">
        <f>"No"</f>
        <v>No</v>
      </c>
    </row>
    <row r="171" spans="1:5" x14ac:dyDescent="0.25">
      <c r="A171" t="str">
        <f>"N"</f>
        <v>N</v>
      </c>
      <c r="B171" t="str">
        <f>"11138"</f>
        <v>11138</v>
      </c>
      <c r="C171" t="str">
        <f>"828"</f>
        <v>828</v>
      </c>
      <c r="D171" t="str">
        <f>"34689"</f>
        <v>34689</v>
      </c>
      <c r="E171" t="str">
        <f>"1788"</f>
        <v>1788</v>
      </c>
    </row>
    <row r="173" spans="1:5" x14ac:dyDescent="0.25">
      <c r="A173" t="str">
        <f>"t statistics in parentheses"</f>
        <v>t statistics in parentheses</v>
      </c>
    </row>
    <row r="174" spans="1:5" x14ac:dyDescent="0.25">
      <c r="A174" t="s">
        <v>0</v>
      </c>
      <c r="B174" t="s">
        <v>1</v>
      </c>
    </row>
  </sheetData>
  <mergeCells count="2">
    <mergeCell ref="B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eq2_homeworkhours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ilariamalisan</dc:creator>
  <cp:lastModifiedBy>ilariamalisan</cp:lastModifiedBy>
  <dcterms:created xsi:type="dcterms:W3CDTF">2022-02-13T18:21:35Z</dcterms:created>
  <dcterms:modified xsi:type="dcterms:W3CDTF">2022-02-13T18:21:35Z</dcterms:modified>
</cp:coreProperties>
</file>