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eLivro" hidePivotFieldList="1"/>
  <bookViews>
    <workbookView xWindow="-30" yWindow="2820" windowWidth="19420" windowHeight="4680" tabRatio="872"/>
  </bookViews>
  <sheets>
    <sheet name="Folha1" sheetId="27" r:id="rId1"/>
    <sheet name="Balancete" sheetId="17" r:id="rId2"/>
    <sheet name="Balanço MENSAL" sheetId="21" r:id="rId3"/>
    <sheet name="D.R MENSAL" sheetId="22" r:id="rId4"/>
    <sheet name="Indi. MENSAL" sheetId="14" r:id="rId5"/>
    <sheet name="Balanço TRI" sheetId="15" r:id="rId6"/>
    <sheet name="D.R TRI" sheetId="18" r:id="rId7"/>
    <sheet name="Indi. TRI" sheetId="13" r:id="rId8"/>
    <sheet name="Balanço ANUAL" sheetId="19" r:id="rId9"/>
    <sheet name="D.R ANUAL" sheetId="20" r:id="rId10"/>
    <sheet name="Indi. Anual" sheetId="12" r:id="rId11"/>
    <sheet name="Dashboard" sheetId="16" r:id="rId12"/>
  </sheets>
  <calcPr calcId="145621"/>
</workbook>
</file>

<file path=xl/calcChain.xml><?xml version="1.0" encoding="utf-8"?>
<calcChain xmlns="http://schemas.openxmlformats.org/spreadsheetml/2006/main">
  <c r="G48" i="12" l="1"/>
  <c r="G47" i="12"/>
  <c r="F48" i="12"/>
  <c r="F47" i="12"/>
  <c r="E48" i="12"/>
  <c r="E47" i="12"/>
  <c r="D48" i="12"/>
  <c r="D47" i="12"/>
  <c r="C48" i="12"/>
  <c r="C47" i="12"/>
  <c r="D45" i="12"/>
  <c r="E45" i="12"/>
  <c r="F45" i="12"/>
  <c r="G45" i="12"/>
  <c r="D46" i="12"/>
  <c r="E46" i="12"/>
  <c r="F46" i="12"/>
  <c r="G46" i="12"/>
  <c r="C46" i="12"/>
  <c r="C45" i="12"/>
  <c r="D29" i="12"/>
  <c r="E29" i="12"/>
  <c r="F29" i="12"/>
  <c r="G29" i="12"/>
  <c r="D30" i="12"/>
  <c r="E30" i="12"/>
  <c r="F30" i="12"/>
  <c r="G30" i="12"/>
  <c r="D31" i="12"/>
  <c r="E31" i="12"/>
  <c r="F31" i="12"/>
  <c r="G31" i="12"/>
  <c r="C31" i="12"/>
  <c r="C30" i="12"/>
  <c r="C29" i="12"/>
  <c r="D22" i="12"/>
  <c r="E22" i="12"/>
  <c r="F22" i="12"/>
  <c r="G22" i="12"/>
  <c r="D23" i="12"/>
  <c r="E23" i="12"/>
  <c r="F23" i="12"/>
  <c r="G23" i="12"/>
  <c r="D24" i="12"/>
  <c r="E24" i="12"/>
  <c r="F24" i="12"/>
  <c r="G24" i="12"/>
  <c r="C24" i="12"/>
  <c r="C23" i="12"/>
  <c r="C22" i="12"/>
  <c r="D14" i="12"/>
  <c r="E14" i="12"/>
  <c r="F14" i="12"/>
  <c r="G14" i="12"/>
  <c r="D15" i="12"/>
  <c r="E15" i="12"/>
  <c r="F15" i="12"/>
  <c r="G15" i="12"/>
  <c r="D16" i="12"/>
  <c r="E16" i="12"/>
  <c r="F16" i="12"/>
  <c r="G16" i="12"/>
  <c r="D17" i="12"/>
  <c r="E17" i="12"/>
  <c r="F17" i="12"/>
  <c r="G17" i="12"/>
  <c r="C17" i="12"/>
  <c r="C16" i="12"/>
  <c r="C15" i="12"/>
  <c r="C14" i="12"/>
  <c r="D5" i="12"/>
  <c r="E5" i="12"/>
  <c r="F5" i="12"/>
  <c r="G5" i="12"/>
  <c r="D6" i="12"/>
  <c r="E6" i="12"/>
  <c r="F6" i="12"/>
  <c r="G6" i="12"/>
  <c r="D7" i="12"/>
  <c r="E7" i="12"/>
  <c r="F7" i="12"/>
  <c r="G7" i="12"/>
  <c r="D8" i="12"/>
  <c r="E8" i="12"/>
  <c r="F8" i="12"/>
  <c r="G8" i="12"/>
  <c r="D9" i="12"/>
  <c r="E9" i="12"/>
  <c r="F9" i="12"/>
  <c r="G9" i="12"/>
  <c r="C9" i="12"/>
  <c r="C8" i="12"/>
  <c r="C7" i="12"/>
  <c r="C6" i="12"/>
  <c r="C5" i="12"/>
  <c r="D27" i="20"/>
  <c r="D28" i="20"/>
  <c r="D26" i="20"/>
  <c r="D23" i="20"/>
  <c r="D18" i="20"/>
  <c r="D19" i="20"/>
  <c r="D20" i="20"/>
  <c r="D17" i="20"/>
  <c r="D14" i="20"/>
  <c r="D12" i="20"/>
  <c r="D11" i="20"/>
  <c r="D50" i="19"/>
  <c r="D51" i="19"/>
  <c r="D52" i="19"/>
  <c r="D49" i="19"/>
  <c r="D42" i="19"/>
  <c r="D43" i="19"/>
  <c r="D44" i="19"/>
  <c r="D45" i="19"/>
  <c r="D41" i="19"/>
  <c r="D36" i="19"/>
  <c r="D35" i="19"/>
  <c r="D34" i="19"/>
  <c r="D21" i="19"/>
  <c r="D22" i="19"/>
  <c r="D23" i="19"/>
  <c r="D20" i="19"/>
  <c r="D13" i="19"/>
  <c r="D14" i="19"/>
  <c r="D15" i="19"/>
  <c r="D16" i="19"/>
  <c r="D12" i="19"/>
  <c r="F48" i="13"/>
  <c r="F47" i="13"/>
  <c r="E48" i="13"/>
  <c r="E47" i="13"/>
  <c r="D48" i="13"/>
  <c r="D47" i="13"/>
  <c r="C48" i="13"/>
  <c r="C47" i="13"/>
  <c r="D45" i="13"/>
  <c r="E45" i="13"/>
  <c r="F45" i="13"/>
  <c r="D46" i="13"/>
  <c r="E46" i="13"/>
  <c r="F46" i="13"/>
  <c r="C46" i="13"/>
  <c r="C45" i="13"/>
  <c r="D29" i="13"/>
  <c r="E29" i="13"/>
  <c r="F29" i="13"/>
  <c r="D30" i="13"/>
  <c r="E30" i="13"/>
  <c r="F30" i="13"/>
  <c r="D31" i="13"/>
  <c r="E31" i="13"/>
  <c r="F31" i="13"/>
  <c r="C31" i="13"/>
  <c r="C30" i="13"/>
  <c r="C29" i="13"/>
  <c r="D22" i="13"/>
  <c r="E22" i="13"/>
  <c r="F22" i="13"/>
  <c r="D23" i="13"/>
  <c r="E23" i="13"/>
  <c r="F23" i="13"/>
  <c r="D24" i="13"/>
  <c r="E24" i="13"/>
  <c r="F24" i="13"/>
  <c r="C24" i="13"/>
  <c r="C23" i="13"/>
  <c r="C22" i="13"/>
  <c r="D14" i="13"/>
  <c r="E14" i="13"/>
  <c r="F14" i="13"/>
  <c r="D15" i="13"/>
  <c r="E15" i="13"/>
  <c r="F15" i="13"/>
  <c r="D16" i="13"/>
  <c r="E16" i="13"/>
  <c r="F16" i="13"/>
  <c r="D17" i="13"/>
  <c r="E17" i="13"/>
  <c r="F17" i="13"/>
  <c r="C17" i="13"/>
  <c r="C16" i="13"/>
  <c r="C15" i="13"/>
  <c r="C14" i="13"/>
  <c r="D5" i="13"/>
  <c r="E5" i="13"/>
  <c r="F5" i="13"/>
  <c r="D6" i="13"/>
  <c r="E6" i="13"/>
  <c r="F6" i="13"/>
  <c r="D7" i="13"/>
  <c r="E7" i="13"/>
  <c r="F7" i="13"/>
  <c r="D8" i="13"/>
  <c r="E8" i="13"/>
  <c r="F8" i="13"/>
  <c r="D9" i="13"/>
  <c r="E9" i="13"/>
  <c r="F9" i="13"/>
  <c r="C8" i="13"/>
  <c r="C7" i="13"/>
  <c r="C9" i="13"/>
  <c r="C6" i="13"/>
  <c r="C5" i="13"/>
  <c r="D36" i="15"/>
  <c r="E37" i="21"/>
  <c r="F37" i="21"/>
  <c r="G37" i="21"/>
  <c r="H37" i="21"/>
  <c r="I37" i="21"/>
  <c r="J37" i="21"/>
  <c r="K37" i="21"/>
  <c r="L37" i="21"/>
  <c r="M37" i="21"/>
  <c r="N37" i="21"/>
  <c r="O37" i="21"/>
  <c r="D37" i="21"/>
  <c r="G27" i="18"/>
  <c r="G28" i="18"/>
  <c r="F27" i="18"/>
  <c r="F28" i="18"/>
  <c r="E27" i="18"/>
  <c r="E28" i="18"/>
  <c r="D27" i="18"/>
  <c r="D28" i="18"/>
  <c r="G26" i="18"/>
  <c r="F26" i="18"/>
  <c r="E26" i="18"/>
  <c r="D26" i="18"/>
  <c r="G23" i="18"/>
  <c r="F23" i="18"/>
  <c r="E23" i="18"/>
  <c r="D23" i="18"/>
  <c r="G18" i="18"/>
  <c r="G19" i="18"/>
  <c r="G20" i="18"/>
  <c r="F39" i="13" s="1"/>
  <c r="F18" i="18"/>
  <c r="F19" i="18"/>
  <c r="F20" i="18"/>
  <c r="E18" i="18"/>
  <c r="E19" i="18"/>
  <c r="E20" i="18"/>
  <c r="G17" i="18"/>
  <c r="F17" i="18"/>
  <c r="E17" i="18"/>
  <c r="D18" i="18"/>
  <c r="D19" i="18"/>
  <c r="D20" i="18"/>
  <c r="D17" i="18"/>
  <c r="G14" i="18"/>
  <c r="F14" i="18"/>
  <c r="E14" i="18"/>
  <c r="D14" i="18"/>
  <c r="G12" i="18"/>
  <c r="G11" i="18"/>
  <c r="F12" i="18"/>
  <c r="F11" i="18"/>
  <c r="E12" i="18"/>
  <c r="E11" i="18"/>
  <c r="D12" i="18"/>
  <c r="D11" i="18"/>
  <c r="C7" i="14"/>
  <c r="G52" i="15"/>
  <c r="G51" i="15"/>
  <c r="G50" i="15"/>
  <c r="F50" i="15"/>
  <c r="F51" i="15"/>
  <c r="F52" i="15"/>
  <c r="E50" i="15"/>
  <c r="E51" i="15"/>
  <c r="E52" i="15"/>
  <c r="D50" i="15"/>
  <c r="D51" i="15"/>
  <c r="D52" i="15"/>
  <c r="G49" i="15"/>
  <c r="F49" i="15"/>
  <c r="E49" i="15"/>
  <c r="D49" i="15"/>
  <c r="G42" i="15"/>
  <c r="G43" i="15"/>
  <c r="G44" i="15"/>
  <c r="G45" i="15"/>
  <c r="F42" i="15"/>
  <c r="F43" i="15"/>
  <c r="F44" i="15"/>
  <c r="F45" i="15"/>
  <c r="E42" i="15"/>
  <c r="E43" i="15"/>
  <c r="E44" i="15"/>
  <c r="E45" i="15"/>
  <c r="D42" i="15"/>
  <c r="D43" i="15"/>
  <c r="D44" i="15"/>
  <c r="D45" i="15"/>
  <c r="G41" i="15"/>
  <c r="F41" i="15"/>
  <c r="E41" i="15"/>
  <c r="D41" i="15"/>
  <c r="D34" i="15"/>
  <c r="G35" i="15"/>
  <c r="G34" i="15"/>
  <c r="F35" i="15"/>
  <c r="F34" i="15"/>
  <c r="E35" i="15"/>
  <c r="E34" i="15"/>
  <c r="D35" i="15"/>
  <c r="G21" i="15"/>
  <c r="G22" i="15"/>
  <c r="G23" i="15"/>
  <c r="F21" i="15"/>
  <c r="F22" i="15"/>
  <c r="F23" i="15"/>
  <c r="E21" i="15"/>
  <c r="E22" i="15"/>
  <c r="E23" i="15"/>
  <c r="D23" i="15"/>
  <c r="D21" i="15"/>
  <c r="D22" i="15"/>
  <c r="G20" i="15"/>
  <c r="F20" i="15"/>
  <c r="E20" i="15"/>
  <c r="D20" i="15"/>
  <c r="F13" i="15"/>
  <c r="F14" i="15"/>
  <c r="F15" i="15"/>
  <c r="F16" i="15"/>
  <c r="E13" i="15"/>
  <c r="E14" i="15"/>
  <c r="E15" i="15"/>
  <c r="E16" i="15"/>
  <c r="D16" i="15"/>
  <c r="D15" i="15"/>
  <c r="D14" i="15"/>
  <c r="D13" i="15"/>
  <c r="G16" i="15"/>
  <c r="G15" i="15"/>
  <c r="G14" i="15"/>
  <c r="G13" i="15"/>
  <c r="G12" i="15"/>
  <c r="F12" i="15"/>
  <c r="E12" i="15"/>
  <c r="D12" i="15"/>
  <c r="C47" i="14"/>
  <c r="D46" i="14"/>
  <c r="E46" i="14"/>
  <c r="F46" i="14"/>
  <c r="G46" i="14"/>
  <c r="H46" i="14"/>
  <c r="I46" i="14"/>
  <c r="J46" i="14"/>
  <c r="K46" i="14"/>
  <c r="L46" i="14"/>
  <c r="M46" i="14"/>
  <c r="N46" i="14"/>
  <c r="C46" i="14"/>
  <c r="D30" i="14"/>
  <c r="E30" i="14"/>
  <c r="F30" i="14"/>
  <c r="G30" i="14"/>
  <c r="H30" i="14"/>
  <c r="I30" i="14"/>
  <c r="J30" i="14"/>
  <c r="K30" i="14"/>
  <c r="L30" i="14"/>
  <c r="M30" i="14"/>
  <c r="N30" i="14"/>
  <c r="D31" i="14"/>
  <c r="E31" i="14"/>
  <c r="F31" i="14"/>
  <c r="G31" i="14"/>
  <c r="H31" i="14"/>
  <c r="I31" i="14"/>
  <c r="J31" i="14"/>
  <c r="K31" i="14"/>
  <c r="L31" i="14"/>
  <c r="M31" i="14"/>
  <c r="N31" i="14"/>
  <c r="C31" i="14"/>
  <c r="C30" i="14"/>
  <c r="D22" i="14"/>
  <c r="E22" i="14"/>
  <c r="F22" i="14"/>
  <c r="G22" i="14"/>
  <c r="H22" i="14"/>
  <c r="I22" i="14"/>
  <c r="J22" i="14"/>
  <c r="K22" i="14"/>
  <c r="L22" i="14"/>
  <c r="M22" i="14"/>
  <c r="N22" i="14"/>
  <c r="D23" i="14"/>
  <c r="E23" i="14"/>
  <c r="F23" i="14"/>
  <c r="G23" i="14"/>
  <c r="H23" i="14"/>
  <c r="I23" i="14"/>
  <c r="J23" i="14"/>
  <c r="K23" i="14"/>
  <c r="L23" i="14"/>
  <c r="M23" i="14"/>
  <c r="N23" i="14"/>
  <c r="D24" i="14"/>
  <c r="E24" i="14"/>
  <c r="F24" i="14"/>
  <c r="G24" i="14"/>
  <c r="H24" i="14"/>
  <c r="I24" i="14"/>
  <c r="J24" i="14"/>
  <c r="K24" i="14"/>
  <c r="L24" i="14"/>
  <c r="M24" i="14"/>
  <c r="N24" i="14"/>
  <c r="C24" i="14"/>
  <c r="C23" i="14"/>
  <c r="C22" i="14"/>
  <c r="D16" i="14"/>
  <c r="E16" i="14"/>
  <c r="F16" i="14"/>
  <c r="G16" i="14"/>
  <c r="H16" i="14"/>
  <c r="I16" i="14"/>
  <c r="J16" i="14"/>
  <c r="K16" i="14"/>
  <c r="L16" i="14"/>
  <c r="M16" i="14"/>
  <c r="N16" i="14"/>
  <c r="D17" i="14"/>
  <c r="E17" i="14"/>
  <c r="F17" i="14"/>
  <c r="G17" i="14"/>
  <c r="H17" i="14"/>
  <c r="I17" i="14"/>
  <c r="J17" i="14"/>
  <c r="K17" i="14"/>
  <c r="L17" i="14"/>
  <c r="M17" i="14"/>
  <c r="N17" i="14"/>
  <c r="C17" i="14"/>
  <c r="C16" i="14"/>
  <c r="D5" i="14"/>
  <c r="E5" i="14"/>
  <c r="F5" i="14"/>
  <c r="G5" i="14"/>
  <c r="H5" i="14"/>
  <c r="I5" i="14"/>
  <c r="J5" i="14"/>
  <c r="K5" i="14"/>
  <c r="L5" i="14"/>
  <c r="M5" i="14"/>
  <c r="N5" i="14"/>
  <c r="D7" i="14"/>
  <c r="E7" i="14"/>
  <c r="F7" i="14"/>
  <c r="G7" i="14"/>
  <c r="H7" i="14"/>
  <c r="I7" i="14"/>
  <c r="J7" i="14"/>
  <c r="K7" i="14"/>
  <c r="L7" i="14"/>
  <c r="M7" i="14"/>
  <c r="N7" i="14"/>
  <c r="D9" i="14"/>
  <c r="E9" i="14"/>
  <c r="F9" i="14"/>
  <c r="G9" i="14"/>
  <c r="H9" i="14"/>
  <c r="I9" i="14"/>
  <c r="J9" i="14"/>
  <c r="K9" i="14"/>
  <c r="L9" i="14"/>
  <c r="M9" i="14"/>
  <c r="N9" i="14"/>
  <c r="C8" i="14"/>
  <c r="C9" i="14"/>
  <c r="C5" i="14"/>
  <c r="E26" i="22"/>
  <c r="F26" i="22"/>
  <c r="G26" i="22"/>
  <c r="H26" i="22"/>
  <c r="I26" i="22"/>
  <c r="J26" i="22"/>
  <c r="K26" i="22"/>
  <c r="L26" i="22"/>
  <c r="M26" i="22"/>
  <c r="N26" i="22"/>
  <c r="O26" i="22"/>
  <c r="E28" i="22"/>
  <c r="F28" i="22"/>
  <c r="G28" i="22"/>
  <c r="H28" i="22"/>
  <c r="I28" i="22"/>
  <c r="J28" i="22"/>
  <c r="K28" i="22"/>
  <c r="L28" i="22"/>
  <c r="M28" i="22"/>
  <c r="N28" i="22"/>
  <c r="O28" i="22"/>
  <c r="D28" i="22"/>
  <c r="D26" i="22"/>
  <c r="E23" i="22"/>
  <c r="F23" i="22"/>
  <c r="G23" i="22"/>
  <c r="H23" i="22"/>
  <c r="I23" i="22"/>
  <c r="J23" i="22"/>
  <c r="K23" i="22"/>
  <c r="L23" i="22"/>
  <c r="M23" i="22"/>
  <c r="N23" i="22"/>
  <c r="O23" i="22"/>
  <c r="D23" i="22"/>
  <c r="E17" i="22"/>
  <c r="F17" i="22"/>
  <c r="G17" i="22"/>
  <c r="H17" i="22"/>
  <c r="I17" i="22"/>
  <c r="J17" i="22"/>
  <c r="K17" i="22"/>
  <c r="L17" i="22"/>
  <c r="M17" i="22"/>
  <c r="N17" i="22"/>
  <c r="O17" i="22"/>
  <c r="E19" i="22"/>
  <c r="F19" i="22"/>
  <c r="G19" i="22"/>
  <c r="H19" i="22"/>
  <c r="I19" i="22"/>
  <c r="J19" i="22"/>
  <c r="K19" i="22"/>
  <c r="L19" i="22"/>
  <c r="M19" i="22"/>
  <c r="N19" i="22"/>
  <c r="O19" i="22"/>
  <c r="E20" i="22"/>
  <c r="F20" i="22"/>
  <c r="G20" i="22"/>
  <c r="H20" i="22"/>
  <c r="I20" i="22"/>
  <c r="J20" i="22"/>
  <c r="K20" i="22"/>
  <c r="L20" i="22"/>
  <c r="M20" i="22"/>
  <c r="N20" i="22"/>
  <c r="O20" i="22"/>
  <c r="D20" i="22"/>
  <c r="D19" i="22"/>
  <c r="D17" i="22"/>
  <c r="C40" i="14" s="1"/>
  <c r="E14" i="22"/>
  <c r="F14" i="22"/>
  <c r="G14" i="22"/>
  <c r="H14" i="22"/>
  <c r="I14" i="22"/>
  <c r="J14" i="22"/>
  <c r="K14" i="22"/>
  <c r="L14" i="22"/>
  <c r="M14" i="22"/>
  <c r="N14" i="22"/>
  <c r="O14" i="22"/>
  <c r="D14" i="22"/>
  <c r="E11" i="22"/>
  <c r="F11" i="22"/>
  <c r="G11" i="22"/>
  <c r="H11" i="22"/>
  <c r="I11" i="22"/>
  <c r="J11" i="22"/>
  <c r="K11" i="22"/>
  <c r="L11" i="22"/>
  <c r="M11" i="22"/>
  <c r="N11" i="22"/>
  <c r="O11" i="22"/>
  <c r="E12" i="22"/>
  <c r="F12" i="22"/>
  <c r="G12" i="22"/>
  <c r="H12" i="22"/>
  <c r="I12" i="22"/>
  <c r="J12" i="22"/>
  <c r="K12" i="22"/>
  <c r="L12" i="22"/>
  <c r="M12" i="22"/>
  <c r="N12" i="22"/>
  <c r="O12" i="22"/>
  <c r="D12" i="22"/>
  <c r="D11" i="22"/>
  <c r="E49" i="21"/>
  <c r="F49" i="21"/>
  <c r="G49" i="21"/>
  <c r="H49" i="21"/>
  <c r="I49" i="21"/>
  <c r="J49" i="21"/>
  <c r="K49" i="21"/>
  <c r="L49" i="21"/>
  <c r="M49" i="21"/>
  <c r="N49" i="21"/>
  <c r="O49" i="21"/>
  <c r="D49" i="21"/>
  <c r="E34" i="21"/>
  <c r="F34" i="21"/>
  <c r="G34" i="21"/>
  <c r="H34" i="21"/>
  <c r="I34" i="21"/>
  <c r="J34" i="21"/>
  <c r="K34" i="21"/>
  <c r="L34" i="21"/>
  <c r="M34" i="21"/>
  <c r="N34" i="21"/>
  <c r="O34" i="21"/>
  <c r="E35" i="21"/>
  <c r="F35" i="21"/>
  <c r="G35" i="21"/>
  <c r="H35" i="21"/>
  <c r="I35" i="21"/>
  <c r="J35" i="21"/>
  <c r="K35" i="21"/>
  <c r="L35" i="21"/>
  <c r="M35" i="21"/>
  <c r="N35" i="21"/>
  <c r="O35" i="21"/>
  <c r="E36" i="21"/>
  <c r="F36" i="21"/>
  <c r="G36" i="21"/>
  <c r="H36" i="21"/>
  <c r="I36" i="21"/>
  <c r="J36" i="21"/>
  <c r="K36" i="21"/>
  <c r="L36" i="21"/>
  <c r="M36" i="21"/>
  <c r="N36" i="21"/>
  <c r="O36" i="21"/>
  <c r="D36" i="21"/>
  <c r="D35" i="21"/>
  <c r="D34" i="21"/>
  <c r="E20" i="21"/>
  <c r="F20" i="21"/>
  <c r="G20" i="21"/>
  <c r="H20" i="21"/>
  <c r="I20" i="21"/>
  <c r="J20" i="21"/>
  <c r="K20" i="21"/>
  <c r="L20" i="21"/>
  <c r="M20" i="21"/>
  <c r="N20" i="21"/>
  <c r="O20" i="21"/>
  <c r="E21" i="21"/>
  <c r="F21" i="21"/>
  <c r="G21" i="21"/>
  <c r="H21" i="21"/>
  <c r="I21" i="21"/>
  <c r="J21" i="21"/>
  <c r="K21" i="21"/>
  <c r="L21" i="21"/>
  <c r="M21" i="21"/>
  <c r="N21" i="21"/>
  <c r="O21" i="21"/>
  <c r="E22" i="21"/>
  <c r="F22" i="21"/>
  <c r="G22" i="21"/>
  <c r="H22" i="21"/>
  <c r="I22" i="21"/>
  <c r="J22" i="21"/>
  <c r="K22" i="21"/>
  <c r="L22" i="21"/>
  <c r="M22" i="21"/>
  <c r="N22" i="21"/>
  <c r="O22" i="21"/>
  <c r="D22" i="21"/>
  <c r="D21" i="21"/>
  <c r="D20" i="21"/>
  <c r="E12" i="21"/>
  <c r="F12" i="21"/>
  <c r="G12" i="21"/>
  <c r="H12" i="21"/>
  <c r="I12" i="21"/>
  <c r="J12" i="21"/>
  <c r="K12" i="21"/>
  <c r="L12" i="21"/>
  <c r="M12" i="21"/>
  <c r="N12" i="21"/>
  <c r="O12" i="21"/>
  <c r="E13" i="21"/>
  <c r="F13" i="21"/>
  <c r="G13" i="21"/>
  <c r="H13" i="21"/>
  <c r="I13" i="21"/>
  <c r="J13" i="21"/>
  <c r="K13" i="21"/>
  <c r="L13" i="21"/>
  <c r="M13" i="21"/>
  <c r="N13" i="21"/>
  <c r="O13" i="21"/>
  <c r="E14" i="21"/>
  <c r="F14" i="21"/>
  <c r="G14" i="21"/>
  <c r="H14" i="21"/>
  <c r="D36" i="13" s="1"/>
  <c r="I14" i="21"/>
  <c r="J14" i="21"/>
  <c r="K14" i="21"/>
  <c r="E36" i="13" s="1"/>
  <c r="L14" i="21"/>
  <c r="M14" i="21"/>
  <c r="N14" i="21"/>
  <c r="O14" i="21"/>
  <c r="E15" i="21"/>
  <c r="F15" i="21"/>
  <c r="G15" i="21"/>
  <c r="H15" i="21"/>
  <c r="I15" i="21"/>
  <c r="J15" i="21"/>
  <c r="K15" i="21"/>
  <c r="L15" i="21"/>
  <c r="M15" i="21"/>
  <c r="N15" i="21"/>
  <c r="O15" i="21"/>
  <c r="D15" i="21"/>
  <c r="D14" i="21"/>
  <c r="D36" i="14" s="1"/>
  <c r="D13" i="21"/>
  <c r="D12" i="21"/>
  <c r="D53" i="17"/>
  <c r="C36" i="13"/>
  <c r="F37" i="13"/>
  <c r="E37" i="13"/>
  <c r="D37" i="13"/>
  <c r="F36" i="13"/>
  <c r="F38" i="13"/>
  <c r="C37" i="13"/>
  <c r="E36" i="14"/>
  <c r="F36" i="14"/>
  <c r="G36" i="14"/>
  <c r="H36" i="14"/>
  <c r="J36" i="14"/>
  <c r="K36" i="14"/>
  <c r="L36" i="14"/>
  <c r="M36" i="14"/>
  <c r="N36" i="14"/>
  <c r="D37" i="14"/>
  <c r="E37" i="14"/>
  <c r="F37" i="14"/>
  <c r="G37" i="14"/>
  <c r="H37" i="14"/>
  <c r="I37" i="14"/>
  <c r="J37" i="14"/>
  <c r="K37" i="14"/>
  <c r="L37" i="14"/>
  <c r="M37" i="14"/>
  <c r="N37" i="14"/>
  <c r="N38" i="14"/>
  <c r="N39" i="14"/>
  <c r="D40" i="14"/>
  <c r="E40" i="14"/>
  <c r="F40" i="14"/>
  <c r="G40" i="14"/>
  <c r="H40" i="14"/>
  <c r="I40" i="14"/>
  <c r="J40" i="14"/>
  <c r="K40" i="14"/>
  <c r="L40" i="14"/>
  <c r="M40" i="14"/>
  <c r="N40" i="14"/>
  <c r="C37" i="14"/>
  <c r="C36" i="14"/>
  <c r="E39" i="20" l="1"/>
  <c r="F39" i="20"/>
  <c r="G39" i="20"/>
  <c r="H39" i="20"/>
  <c r="E34" i="20"/>
  <c r="F34" i="20"/>
  <c r="G34" i="20"/>
  <c r="H34" i="20"/>
  <c r="E30" i="20"/>
  <c r="F30" i="20"/>
  <c r="G30" i="20"/>
  <c r="H30" i="20"/>
  <c r="E24" i="20"/>
  <c r="F24" i="20"/>
  <c r="G24" i="20"/>
  <c r="H24" i="20"/>
  <c r="E21" i="20"/>
  <c r="F21" i="20"/>
  <c r="G21" i="20"/>
  <c r="H21" i="20"/>
  <c r="E15" i="20"/>
  <c r="F15" i="20"/>
  <c r="G15" i="20"/>
  <c r="H15" i="20"/>
  <c r="E13" i="20"/>
  <c r="F13" i="20"/>
  <c r="G13" i="20"/>
  <c r="H13" i="20"/>
  <c r="E55" i="19"/>
  <c r="F55" i="19"/>
  <c r="G55" i="19"/>
  <c r="H55" i="19"/>
  <c r="E53" i="19"/>
  <c r="F53" i="19"/>
  <c r="G53" i="19"/>
  <c r="H53" i="19"/>
  <c r="E46" i="19"/>
  <c r="F46" i="19"/>
  <c r="G46" i="19"/>
  <c r="H46" i="19"/>
  <c r="E38" i="19"/>
  <c r="F38" i="19"/>
  <c r="G38" i="19"/>
  <c r="H38" i="19"/>
  <c r="E26" i="19"/>
  <c r="F26" i="19"/>
  <c r="G26" i="19"/>
  <c r="H26" i="19"/>
  <c r="E24" i="19"/>
  <c r="F24" i="19"/>
  <c r="G24" i="19"/>
  <c r="H24" i="19"/>
  <c r="E17" i="19"/>
  <c r="F17" i="19"/>
  <c r="G17" i="19"/>
  <c r="H17" i="19"/>
  <c r="D46" i="19" l="1"/>
  <c r="D51" i="17" l="1"/>
  <c r="D53" i="21"/>
  <c r="E53" i="17"/>
  <c r="F53" i="17"/>
  <c r="G53" i="17"/>
  <c r="H53" i="17"/>
  <c r="I53" i="17"/>
  <c r="J53" i="17"/>
  <c r="K53" i="17"/>
  <c r="L53" i="17"/>
  <c r="M53" i="17"/>
  <c r="N53" i="17"/>
  <c r="D54" i="17"/>
  <c r="E54" i="17"/>
  <c r="F54" i="17"/>
  <c r="G54" i="17"/>
  <c r="H54" i="17"/>
  <c r="I54" i="17"/>
  <c r="J54" i="17"/>
  <c r="K54" i="17"/>
  <c r="L54" i="17"/>
  <c r="M54" i="17"/>
  <c r="N54" i="17"/>
  <c r="D55" i="17"/>
  <c r="E55" i="17"/>
  <c r="F55" i="17"/>
  <c r="G55" i="17"/>
  <c r="H55" i="17"/>
  <c r="I55" i="17"/>
  <c r="J55" i="17"/>
  <c r="K55" i="17"/>
  <c r="L55" i="17"/>
  <c r="M55" i="17"/>
  <c r="N55" i="17"/>
  <c r="C55" i="17"/>
  <c r="C53" i="17"/>
  <c r="C54" i="17"/>
  <c r="E53" i="21"/>
  <c r="E46" i="21"/>
  <c r="F46" i="21"/>
  <c r="G46" i="21"/>
  <c r="H46" i="21"/>
  <c r="I46" i="21"/>
  <c r="J46" i="21"/>
  <c r="K46" i="21"/>
  <c r="L46" i="21"/>
  <c r="M46" i="21"/>
  <c r="N46" i="21"/>
  <c r="O46" i="21"/>
  <c r="D46" i="21"/>
  <c r="G46" i="15" l="1"/>
  <c r="D46" i="15"/>
  <c r="F46" i="15"/>
  <c r="N57" i="17"/>
  <c r="F57" i="17"/>
  <c r="J57" i="17"/>
  <c r="M57" i="17"/>
  <c r="I57" i="17"/>
  <c r="E57" i="17"/>
  <c r="L57" i="17"/>
  <c r="H57" i="17"/>
  <c r="D57" i="17"/>
  <c r="K57" i="17"/>
  <c r="G57" i="17"/>
  <c r="D13" i="22"/>
  <c r="D15" i="22" s="1"/>
  <c r="D21" i="22" s="1"/>
  <c r="E40" i="13"/>
  <c r="C57" i="17"/>
  <c r="F40" i="13"/>
  <c r="D40" i="13"/>
  <c r="D53" i="15"/>
  <c r="C40" i="13"/>
  <c r="E46" i="15"/>
  <c r="F17" i="21"/>
  <c r="G17" i="21"/>
  <c r="M17" i="21"/>
  <c r="F39" i="12"/>
  <c r="F38" i="12"/>
  <c r="F37" i="12"/>
  <c r="F40" i="12"/>
  <c r="I36" i="14" l="1"/>
  <c r="D24" i="22"/>
  <c r="N17" i="21"/>
  <c r="O17" i="21"/>
  <c r="E51" i="17"/>
  <c r="F13" i="18"/>
  <c r="L17" i="21"/>
  <c r="J17" i="21"/>
  <c r="I17" i="21"/>
  <c r="H17" i="21"/>
  <c r="D13" i="18"/>
  <c r="G13" i="18"/>
  <c r="K17" i="21"/>
  <c r="D38" i="21"/>
  <c r="E13" i="18"/>
  <c r="E17" i="21"/>
  <c r="E53" i="15"/>
  <c r="D24" i="21"/>
  <c r="D17" i="21"/>
  <c r="F53" i="21" s="1"/>
  <c r="F36" i="12"/>
  <c r="D40" i="12"/>
  <c r="D39" i="12"/>
  <c r="C39" i="12"/>
  <c r="D38" i="12"/>
  <c r="C38" i="12"/>
  <c r="D37" i="12"/>
  <c r="C37" i="12"/>
  <c r="D36" i="12"/>
  <c r="C15" i="14" l="1"/>
  <c r="C45" i="14"/>
  <c r="C48" i="14" s="1"/>
  <c r="C14" i="14"/>
  <c r="C29" i="14"/>
  <c r="D55" i="21"/>
  <c r="C6" i="14" s="1"/>
  <c r="E13" i="22"/>
  <c r="E15" i="22" s="1"/>
  <c r="E21" i="22" s="1"/>
  <c r="E24" i="22" s="1"/>
  <c r="E24" i="21"/>
  <c r="E26" i="21" s="1"/>
  <c r="G53" i="21"/>
  <c r="F51" i="17"/>
  <c r="F38" i="21"/>
  <c r="E38" i="21"/>
  <c r="D30" i="22"/>
  <c r="D34" i="22" s="1"/>
  <c r="D39" i="22" s="1"/>
  <c r="D13" i="20"/>
  <c r="D26" i="21"/>
  <c r="D14" i="14" l="1"/>
  <c r="D29" i="14"/>
  <c r="D45" i="14"/>
  <c r="D48" i="14" s="1"/>
  <c r="D15" i="14"/>
  <c r="G13" i="22"/>
  <c r="G15" i="22" s="1"/>
  <c r="G21" i="22" s="1"/>
  <c r="G24" i="22" s="1"/>
  <c r="E15" i="14"/>
  <c r="E14" i="14"/>
  <c r="E29" i="14"/>
  <c r="E45" i="14"/>
  <c r="E48" i="14" s="1"/>
  <c r="F13" i="22"/>
  <c r="E30" i="22"/>
  <c r="E34" i="22" s="1"/>
  <c r="E39" i="22" s="1"/>
  <c r="D8" i="14" s="1"/>
  <c r="D47" i="14" s="1"/>
  <c r="F24" i="21"/>
  <c r="F26" i="21" s="1"/>
  <c r="F55" i="21"/>
  <c r="E6" i="14" s="1"/>
  <c r="G51" i="17"/>
  <c r="H38" i="21" s="1"/>
  <c r="E55" i="21"/>
  <c r="D6" i="14" s="1"/>
  <c r="C36" i="12"/>
  <c r="C40" i="12"/>
  <c r="G38" i="21"/>
  <c r="G29" i="14" l="1"/>
  <c r="G45" i="14"/>
  <c r="G48" i="14" s="1"/>
  <c r="G15" i="14"/>
  <c r="G14" i="14"/>
  <c r="H13" i="22"/>
  <c r="H15" i="22" s="1"/>
  <c r="H21" i="22" s="1"/>
  <c r="H24" i="22" s="1"/>
  <c r="F45" i="14"/>
  <c r="F48" i="14" s="1"/>
  <c r="F15" i="14"/>
  <c r="F14" i="14"/>
  <c r="F29" i="14"/>
  <c r="C39" i="14"/>
  <c r="C38" i="14"/>
  <c r="D39" i="14"/>
  <c r="D38" i="14"/>
  <c r="I13" i="22"/>
  <c r="F15" i="22"/>
  <c r="H53" i="21"/>
  <c r="H55" i="21" s="1"/>
  <c r="G6" i="14" s="1"/>
  <c r="G30" i="22"/>
  <c r="G34" i="22" s="1"/>
  <c r="G39" i="22" s="1"/>
  <c r="F8" i="14" s="1"/>
  <c r="F47" i="14" s="1"/>
  <c r="F53" i="15"/>
  <c r="H51" i="17"/>
  <c r="G55" i="21"/>
  <c r="F6" i="14" s="1"/>
  <c r="I51" i="17"/>
  <c r="F21" i="22" l="1"/>
  <c r="D17" i="15"/>
  <c r="I15" i="22"/>
  <c r="G24" i="21"/>
  <c r="G26" i="21"/>
  <c r="H30" i="22"/>
  <c r="H34" i="22" s="1"/>
  <c r="H39" i="22" s="1"/>
  <c r="G8" i="14" s="1"/>
  <c r="G47" i="14" s="1"/>
  <c r="F38" i="14"/>
  <c r="F39" i="14"/>
  <c r="E39" i="14"/>
  <c r="E38" i="14"/>
  <c r="D15" i="18"/>
  <c r="D21" i="18" s="1"/>
  <c r="D24" i="18" s="1"/>
  <c r="I38" i="21"/>
  <c r="J38" i="21"/>
  <c r="J51" i="17"/>
  <c r="J13" i="22" l="1"/>
  <c r="J15" i="22" s="1"/>
  <c r="J21" i="22" s="1"/>
  <c r="J24" i="22" s="1"/>
  <c r="H14" i="14"/>
  <c r="H29" i="14"/>
  <c r="H45" i="14"/>
  <c r="H48" i="14" s="1"/>
  <c r="H15" i="14"/>
  <c r="K13" i="22"/>
  <c r="K15" i="22" s="1"/>
  <c r="K21" i="22" s="1"/>
  <c r="K24" i="22" s="1"/>
  <c r="I15" i="14"/>
  <c r="I14" i="14"/>
  <c r="I29" i="14"/>
  <c r="I45" i="14"/>
  <c r="I48" i="14" s="1"/>
  <c r="F24" i="22"/>
  <c r="D24" i="15"/>
  <c r="D26" i="15" s="1"/>
  <c r="I21" i="22"/>
  <c r="E17" i="15"/>
  <c r="H24" i="21"/>
  <c r="D30" i="18"/>
  <c r="D34" i="18" s="1"/>
  <c r="D39" i="18" s="1"/>
  <c r="D37" i="15" s="1"/>
  <c r="K51" i="17"/>
  <c r="K38" i="21"/>
  <c r="J45" i="14" l="1"/>
  <c r="J48" i="14" s="1"/>
  <c r="J15" i="14"/>
  <c r="J14" i="14"/>
  <c r="J29" i="14"/>
  <c r="F30" i="22"/>
  <c r="F34" i="22" s="1"/>
  <c r="L13" i="22"/>
  <c r="I24" i="22"/>
  <c r="E24" i="15"/>
  <c r="E26" i="15" s="1"/>
  <c r="H26" i="21"/>
  <c r="I53" i="21"/>
  <c r="I55" i="21" s="1"/>
  <c r="H39" i="14"/>
  <c r="H38" i="14"/>
  <c r="G39" i="14"/>
  <c r="G38" i="14"/>
  <c r="E15" i="18"/>
  <c r="E21" i="18" s="1"/>
  <c r="L38" i="21"/>
  <c r="L51" i="17"/>
  <c r="J30" i="22" l="1"/>
  <c r="J34" i="22" s="1"/>
  <c r="J39" i="22" s="1"/>
  <c r="I8" i="14" s="1"/>
  <c r="I47" i="14" s="1"/>
  <c r="H6" i="14"/>
  <c r="M13" i="22"/>
  <c r="M15" i="22" s="1"/>
  <c r="M21" i="22" s="1"/>
  <c r="M24" i="22" s="1"/>
  <c r="K29" i="14"/>
  <c r="K45" i="14"/>
  <c r="K48" i="14" s="1"/>
  <c r="K15" i="14"/>
  <c r="K14" i="14"/>
  <c r="E24" i="18"/>
  <c r="E30" i="18" s="1"/>
  <c r="E34" i="18" s="1"/>
  <c r="E39" i="18" s="1"/>
  <c r="E37" i="15" s="1"/>
  <c r="L15" i="22"/>
  <c r="I30" i="22"/>
  <c r="I34" i="22" s="1"/>
  <c r="F39" i="22"/>
  <c r="E8" i="14" s="1"/>
  <c r="E47" i="14" s="1"/>
  <c r="J53" i="21"/>
  <c r="J55" i="21" s="1"/>
  <c r="I24" i="21"/>
  <c r="C39" i="13"/>
  <c r="C38" i="13"/>
  <c r="I39" i="14"/>
  <c r="I38" i="14"/>
  <c r="M51" i="17"/>
  <c r="M38" i="21"/>
  <c r="K30" i="22" l="1"/>
  <c r="K34" i="22" s="1"/>
  <c r="K39" i="22" s="1"/>
  <c r="J8" i="14" s="1"/>
  <c r="J47" i="14" s="1"/>
  <c r="I6" i="14"/>
  <c r="N13" i="22"/>
  <c r="N15" i="22" s="1"/>
  <c r="N21" i="22" s="1"/>
  <c r="N24" i="22" s="1"/>
  <c r="L14" i="14"/>
  <c r="L29" i="14"/>
  <c r="L45" i="14"/>
  <c r="L48" i="14" s="1"/>
  <c r="L15" i="14"/>
  <c r="I39" i="22"/>
  <c r="H8" i="14" s="1"/>
  <c r="H47" i="14" s="1"/>
  <c r="L21" i="22"/>
  <c r="F17" i="15"/>
  <c r="I26" i="21"/>
  <c r="J38" i="14"/>
  <c r="J39" i="14"/>
  <c r="F15" i="18"/>
  <c r="F21" i="18" s="1"/>
  <c r="F24" i="18" s="1"/>
  <c r="N38" i="21"/>
  <c r="N51" i="17"/>
  <c r="O38" i="21" s="1"/>
  <c r="M15" i="14" l="1"/>
  <c r="M14" i="14"/>
  <c r="M29" i="14"/>
  <c r="M45" i="14"/>
  <c r="M48" i="14" s="1"/>
  <c r="N45" i="14"/>
  <c r="N48" i="14" s="1"/>
  <c r="N15" i="14"/>
  <c r="N14" i="14"/>
  <c r="N29" i="14"/>
  <c r="O13" i="22"/>
  <c r="L24" i="22"/>
  <c r="F24" i="15"/>
  <c r="F26" i="15" s="1"/>
  <c r="K53" i="21"/>
  <c r="K55" i="21" s="1"/>
  <c r="J6" i="14" s="1"/>
  <c r="J24" i="21"/>
  <c r="F30" i="18"/>
  <c r="F34" i="18" s="1"/>
  <c r="F39" i="18" s="1"/>
  <c r="F37" i="15" s="1"/>
  <c r="K39" i="14"/>
  <c r="K38" i="14"/>
  <c r="D39" i="13"/>
  <c r="D38" i="13"/>
  <c r="L30" i="22" l="1"/>
  <c r="L34" i="22" s="1"/>
  <c r="O15" i="22"/>
  <c r="J26" i="21"/>
  <c r="L39" i="14"/>
  <c r="L38" i="14"/>
  <c r="E36" i="15"/>
  <c r="D38" i="15"/>
  <c r="D55" i="15" s="1"/>
  <c r="M39" i="14"/>
  <c r="M38" i="14"/>
  <c r="D53" i="19"/>
  <c r="G53" i="15"/>
  <c r="L39" i="22" l="1"/>
  <c r="K8" i="14" s="1"/>
  <c r="K47" i="14" s="1"/>
  <c r="O21" i="22"/>
  <c r="G17" i="15"/>
  <c r="K24" i="21"/>
  <c r="L53" i="21"/>
  <c r="L55" i="21" s="1"/>
  <c r="G15" i="18"/>
  <c r="E38" i="13"/>
  <c r="E39" i="13"/>
  <c r="F36" i="15" s="1"/>
  <c r="D15" i="20"/>
  <c r="D21" i="20" s="1"/>
  <c r="D24" i="20" s="1"/>
  <c r="M30" i="22" l="1"/>
  <c r="M34" i="22" s="1"/>
  <c r="M39" i="22" s="1"/>
  <c r="L8" i="14" s="1"/>
  <c r="L47" i="14" s="1"/>
  <c r="K6" i="14"/>
  <c r="O24" i="22"/>
  <c r="G24" i="15"/>
  <c r="G26" i="15" s="1"/>
  <c r="K26" i="21"/>
  <c r="G36" i="15"/>
  <c r="F38" i="15"/>
  <c r="F55" i="15" s="1"/>
  <c r="E38" i="15"/>
  <c r="E55" i="15" s="1"/>
  <c r="G21" i="18"/>
  <c r="D17" i="19"/>
  <c r="D30" i="20"/>
  <c r="D34" i="20" s="1"/>
  <c r="D39" i="20" s="1"/>
  <c r="D37" i="19" s="1"/>
  <c r="L24" i="21" l="1"/>
  <c r="M53" i="21"/>
  <c r="M55" i="21" s="1"/>
  <c r="G24" i="18"/>
  <c r="D24" i="19"/>
  <c r="D26" i="19" s="1"/>
  <c r="N30" i="22" l="1"/>
  <c r="N34" i="22" s="1"/>
  <c r="N39" i="22" s="1"/>
  <c r="M8" i="14" s="1"/>
  <c r="M47" i="14" s="1"/>
  <c r="L6" i="14"/>
  <c r="L26" i="21"/>
  <c r="G30" i="18"/>
  <c r="G34" i="18" s="1"/>
  <c r="M24" i="21" l="1"/>
  <c r="N53" i="21"/>
  <c r="N55" i="21" s="1"/>
  <c r="G39" i="18"/>
  <c r="G37" i="15" s="1"/>
  <c r="D38" i="19"/>
  <c r="D55" i="19" s="1"/>
  <c r="O30" i="22" l="1"/>
  <c r="O34" i="22" s="1"/>
  <c r="M6" i="14"/>
  <c r="O39" i="22"/>
  <c r="N8" i="14" s="1"/>
  <c r="N47" i="14" s="1"/>
  <c r="G38" i="15"/>
  <c r="G55" i="15" s="1"/>
  <c r="M26" i="21"/>
  <c r="O53" i="21" l="1"/>
  <c r="O55" i="21" s="1"/>
  <c r="N6" i="14" s="1"/>
  <c r="N24" i="21"/>
  <c r="O24" i="21" l="1"/>
  <c r="O26" i="21" s="1"/>
  <c r="N26" i="21"/>
</calcChain>
</file>

<file path=xl/sharedStrings.xml><?xml version="1.0" encoding="utf-8"?>
<sst xmlns="http://schemas.openxmlformats.org/spreadsheetml/2006/main" count="605" uniqueCount="195">
  <si>
    <t>Indicador</t>
  </si>
  <si>
    <t>Investimento</t>
  </si>
  <si>
    <t>Financiamento</t>
  </si>
  <si>
    <t>Indicador/ano</t>
  </si>
  <si>
    <t xml:space="preserve">Volume de negócios </t>
  </si>
  <si>
    <t>Resultado líquido</t>
  </si>
  <si>
    <t>Autonomia Financeira</t>
  </si>
  <si>
    <t>Solvabilidade</t>
  </si>
  <si>
    <t>Endividamento</t>
  </si>
  <si>
    <t>Composição do Endividamento</t>
  </si>
  <si>
    <t>Indicadores</t>
  </si>
  <si>
    <t>PMR</t>
  </si>
  <si>
    <t>PMP</t>
  </si>
  <si>
    <t>Duração média de Stock</t>
  </si>
  <si>
    <t>Rotação de Stocks</t>
  </si>
  <si>
    <t>Rotação do Activo</t>
  </si>
  <si>
    <t>Rendibilidade do Activo</t>
  </si>
  <si>
    <t>Rendibilidade das Vendas</t>
  </si>
  <si>
    <t>Liquidez Geral</t>
  </si>
  <si>
    <t>Liquidez Reduzida</t>
  </si>
  <si>
    <t>Liquidez Imediata</t>
  </si>
  <si>
    <t>2019</t>
  </si>
  <si>
    <t>2018</t>
  </si>
  <si>
    <t xml:space="preserve"> </t>
  </si>
  <si>
    <t>2020</t>
  </si>
  <si>
    <t xml:space="preserve">Valor do Capital </t>
  </si>
  <si>
    <t>EPS</t>
  </si>
  <si>
    <t>Valor da Firma</t>
  </si>
  <si>
    <t>RES</t>
  </si>
  <si>
    <t>Rendibilidade dos Capitais próprios</t>
  </si>
  <si>
    <t>1 MEIOS FIXOS E INVESTIMENTOS</t>
  </si>
  <si>
    <t>11 Imobilizações corpóreas</t>
  </si>
  <si>
    <t>14 Imobilizações em curso</t>
  </si>
  <si>
    <t>18 Amortizações acumuladas</t>
  </si>
  <si>
    <t>2 EXISTÊNCIAS</t>
  </si>
  <si>
    <t>21 Compras</t>
  </si>
  <si>
    <t>26 Mercadorias</t>
  </si>
  <si>
    <t>3 TERCEIROS</t>
  </si>
  <si>
    <t>4 MEIOS MONETÁRIOS</t>
  </si>
  <si>
    <t>42 Depósitos a prazo</t>
  </si>
  <si>
    <t>43 Depósitos á ordem</t>
  </si>
  <si>
    <t>45 Caixa</t>
  </si>
  <si>
    <t>48 Conta transitória</t>
  </si>
  <si>
    <t>5 CAPITAL E RESERVAS</t>
  </si>
  <si>
    <t>51 Capital</t>
  </si>
  <si>
    <t>6 PROVEITOS E GANHOS POR NATUREZA</t>
  </si>
  <si>
    <t>61 Vendas</t>
  </si>
  <si>
    <t>62 Prestações de serviço</t>
  </si>
  <si>
    <t>66 Proveitos e ganhos financeiros gerais</t>
  </si>
  <si>
    <t>68 Outros proveitos e ganhos não operacionais</t>
  </si>
  <si>
    <t>7 CUSTOS E PERDAS POR NATUREZA</t>
  </si>
  <si>
    <t>71 Custos das existencias vendidas</t>
  </si>
  <si>
    <t>72 Custos com o pessoal</t>
  </si>
  <si>
    <t>73 Amortizações de exercício</t>
  </si>
  <si>
    <t>75 Outros custos e perdas operacionais</t>
  </si>
  <si>
    <t>76 Custos e perdas financeiros gerais</t>
  </si>
  <si>
    <t>78 Outros custos e perdas não operacionais</t>
  </si>
  <si>
    <t>8 RESULTADOS</t>
  </si>
  <si>
    <t>81 Resultados transitados</t>
  </si>
  <si>
    <t>8111 Resultado do Ano</t>
  </si>
  <si>
    <t>82 Resultados operacionais</t>
  </si>
  <si>
    <t>83 Resultados financeiros</t>
  </si>
  <si>
    <t>85 Resultados não operacionais</t>
  </si>
  <si>
    <t>88 Resultados líquidos do exercícios</t>
  </si>
  <si>
    <t>Total</t>
  </si>
  <si>
    <t>12 Imobilizações Incorpóreas</t>
  </si>
  <si>
    <t>8113 Correções de Erros Fundamentais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</si>
  <si>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</si>
  <si>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</si>
  <si>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</si>
  <si>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</si>
  <si>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</si>
  <si>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</si>
  <si>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</si>
  <si>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</si>
  <si>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</si>
  <si>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</si>
  <si>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</si>
  <si>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</si>
  <si>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BALANÇO</t>
  </si>
  <si>
    <t>Entidade..................................................................</t>
  </si>
  <si>
    <t>Balanço em.............................................................</t>
  </si>
  <si>
    <t>31/12/2019</t>
  </si>
  <si>
    <t>Designação</t>
  </si>
  <si>
    <t>Notas</t>
  </si>
  <si>
    <t>Activos não correntes:</t>
  </si>
  <si>
    <t xml:space="preserve">   Imobilizações corpóreas....................................</t>
  </si>
  <si>
    <t xml:space="preserve">   Imobilizações  incorpóreas.................................</t>
  </si>
  <si>
    <t xml:space="preserve">   Investimentos em subsidiárias e associadas..</t>
  </si>
  <si>
    <t xml:space="preserve">   Outros activos financeiros....................................</t>
  </si>
  <si>
    <t xml:space="preserve">   Outros activos não correntes...............................</t>
  </si>
  <si>
    <t>Activos correntes:</t>
  </si>
  <si>
    <t xml:space="preserve">   Existências...........................................................</t>
  </si>
  <si>
    <t xml:space="preserve">   Contas a receber.................................................</t>
  </si>
  <si>
    <t xml:space="preserve">   Disponibilidades....................................................</t>
  </si>
  <si>
    <t xml:space="preserve">   Outros activos correntes..........................................</t>
  </si>
  <si>
    <t>Total do activo..............</t>
  </si>
  <si>
    <t>C A P I T A L   P R Ó P R I O</t>
  </si>
  <si>
    <t>E</t>
  </si>
  <si>
    <t xml:space="preserve">P  A  S  S  I  V  O  </t>
  </si>
  <si>
    <t>Capital próprio:</t>
  </si>
  <si>
    <t xml:space="preserve">   Capital...................................................................</t>
  </si>
  <si>
    <t xml:space="preserve">   Reservas.............................................................</t>
  </si>
  <si>
    <t xml:space="preserve">   Resultados transitados...............................................</t>
  </si>
  <si>
    <t xml:space="preserve">   Resultados do exercício.......................................</t>
  </si>
  <si>
    <t xml:space="preserve">   </t>
  </si>
  <si>
    <t>Passivo não corrente:</t>
  </si>
  <si>
    <t xml:space="preserve">   Empréstimos de médio e longo prazos ................</t>
  </si>
  <si>
    <t xml:space="preserve">   Impostos diferidos................................................</t>
  </si>
  <si>
    <t xml:space="preserve">   Provisões para pensões........................................</t>
  </si>
  <si>
    <t xml:space="preserve">   Provisões para outros riscos e encargos................</t>
  </si>
  <si>
    <t xml:space="preserve">   Outros passivos não correntes...........................</t>
  </si>
  <si>
    <t>Passivo corrente:</t>
  </si>
  <si>
    <t xml:space="preserve">   Contas a pagar..........................................................</t>
  </si>
  <si>
    <t xml:space="preserve">   Empréstimos de curto prazo.................................</t>
  </si>
  <si>
    <t xml:space="preserve">   Parte cor. dos emp. a médio e longos prazos...........</t>
  </si>
  <si>
    <t xml:space="preserve">   Outros passivos correntes..................................</t>
  </si>
  <si>
    <t>Total do capital próprio e passivo..............</t>
  </si>
  <si>
    <t>EMARPE ACCOUNTING - PRESTAÇÃO DE SERVIÇOS</t>
  </si>
  <si>
    <t>Contabilidade © Primavera BSS</t>
  </si>
  <si>
    <t>1º TRI</t>
  </si>
  <si>
    <t>2º TRI</t>
  </si>
  <si>
    <t>3º TRI</t>
  </si>
  <si>
    <t>4º TRI</t>
  </si>
  <si>
    <t>Valores expressos em KZ</t>
  </si>
  <si>
    <t>REG</t>
  </si>
  <si>
    <t>Valores expressos em KZS</t>
  </si>
  <si>
    <t>SETEMRO</t>
  </si>
  <si>
    <t>Empresa..................................................................</t>
  </si>
  <si>
    <t>Demonstração de resultados em............................</t>
  </si>
  <si>
    <t xml:space="preserve"> 34</t>
  </si>
  <si>
    <t>Custos das mercadorias vendidas</t>
  </si>
  <si>
    <t>MARGEM BRUTA</t>
  </si>
  <si>
    <t>Custos de Distribuição</t>
  </si>
  <si>
    <t>Custos Administrativos (Pessoal)</t>
  </si>
  <si>
    <t>Resultados líquidos das actividades correntes</t>
  </si>
  <si>
    <t>Vendas.................................................................</t>
  </si>
  <si>
    <t>Prestações de serviços...............................</t>
  </si>
  <si>
    <t>Outros proveitos operacionais........................</t>
  </si>
  <si>
    <t>Outros custos e perdas operacionais...................</t>
  </si>
  <si>
    <t>Amortizações.....................................</t>
  </si>
  <si>
    <t>Resultados financeiros...................................</t>
  </si>
  <si>
    <t>Resultados não operacionais...............................</t>
  </si>
  <si>
    <t>Resultados de filiais e associadas........................</t>
  </si>
  <si>
    <t>Resultados antes de impostos...................</t>
  </si>
  <si>
    <t>Resultados extraordinários.............................</t>
  </si>
  <si>
    <t>Imposto sobre o rendimento...............................</t>
  </si>
  <si>
    <t>Resultados líquido do exercício...................</t>
  </si>
  <si>
    <t>Resultados operacionais (EBITDA)</t>
  </si>
  <si>
    <t>Resultados operacionais (EBIT)</t>
  </si>
  <si>
    <t>Imposto sobre os rendimentos (PROVISIONAL)</t>
  </si>
  <si>
    <t>2021</t>
  </si>
  <si>
    <t>2017</t>
  </si>
  <si>
    <t>Demonstração de Resultados (POR FUNÇÃO)</t>
  </si>
  <si>
    <t>TOTAL</t>
  </si>
  <si>
    <t>13 Outros activos financeiros</t>
  </si>
  <si>
    <t>13 Invest. em subsidiárias e associadas</t>
  </si>
  <si>
    <t>52 Ações</t>
  </si>
  <si>
    <t>55 Reservas Legais</t>
  </si>
  <si>
    <t>57 Reservas Fins Especiais</t>
  </si>
  <si>
    <t>87 Imposto sobre lucros</t>
  </si>
  <si>
    <t>63 Outros proveitos operacionais</t>
  </si>
  <si>
    <t>31 Clientes Saldo devedor</t>
  </si>
  <si>
    <t>31 Clientes Saldo Credor</t>
  </si>
  <si>
    <t>32 Fornecedores Saldo Credor</t>
  </si>
  <si>
    <t>34 Estado Saldo Devedor</t>
  </si>
  <si>
    <t xml:space="preserve">34 Estado Saldo Credor </t>
  </si>
  <si>
    <t>36 Pessoal Saldo Credor</t>
  </si>
  <si>
    <t>36 Pessoal Saldo Devedor</t>
  </si>
  <si>
    <t>37 Outros valores a rec. e a pag. Saldo Credor</t>
  </si>
  <si>
    <t>37 Outros valores a rec. e a pag. Saldo Devedor</t>
  </si>
  <si>
    <t>35 Entidades participantes e participadas SD</t>
  </si>
  <si>
    <t>35 Entidades participantes e participadas SC</t>
  </si>
  <si>
    <t>32 Fornecedores Saldo Devedor</t>
  </si>
  <si>
    <t>0</t>
  </si>
  <si>
    <t>MENSAL</t>
  </si>
  <si>
    <t>EMPRESA</t>
  </si>
  <si>
    <t>Nº DE AÇÕES/QUOTAS</t>
  </si>
  <si>
    <t>EMARPE</t>
  </si>
  <si>
    <t>TRIMESTRAL</t>
  </si>
  <si>
    <t>ANUAL</t>
  </si>
  <si>
    <t>Fluxo de Caixa</t>
  </si>
  <si>
    <t>MODO DE USO</t>
  </si>
  <si>
    <t>PARA AS CONTAS DO BALANÇO</t>
  </si>
  <si>
    <t>PARA AS CONTAS DE RESULTADO</t>
  </si>
  <si>
    <t>UTILIZAR O SALDO ACUMULADO</t>
  </si>
  <si>
    <t>UTILIZAR O SALDO DO MÊS</t>
  </si>
  <si>
    <t>SELECIONAR PERIODO E ACUMULADO</t>
  </si>
  <si>
    <t>SELECIONAR O PERIODO</t>
  </si>
  <si>
    <t>PRIMAVERA (FILTRAR INICIO E FIM)</t>
  </si>
  <si>
    <t>ODOO (FILTRAR INICIO E FIM)</t>
  </si>
  <si>
    <t>31/12/2021</t>
  </si>
  <si>
    <t>PREENCHER OS ANOS ANTERIORES</t>
  </si>
  <si>
    <t>AS FOLHAS BALANÇO E D.R ANUAL</t>
  </si>
  <si>
    <t>ATT: PREENCHER O BALANCETE, E OS CAMPOS DESCOLODIRDOS!!!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</si>
</sst>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_-* #,##0.00_-;\-* #,##0.00_-;_-* &quot;-&quot;??_-;_-@_-"/>
    <numFmt numFmtId="166" formatCode="0.0000"/>
    <numFmt numFmtId="167" formatCode="_-* #,##0.0_-;\-* #,##0.0_-;_-* &quot;-&quot;??_-;_-@_-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11"/>
      <color theme="1"/>
      <name val="Arial"/>
      <family val="2"/>
    </font>
    <font>
      <sz val="11"/>
      <color indexed="13"/>
      <name val="Arial"/>
      <family val="2"/>
    </font>
    <font>
      <sz val="12"/>
      <color theme="1"/>
      <name val="Arial"/>
      <family val="2"/>
    </font>
    <font>
      <b/>
      <sz val="13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i/>
      <sz val="11"/>
      <color theme="1"/>
      <name val="Arial"/>
      <family val="2"/>
    </font>
    <font>
      <sz val="16"/>
      <color theme="1"/>
      <name val="Arial"/>
      <family val="2"/>
    </font>
    <font>
      <sz val="20"/>
      <color theme="1"/>
      <name val="Arial"/>
      <family val="2"/>
    </font>
    <font>
      <b/>
      <sz val="11"/>
      <color indexed="13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2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55">
    <xf numFmtId="0" fontId="0" fillId="0" borderId="0" xfId="0"/>
    <xf numFmtId="49" fontId="5" fillId="8" borderId="29" xfId="0" applyNumberFormat="1" applyFont="1" applyFill="1" applyBorder="1" applyAlignment="1" applyProtection="1">
      <alignment horizontal="center" vertical="center"/>
    </xf>
    <xf numFmtId="49" fontId="7" fillId="0" borderId="0" xfId="0" applyNumberFormat="1" applyFont="1" applyAlignment="1" applyProtection="1">
      <alignment horizontal="left" vertical="top"/>
    </xf>
    <xf numFmtId="0" fontId="10" fillId="0" borderId="0" xfId="0" applyFont="1" applyAlignment="1" applyProtection="1">
      <alignment horizontal="left" vertical="top"/>
    </xf>
    <xf numFmtId="49" fontId="10" fillId="0" borderId="0" xfId="0" applyNumberFormat="1" applyFont="1" applyAlignment="1" applyProtection="1">
      <alignment horizontal="left" vertical="top"/>
    </xf>
    <xf numFmtId="0" fontId="10" fillId="0" borderId="27" xfId="0" applyFont="1" applyBorder="1" applyAlignment="1" applyProtection="1">
      <alignment horizontal="left" vertical="top"/>
    </xf>
    <xf numFmtId="49" fontId="10" fillId="0" borderId="27" xfId="0" applyNumberFormat="1" applyFont="1" applyBorder="1" applyAlignment="1" applyProtection="1">
      <alignment horizontal="left" vertical="top"/>
    </xf>
    <xf numFmtId="1" fontId="10" fillId="0" borderId="27" xfId="0" applyNumberFormat="1" applyFont="1" applyBorder="1" applyAlignment="1" applyProtection="1">
      <alignment horizontal="center" vertical="top"/>
    </xf>
    <xf numFmtId="4" fontId="10" fillId="0" borderId="25" xfId="0" applyNumberFormat="1" applyFont="1" applyBorder="1" applyAlignment="1" applyProtection="1">
      <alignment horizontal="right" vertical="top"/>
    </xf>
    <xf numFmtId="0" fontId="10" fillId="0" borderId="27" xfId="0" applyFont="1" applyBorder="1" applyAlignment="1" applyProtection="1">
      <alignment horizontal="center" vertical="top"/>
    </xf>
    <xf numFmtId="49" fontId="10" fillId="0" borderId="25" xfId="0" applyNumberFormat="1" applyFont="1" applyBorder="1" applyAlignment="1" applyProtection="1">
      <alignment horizontal="right" vertical="top"/>
    </xf>
    <xf numFmtId="0" fontId="10" fillId="0" borderId="25" xfId="0" applyFont="1" applyBorder="1" applyAlignment="1" applyProtection="1">
      <alignment horizontal="right" vertical="top"/>
    </xf>
    <xf numFmtId="49" fontId="10" fillId="0" borderId="0" xfId="0" applyNumberFormat="1" applyFont="1" applyAlignment="1" applyProtection="1">
      <alignment horizontal="right" vertical="top"/>
    </xf>
    <xf numFmtId="49" fontId="8" fillId="0" borderId="27" xfId="0" applyNumberFormat="1" applyFont="1" applyBorder="1" applyAlignment="1" applyProtection="1">
      <alignment horizontal="right" vertical="top"/>
    </xf>
    <xf numFmtId="0" fontId="10" fillId="0" borderId="0" xfId="0" applyFont="1" applyBorder="1" applyAlignment="1" applyProtection="1">
      <alignment horizontal="right" vertical="top"/>
    </xf>
    <xf numFmtId="4" fontId="5" fillId="0" borderId="52" xfId="0" applyNumberFormat="1" applyFont="1" applyBorder="1" applyAlignment="1" applyProtection="1">
      <alignment horizontal="right" vertical="top"/>
    </xf>
    <xf numFmtId="4" fontId="5" fillId="0" borderId="28" xfId="0" applyNumberFormat="1" applyFont="1" applyBorder="1" applyAlignment="1" applyProtection="1">
      <alignment horizontal="right" vertical="top"/>
    </xf>
    <xf numFmtId="0" fontId="10" fillId="8" borderId="0" xfId="0" applyFont="1" applyFill="1" applyAlignment="1" applyProtection="1">
      <alignment horizontal="left" vertical="top"/>
    </xf>
    <xf numFmtId="0" fontId="10" fillId="8" borderId="30" xfId="0" applyFont="1" applyFill="1" applyBorder="1" applyAlignment="1" applyProtection="1">
      <alignment horizontal="left" vertical="top"/>
    </xf>
    <xf numFmtId="0" fontId="10" fillId="0" borderId="32" xfId="0" applyFont="1" applyBorder="1" applyAlignment="1" applyProtection="1">
      <alignment horizontal="left" vertical="top"/>
    </xf>
    <xf numFmtId="0" fontId="10" fillId="0" borderId="25" xfId="0" applyFont="1" applyBorder="1" applyAlignment="1" applyProtection="1">
      <alignment horizontal="left" vertical="top"/>
    </xf>
    <xf numFmtId="49" fontId="10" fillId="0" borderId="25" xfId="0" applyNumberFormat="1" applyFont="1" applyBorder="1" applyAlignment="1" applyProtection="1">
      <alignment horizontal="left" vertical="top"/>
    </xf>
    <xf numFmtId="1" fontId="10" fillId="0" borderId="0" xfId="0" applyNumberFormat="1" applyFont="1" applyAlignment="1" applyProtection="1">
      <alignment horizontal="center" vertical="top"/>
    </xf>
    <xf numFmtId="4" fontId="10" fillId="0" borderId="27" xfId="0" applyNumberFormat="1" applyFont="1" applyBorder="1" applyAlignment="1" applyProtection="1">
      <alignment horizontal="right" vertical="top"/>
    </xf>
    <xf numFmtId="0" fontId="10" fillId="8" borderId="47" xfId="0" applyFont="1" applyFill="1" applyBorder="1" applyAlignment="1" applyProtection="1">
      <alignment horizontal="left" vertical="top"/>
    </xf>
    <xf numFmtId="0" fontId="10" fillId="0" borderId="32" xfId="0" applyFont="1" applyBorder="1" applyAlignment="1" applyProtection="1">
      <alignment horizontal="right" vertical="top"/>
    </xf>
    <xf numFmtId="0" fontId="10" fillId="0" borderId="0" xfId="0" applyFont="1" applyAlignment="1" applyProtection="1">
      <alignment horizontal="center" vertical="top"/>
    </xf>
    <xf numFmtId="0" fontId="10" fillId="0" borderId="27" xfId="0" applyFont="1" applyBorder="1" applyAlignment="1" applyProtection="1">
      <alignment horizontal="right" vertical="top"/>
    </xf>
    <xf numFmtId="0" fontId="10" fillId="8" borderId="46" xfId="0" applyFont="1" applyFill="1" applyBorder="1" applyAlignment="1" applyProtection="1">
      <alignment horizontal="center" vertical="top"/>
    </xf>
    <xf numFmtId="0" fontId="10" fillId="8" borderId="49" xfId="0" applyFont="1" applyFill="1" applyBorder="1" applyAlignment="1" applyProtection="1">
      <alignment horizontal="right" vertical="top"/>
    </xf>
    <xf numFmtId="0" fontId="10" fillId="8" borderId="46" xfId="0" applyFont="1" applyFill="1" applyBorder="1" applyAlignment="1" applyProtection="1">
      <alignment horizontal="right" vertical="top"/>
    </xf>
    <xf numFmtId="0" fontId="10" fillId="8" borderId="25" xfId="0" applyFont="1" applyFill="1" applyBorder="1" applyAlignment="1" applyProtection="1">
      <alignment horizontal="center" vertical="top"/>
    </xf>
    <xf numFmtId="0" fontId="10" fillId="8" borderId="27" xfId="0" applyFont="1" applyFill="1" applyBorder="1" applyAlignment="1" applyProtection="1">
      <alignment horizontal="right" vertical="top"/>
    </xf>
    <xf numFmtId="49" fontId="10" fillId="8" borderId="25" xfId="0" applyNumberFormat="1" applyFont="1" applyFill="1" applyBorder="1" applyAlignment="1" applyProtection="1">
      <alignment horizontal="right" vertical="top"/>
    </xf>
    <xf numFmtId="0" fontId="10" fillId="8" borderId="25" xfId="0" applyFont="1" applyFill="1" applyBorder="1" applyAlignment="1" applyProtection="1">
      <alignment horizontal="right" vertical="top"/>
    </xf>
    <xf numFmtId="1" fontId="10" fillId="8" borderId="25" xfId="0" applyNumberFormat="1" applyFont="1" applyFill="1" applyBorder="1" applyAlignment="1" applyProtection="1">
      <alignment horizontal="left" vertical="top"/>
    </xf>
    <xf numFmtId="0" fontId="10" fillId="8" borderId="30" xfId="0" applyFont="1" applyFill="1" applyBorder="1" applyAlignment="1" applyProtection="1">
      <alignment horizontal="center" vertical="top"/>
    </xf>
    <xf numFmtId="0" fontId="10" fillId="8" borderId="29" xfId="0" applyFont="1" applyFill="1" applyBorder="1" applyAlignment="1" applyProtection="1">
      <alignment horizontal="right" vertical="top"/>
    </xf>
    <xf numFmtId="0" fontId="10" fillId="8" borderId="30" xfId="0" applyFont="1" applyFill="1" applyBorder="1" applyAlignment="1" applyProtection="1">
      <alignment horizontal="right" vertical="top"/>
    </xf>
    <xf numFmtId="1" fontId="10" fillId="0" borderId="46" xfId="0" applyNumberFormat="1" applyFont="1" applyBorder="1" applyAlignment="1" applyProtection="1">
      <alignment horizontal="left" vertical="top"/>
    </xf>
    <xf numFmtId="0" fontId="10" fillId="0" borderId="50" xfId="0" applyFont="1" applyBorder="1" applyAlignment="1" applyProtection="1">
      <alignment horizontal="center" vertical="top"/>
    </xf>
    <xf numFmtId="0" fontId="10" fillId="0" borderId="49" xfId="0" applyFont="1" applyBorder="1" applyAlignment="1" applyProtection="1">
      <alignment horizontal="right" vertical="top"/>
    </xf>
    <xf numFmtId="0" fontId="10" fillId="0" borderId="46" xfId="0" applyFont="1" applyBorder="1" applyAlignment="1" applyProtection="1">
      <alignment horizontal="right" vertical="top"/>
    </xf>
    <xf numFmtId="49" fontId="10" fillId="0" borderId="29" xfId="0" applyNumberFormat="1" applyFont="1" applyBorder="1" applyAlignment="1" applyProtection="1">
      <alignment horizontal="left" vertical="top"/>
    </xf>
    <xf numFmtId="0" fontId="10" fillId="0" borderId="29" xfId="0" applyFont="1" applyBorder="1" applyAlignment="1" applyProtection="1">
      <alignment horizontal="left" vertical="top"/>
    </xf>
    <xf numFmtId="0" fontId="10" fillId="8" borderId="47" xfId="0" applyFont="1" applyFill="1" applyBorder="1" applyAlignment="1" applyProtection="1">
      <alignment horizontal="center" vertical="top"/>
    </xf>
    <xf numFmtId="0" fontId="10" fillId="8" borderId="51" xfId="0" applyFont="1" applyFill="1" applyBorder="1" applyAlignment="1" applyProtection="1">
      <alignment horizontal="right" vertical="top"/>
    </xf>
    <xf numFmtId="0" fontId="10" fillId="8" borderId="47" xfId="0" applyFont="1" applyFill="1" applyBorder="1" applyAlignment="1" applyProtection="1">
      <alignment horizontal="right" vertical="top"/>
    </xf>
    <xf numFmtId="1" fontId="10" fillId="0" borderId="27" xfId="0" applyNumberFormat="1" applyFont="1" applyBorder="1" applyAlignment="1" applyProtection="1">
      <alignment horizontal="left" vertical="top"/>
    </xf>
    <xf numFmtId="49" fontId="10" fillId="0" borderId="27" xfId="0" applyNumberFormat="1" applyFont="1" applyBorder="1" applyAlignment="1" applyProtection="1">
      <alignment horizontal="right" vertical="top"/>
    </xf>
    <xf numFmtId="49" fontId="10" fillId="8" borderId="51" xfId="0" applyNumberFormat="1" applyFont="1" applyFill="1" applyBorder="1" applyAlignment="1" applyProtection="1">
      <alignment horizontal="right" vertical="top"/>
    </xf>
    <xf numFmtId="49" fontId="10" fillId="8" borderId="47" xfId="0" applyNumberFormat="1" applyFont="1" applyFill="1" applyBorder="1" applyAlignment="1" applyProtection="1">
      <alignment horizontal="right" vertical="top"/>
    </xf>
    <xf numFmtId="0" fontId="10" fillId="0" borderId="29" xfId="0" applyFont="1" applyBorder="1" applyAlignment="1" applyProtection="1">
      <alignment horizontal="right" vertical="top"/>
    </xf>
    <xf numFmtId="0" fontId="10" fillId="0" borderId="30" xfId="0" applyFont="1" applyBorder="1" applyAlignment="1" applyProtection="1">
      <alignment horizontal="left" vertical="top"/>
    </xf>
    <xf numFmtId="49" fontId="5" fillId="8" borderId="46" xfId="0" applyNumberFormat="1" applyFont="1" applyFill="1" applyBorder="1" applyAlignment="1" applyProtection="1">
      <alignment horizontal="center" vertical="top"/>
    </xf>
    <xf numFmtId="49" fontId="5" fillId="8" borderId="0" xfId="0" applyNumberFormat="1" applyFont="1" applyFill="1" applyAlignment="1" applyProtection="1">
      <alignment horizontal="center" vertical="top"/>
    </xf>
    <xf numFmtId="49" fontId="5" fillId="8" borderId="25" xfId="0" applyNumberFormat="1" applyFont="1" applyFill="1" applyBorder="1" applyAlignment="1" applyProtection="1">
      <alignment horizontal="center" vertical="top"/>
    </xf>
    <xf numFmtId="49" fontId="5" fillId="8" borderId="26" xfId="0" applyNumberFormat="1" applyFont="1" applyFill="1" applyBorder="1" applyAlignment="1" applyProtection="1">
      <alignment horizontal="center" vertical="top"/>
    </xf>
    <xf numFmtId="49" fontId="8" fillId="8" borderId="47" xfId="0" applyNumberFormat="1" applyFont="1" applyFill="1" applyBorder="1" applyAlignment="1" applyProtection="1">
      <alignment horizontal="left" vertical="top"/>
    </xf>
    <xf numFmtId="0" fontId="11" fillId="8" borderId="23" xfId="0" applyFont="1" applyFill="1" applyBorder="1" applyAlignment="1" applyProtection="1">
      <alignment horizontal="left" vertical="top"/>
    </xf>
    <xf numFmtId="0" fontId="11" fillId="8" borderId="30" xfId="0" applyFont="1" applyFill="1" applyBorder="1" applyAlignment="1" applyProtection="1">
      <alignment horizontal="right" vertical="top"/>
    </xf>
    <xf numFmtId="4" fontId="5" fillId="0" borderId="32" xfId="0" applyNumberFormat="1" applyFont="1" applyBorder="1" applyAlignment="1" applyProtection="1">
      <alignment horizontal="right" vertical="top"/>
    </xf>
    <xf numFmtId="0" fontId="11" fillId="8" borderId="47" xfId="0" applyFont="1" applyFill="1" applyBorder="1" applyAlignment="1" applyProtection="1">
      <alignment horizontal="right" vertical="top"/>
    </xf>
    <xf numFmtId="49" fontId="11" fillId="8" borderId="47" xfId="0" applyNumberFormat="1" applyFont="1" applyFill="1" applyBorder="1" applyAlignment="1" applyProtection="1">
      <alignment horizontal="right" vertical="top"/>
    </xf>
    <xf numFmtId="4" fontId="5" fillId="0" borderId="27" xfId="0" applyNumberFormat="1" applyFont="1" applyBorder="1" applyAlignment="1" applyProtection="1">
      <alignment horizontal="right" vertical="top"/>
    </xf>
    <xf numFmtId="49" fontId="8" fillId="0" borderId="25" xfId="0" applyNumberFormat="1" applyFont="1" applyBorder="1" applyAlignment="1" applyProtection="1">
      <alignment horizontal="right" vertical="top"/>
    </xf>
    <xf numFmtId="49" fontId="5" fillId="8" borderId="48" xfId="0" applyNumberFormat="1" applyFont="1" applyFill="1" applyBorder="1" applyAlignment="1" applyProtection="1">
      <alignment horizontal="center" vertical="top"/>
    </xf>
    <xf numFmtId="49" fontId="5" fillId="8" borderId="35" xfId="0" applyNumberFormat="1" applyFont="1" applyFill="1" applyBorder="1" applyAlignment="1" applyProtection="1">
      <alignment horizontal="center" vertical="top"/>
    </xf>
    <xf numFmtId="49" fontId="7" fillId="0" borderId="25" xfId="0" applyNumberFormat="1" applyFont="1" applyBorder="1" applyAlignment="1" applyProtection="1">
      <alignment horizontal="left" vertical="top"/>
    </xf>
    <xf numFmtId="4" fontId="5" fillId="0" borderId="29" xfId="0" applyNumberFormat="1" applyFont="1" applyBorder="1" applyAlignment="1" applyProtection="1">
      <alignment horizontal="right" vertical="top"/>
    </xf>
    <xf numFmtId="49" fontId="8" fillId="0" borderId="29" xfId="0" applyNumberFormat="1" applyFont="1" applyBorder="1" applyAlignment="1" applyProtection="1">
      <alignment horizontal="right" vertical="top"/>
    </xf>
    <xf numFmtId="49" fontId="6" fillId="8" borderId="46" xfId="0" applyNumberFormat="1" applyFont="1" applyFill="1" applyBorder="1" applyAlignment="1" applyProtection="1">
      <alignment horizontal="center" vertical="top"/>
    </xf>
    <xf numFmtId="0" fontId="10" fillId="0" borderId="0" xfId="0" applyFont="1"/>
    <xf numFmtId="0" fontId="3" fillId="0" borderId="0" xfId="0" applyFont="1"/>
    <xf numFmtId="0" fontId="13" fillId="0" borderId="22" xfId="0" applyFont="1" applyBorder="1"/>
    <xf numFmtId="0" fontId="14" fillId="0" borderId="0" xfId="0" applyFont="1" applyAlignment="1">
      <alignment horizontal="left" indent="1"/>
    </xf>
    <xf numFmtId="0" fontId="12" fillId="0" borderId="0" xfId="0" applyFont="1" applyAlignment="1">
      <alignment horizontal="left" indent="2"/>
    </xf>
    <xf numFmtId="49" fontId="10" fillId="0" borderId="0" xfId="0" applyNumberFormat="1" applyFont="1" applyAlignment="1" applyProtection="1">
      <alignment vertical="top"/>
    </xf>
    <xf numFmtId="49" fontId="10" fillId="0" borderId="23" xfId="0" applyNumberFormat="1" applyFont="1" applyBorder="1" applyAlignment="1" applyProtection="1">
      <alignment horizontal="left" vertical="top"/>
    </xf>
    <xf numFmtId="0" fontId="10" fillId="8" borderId="27" xfId="0" applyFont="1" applyFill="1" applyBorder="1" applyAlignment="1" applyProtection="1">
      <alignment horizontal="center" vertical="top"/>
    </xf>
    <xf numFmtId="0" fontId="15" fillId="0" borderId="0" xfId="0" applyFont="1" applyAlignment="1">
      <alignment horizontal="center"/>
    </xf>
    <xf numFmtId="165" fontId="10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0" fontId="16" fillId="9" borderId="11" xfId="1" applyNumberFormat="1" applyFont="1" applyFill="1" applyBorder="1" applyAlignment="1">
      <alignment horizontal="center"/>
    </xf>
    <xf numFmtId="165" fontId="12" fillId="0" borderId="0" xfId="1" applyFont="1" applyBorder="1" applyAlignment="1">
      <alignment horizontal="center"/>
    </xf>
    <xf numFmtId="165" fontId="12" fillId="0" borderId="1" xfId="1" applyFont="1" applyBorder="1" applyAlignment="1">
      <alignment horizontal="center"/>
    </xf>
    <xf numFmtId="165" fontId="12" fillId="0" borderId="13" xfId="1" applyFont="1" applyBorder="1" applyAlignment="1">
      <alignment horizontal="center"/>
    </xf>
    <xf numFmtId="165" fontId="12" fillId="0" borderId="0" xfId="1" applyFont="1" applyAlignment="1">
      <alignment horizontal="center"/>
    </xf>
    <xf numFmtId="0" fontId="12" fillId="0" borderId="0" xfId="0" applyFont="1" applyAlignment="1">
      <alignment horizontal="center"/>
    </xf>
    <xf numFmtId="0" fontId="16" fillId="2" borderId="2" xfId="0" applyFont="1" applyFill="1" applyBorder="1"/>
    <xf numFmtId="9" fontId="12" fillId="3" borderId="16" xfId="2" applyFont="1" applyFill="1" applyBorder="1" applyAlignment="1">
      <alignment horizontal="center"/>
    </xf>
    <xf numFmtId="9" fontId="12" fillId="3" borderId="1" xfId="2" applyFont="1" applyFill="1" applyBorder="1" applyAlignment="1">
      <alignment horizontal="center"/>
    </xf>
    <xf numFmtId="0" fontId="14" fillId="0" borderId="5" xfId="0" applyFont="1" applyBorder="1"/>
    <xf numFmtId="9" fontId="12" fillId="0" borderId="1" xfId="2" applyFont="1" applyBorder="1" applyAlignment="1">
      <alignment horizontal="center"/>
    </xf>
    <xf numFmtId="0" fontId="14" fillId="3" borderId="5" xfId="0" applyFont="1" applyFill="1" applyBorder="1"/>
    <xf numFmtId="0" fontId="14" fillId="0" borderId="7" xfId="0" applyFont="1" applyBorder="1"/>
    <xf numFmtId="9" fontId="12" fillId="0" borderId="8" xfId="2" applyFont="1" applyBorder="1" applyAlignment="1">
      <alignment horizontal="center"/>
    </xf>
    <xf numFmtId="0" fontId="16" fillId="2" borderId="9" xfId="0" applyFont="1" applyFill="1" applyBorder="1"/>
    <xf numFmtId="0" fontId="16" fillId="2" borderId="21" xfId="0" applyFont="1" applyFill="1" applyBorder="1"/>
    <xf numFmtId="0" fontId="16" fillId="2" borderId="19" xfId="1" applyNumberFormat="1" applyFont="1" applyFill="1" applyBorder="1" applyAlignment="1">
      <alignment horizontal="center"/>
    </xf>
    <xf numFmtId="0" fontId="14" fillId="3" borderId="7" xfId="0" applyFont="1" applyFill="1" applyBorder="1"/>
    <xf numFmtId="9" fontId="12" fillId="3" borderId="8" xfId="2" applyFont="1" applyFill="1" applyBorder="1" applyAlignment="1">
      <alignment horizontal="center"/>
    </xf>
    <xf numFmtId="166" fontId="12" fillId="0" borderId="0" xfId="0" applyNumberFormat="1" applyFont="1" applyAlignment="1">
      <alignment horizontal="center"/>
    </xf>
    <xf numFmtId="0" fontId="14" fillId="0" borderId="21" xfId="0" applyFont="1" applyBorder="1"/>
    <xf numFmtId="0" fontId="14" fillId="0" borderId="19" xfId="1" applyNumberFormat="1" applyFont="1" applyBorder="1" applyAlignment="1">
      <alignment horizontal="center"/>
    </xf>
    <xf numFmtId="167" fontId="12" fillId="0" borderId="1" xfId="1" applyNumberFormat="1" applyFont="1" applyBorder="1" applyAlignment="1">
      <alignment horizontal="center"/>
    </xf>
    <xf numFmtId="165" fontId="12" fillId="0" borderId="8" xfId="1" applyFont="1" applyBorder="1" applyAlignment="1">
      <alignment horizontal="center"/>
    </xf>
    <xf numFmtId="167" fontId="12" fillId="0" borderId="8" xfId="1" applyNumberFormat="1" applyFont="1" applyBorder="1" applyAlignment="1">
      <alignment horizontal="center"/>
    </xf>
    <xf numFmtId="0" fontId="16" fillId="4" borderId="21" xfId="0" applyFont="1" applyFill="1" applyBorder="1"/>
    <xf numFmtId="0" fontId="14" fillId="7" borderId="5" xfId="0" applyFont="1" applyFill="1" applyBorder="1"/>
    <xf numFmtId="4" fontId="12" fillId="7" borderId="1" xfId="1" applyNumberFormat="1" applyFont="1" applyFill="1" applyBorder="1" applyAlignment="1">
      <alignment horizontal="right"/>
    </xf>
    <xf numFmtId="0" fontId="14" fillId="6" borderId="5" xfId="0" applyFont="1" applyFill="1" applyBorder="1"/>
    <xf numFmtId="4" fontId="12" fillId="6" borderId="1" xfId="1" applyNumberFormat="1" applyFont="1" applyFill="1" applyBorder="1" applyAlignment="1">
      <alignment horizontal="right"/>
    </xf>
    <xf numFmtId="0" fontId="14" fillId="6" borderId="7" xfId="0" applyFont="1" applyFill="1" applyBorder="1"/>
    <xf numFmtId="4" fontId="12" fillId="6" borderId="8" xfId="1" applyNumberFormat="1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165" fontId="10" fillId="0" borderId="0" xfId="1" applyFont="1" applyBorder="1" applyAlignment="1">
      <alignment horizontal="center"/>
    </xf>
    <xf numFmtId="0" fontId="3" fillId="0" borderId="10" xfId="0" applyFont="1" applyBorder="1"/>
    <xf numFmtId="165" fontId="10" fillId="0" borderId="1" xfId="1" applyFont="1" applyBorder="1" applyAlignment="1">
      <alignment horizontal="center"/>
    </xf>
    <xf numFmtId="165" fontId="10" fillId="0" borderId="13" xfId="1" applyFont="1" applyBorder="1" applyAlignment="1">
      <alignment horizontal="center"/>
    </xf>
    <xf numFmtId="0" fontId="18" fillId="2" borderId="2" xfId="0" applyFont="1" applyFill="1" applyBorder="1"/>
    <xf numFmtId="0" fontId="18" fillId="2" borderId="3" xfId="1" applyNumberFormat="1" applyFont="1" applyFill="1" applyBorder="1" applyAlignment="1">
      <alignment horizontal="center"/>
    </xf>
    <xf numFmtId="0" fontId="3" fillId="3" borderId="15" xfId="0" applyFont="1" applyFill="1" applyBorder="1"/>
    <xf numFmtId="9" fontId="10" fillId="3" borderId="16" xfId="2" applyFont="1" applyFill="1" applyBorder="1" applyAlignment="1">
      <alignment horizontal="center"/>
    </xf>
    <xf numFmtId="9" fontId="10" fillId="3" borderId="1" xfId="2" applyFont="1" applyFill="1" applyBorder="1" applyAlignment="1">
      <alignment horizontal="center"/>
    </xf>
    <xf numFmtId="0" fontId="3" fillId="0" borderId="5" xfId="0" applyFont="1" applyBorder="1"/>
    <xf numFmtId="9" fontId="10" fillId="0" borderId="1" xfId="2" applyFont="1" applyBorder="1" applyAlignment="1">
      <alignment horizontal="center"/>
    </xf>
    <xf numFmtId="0" fontId="3" fillId="3" borderId="5" xfId="0" applyFont="1" applyFill="1" applyBorder="1"/>
    <xf numFmtId="0" fontId="3" fillId="0" borderId="7" xfId="0" applyFont="1" applyBorder="1"/>
    <xf numFmtId="9" fontId="10" fillId="0" borderId="8" xfId="2" applyFont="1" applyBorder="1" applyAlignment="1">
      <alignment horizontal="center"/>
    </xf>
    <xf numFmtId="0" fontId="18" fillId="2" borderId="9" xfId="0" applyFont="1" applyFill="1" applyBorder="1"/>
    <xf numFmtId="0" fontId="18" fillId="2" borderId="4" xfId="1" applyNumberFormat="1" applyFont="1" applyFill="1" applyBorder="1" applyAlignment="1">
      <alignment horizontal="center"/>
    </xf>
    <xf numFmtId="0" fontId="3" fillId="3" borderId="10" xfId="0" applyFont="1" applyFill="1" applyBorder="1"/>
    <xf numFmtId="0" fontId="3" fillId="3" borderId="12" xfId="0" applyFont="1" applyFill="1" applyBorder="1"/>
    <xf numFmtId="9" fontId="10" fillId="3" borderId="13" xfId="2" applyFont="1" applyFill="1" applyBorder="1" applyAlignment="1">
      <alignment horizontal="center"/>
    </xf>
    <xf numFmtId="0" fontId="18" fillId="2" borderId="21" xfId="0" applyFont="1" applyFill="1" applyBorder="1"/>
    <xf numFmtId="0" fontId="18" fillId="2" borderId="19" xfId="1" applyNumberFormat="1" applyFont="1" applyFill="1" applyBorder="1" applyAlignment="1">
      <alignment horizontal="center"/>
    </xf>
    <xf numFmtId="0" fontId="3" fillId="3" borderId="7" xfId="0" applyFont="1" applyFill="1" applyBorder="1"/>
    <xf numFmtId="9" fontId="10" fillId="3" borderId="8" xfId="2" applyFont="1" applyFill="1" applyBorder="1" applyAlignment="1">
      <alignment horizontal="center"/>
    </xf>
    <xf numFmtId="166" fontId="10" fillId="0" borderId="0" xfId="0" applyNumberFormat="1" applyFont="1" applyAlignment="1">
      <alignment horizontal="center"/>
    </xf>
    <xf numFmtId="0" fontId="3" fillId="0" borderId="21" xfId="0" applyFont="1" applyBorder="1"/>
    <xf numFmtId="0" fontId="3" fillId="0" borderId="19" xfId="1" applyNumberFormat="1" applyFont="1" applyBorder="1" applyAlignment="1">
      <alignment horizontal="center"/>
    </xf>
    <xf numFmtId="165" fontId="10" fillId="0" borderId="8" xfId="1" applyFont="1" applyBorder="1" applyAlignment="1">
      <alignment horizontal="center"/>
    </xf>
    <xf numFmtId="0" fontId="18" fillId="4" borderId="21" xfId="0" applyFont="1" applyFill="1" applyBorder="1"/>
    <xf numFmtId="0" fontId="19" fillId="4" borderId="19" xfId="1" applyNumberFormat="1" applyFont="1" applyFill="1" applyBorder="1" applyAlignment="1">
      <alignment horizontal="center"/>
    </xf>
    <xf numFmtId="0" fontId="3" fillId="7" borderId="5" xfId="0" applyFont="1" applyFill="1" applyBorder="1"/>
    <xf numFmtId="4" fontId="10" fillId="7" borderId="1" xfId="1" applyNumberFormat="1" applyFont="1" applyFill="1" applyBorder="1" applyAlignment="1">
      <alignment horizontal="right"/>
    </xf>
    <xf numFmtId="0" fontId="3" fillId="6" borderId="5" xfId="0" applyFont="1" applyFill="1" applyBorder="1"/>
    <xf numFmtId="4" fontId="10" fillId="6" borderId="1" xfId="1" applyNumberFormat="1" applyFont="1" applyFill="1" applyBorder="1" applyAlignment="1">
      <alignment horizontal="right"/>
    </xf>
    <xf numFmtId="0" fontId="3" fillId="6" borderId="7" xfId="0" applyFont="1" applyFill="1" applyBorder="1"/>
    <xf numFmtId="4" fontId="10" fillId="6" borderId="8" xfId="1" applyNumberFormat="1" applyFont="1" applyFill="1" applyBorder="1" applyAlignment="1">
      <alignment horizontal="right"/>
    </xf>
    <xf numFmtId="0" fontId="10" fillId="8" borderId="23" xfId="0" applyFont="1" applyFill="1" applyBorder="1" applyAlignment="1" applyProtection="1">
      <alignment horizontal="left" vertical="top"/>
    </xf>
    <xf numFmtId="0" fontId="10" fillId="8" borderId="31" xfId="0" applyFont="1" applyFill="1" applyBorder="1" applyAlignment="1" applyProtection="1">
      <alignment horizontal="left" vertical="top"/>
    </xf>
    <xf numFmtId="0" fontId="10" fillId="8" borderId="24" xfId="0" applyFont="1" applyFill="1" applyBorder="1" applyAlignment="1" applyProtection="1">
      <alignment horizontal="center" vertical="top"/>
    </xf>
    <xf numFmtId="0" fontId="10" fillId="8" borderId="34" xfId="0" applyFont="1" applyFill="1" applyBorder="1" applyAlignment="1" applyProtection="1">
      <alignment horizontal="right" vertical="top"/>
    </xf>
    <xf numFmtId="0" fontId="10" fillId="8" borderId="24" xfId="0" applyFont="1" applyFill="1" applyBorder="1" applyAlignment="1" applyProtection="1">
      <alignment horizontal="right" vertical="top"/>
    </xf>
    <xf numFmtId="1" fontId="10" fillId="0" borderId="24" xfId="0" applyNumberFormat="1" applyFont="1" applyBorder="1" applyAlignment="1" applyProtection="1">
      <alignment horizontal="left" vertical="top"/>
    </xf>
    <xf numFmtId="0" fontId="10" fillId="0" borderId="36" xfId="0" applyFont="1" applyBorder="1" applyAlignment="1" applyProtection="1">
      <alignment horizontal="center" vertical="top"/>
    </xf>
    <xf numFmtId="0" fontId="10" fillId="0" borderId="34" xfId="0" applyFont="1" applyBorder="1" applyAlignment="1" applyProtection="1">
      <alignment horizontal="right" vertical="top"/>
    </xf>
    <xf numFmtId="0" fontId="10" fillId="0" borderId="24" xfId="0" applyFont="1" applyBorder="1" applyAlignment="1" applyProtection="1">
      <alignment horizontal="right" vertical="top"/>
    </xf>
    <xf numFmtId="0" fontId="10" fillId="8" borderId="31" xfId="0" applyFont="1" applyFill="1" applyBorder="1" applyAlignment="1" applyProtection="1">
      <alignment horizontal="center" vertical="top"/>
    </xf>
    <xf numFmtId="0" fontId="10" fillId="8" borderId="37" xfId="0" applyFont="1" applyFill="1" applyBorder="1" applyAlignment="1" applyProtection="1">
      <alignment horizontal="right" vertical="top"/>
    </xf>
    <xf numFmtId="0" fontId="10" fillId="8" borderId="31" xfId="0" applyFont="1" applyFill="1" applyBorder="1" applyAlignment="1" applyProtection="1">
      <alignment horizontal="right" vertical="top"/>
    </xf>
    <xf numFmtId="49" fontId="10" fillId="8" borderId="37" xfId="0" applyNumberFormat="1" applyFont="1" applyFill="1" applyBorder="1" applyAlignment="1" applyProtection="1">
      <alignment horizontal="right" vertical="top"/>
    </xf>
    <xf numFmtId="49" fontId="10" fillId="8" borderId="31" xfId="0" applyNumberFormat="1" applyFont="1" applyFill="1" applyBorder="1" applyAlignment="1" applyProtection="1">
      <alignment horizontal="right" vertical="top"/>
    </xf>
    <xf numFmtId="49" fontId="5" fillId="8" borderId="24" xfId="0" applyNumberFormat="1" applyFont="1" applyFill="1" applyBorder="1" applyAlignment="1" applyProtection="1">
      <alignment horizontal="center" vertical="top"/>
    </xf>
    <xf numFmtId="49" fontId="5" fillId="8" borderId="28" xfId="0" applyNumberFormat="1" applyFont="1" applyFill="1" applyBorder="1" applyAlignment="1" applyProtection="1">
      <alignment horizontal="left" vertical="top"/>
    </xf>
    <xf numFmtId="49" fontId="8" fillId="8" borderId="31" xfId="0" applyNumberFormat="1" applyFont="1" applyFill="1" applyBorder="1" applyAlignment="1" applyProtection="1">
      <alignment horizontal="left" vertical="top"/>
    </xf>
    <xf numFmtId="0" fontId="11" fillId="8" borderId="31" xfId="0" applyFont="1" applyFill="1" applyBorder="1" applyAlignment="1" applyProtection="1">
      <alignment horizontal="right" vertical="top"/>
    </xf>
    <xf numFmtId="49" fontId="11" fillId="8" borderId="31" xfId="0" applyNumberFormat="1" applyFont="1" applyFill="1" applyBorder="1" applyAlignment="1" applyProtection="1">
      <alignment horizontal="right" vertical="top"/>
    </xf>
    <xf numFmtId="49" fontId="5" fillId="8" borderId="33" xfId="0" applyNumberFormat="1" applyFont="1" applyFill="1" applyBorder="1" applyAlignment="1" applyProtection="1">
      <alignment horizontal="center" vertical="top"/>
    </xf>
    <xf numFmtId="0" fontId="14" fillId="4" borderId="21" xfId="0" applyFont="1" applyFill="1" applyBorder="1"/>
    <xf numFmtId="0" fontId="12" fillId="4" borderId="19" xfId="1" applyNumberFormat="1" applyFont="1" applyFill="1" applyBorder="1" applyAlignment="1">
      <alignment horizontal="center"/>
    </xf>
    <xf numFmtId="0" fontId="16" fillId="2" borderId="19" xfId="0" applyNumberFormat="1" applyFont="1" applyFill="1" applyBorder="1" applyAlignment="1">
      <alignment horizontal="center"/>
    </xf>
    <xf numFmtId="1" fontId="16" fillId="2" borderId="20" xfId="0" applyNumberFormat="1" applyFont="1" applyFill="1" applyBorder="1" applyAlignment="1">
      <alignment horizontal="center"/>
    </xf>
    <xf numFmtId="49" fontId="6" fillId="8" borderId="49" xfId="0" applyNumberFormat="1" applyFont="1" applyFill="1" applyBorder="1" applyAlignment="1" applyProtection="1">
      <alignment horizontal="center" vertical="top"/>
    </xf>
    <xf numFmtId="0" fontId="10" fillId="0" borderId="39" xfId="0" applyFont="1" applyBorder="1" applyAlignment="1" applyProtection="1">
      <alignment horizontal="left" vertical="top"/>
    </xf>
    <xf numFmtId="0" fontId="10" fillId="0" borderId="53" xfId="0" applyFont="1" applyBorder="1" applyAlignment="1" applyProtection="1">
      <alignment horizontal="right" vertical="top"/>
    </xf>
    <xf numFmtId="0" fontId="10" fillId="0" borderId="43" xfId="0" applyFont="1" applyBorder="1" applyAlignment="1" applyProtection="1">
      <alignment horizontal="right" vertical="top"/>
    </xf>
    <xf numFmtId="49" fontId="10" fillId="0" borderId="32" xfId="0" applyNumberFormat="1" applyFont="1" applyBorder="1" applyAlignment="1" applyProtection="1">
      <alignment horizontal="left" vertical="top"/>
    </xf>
    <xf numFmtId="4" fontId="10" fillId="0" borderId="54" xfId="0" applyNumberFormat="1" applyFont="1" applyBorder="1" applyAlignment="1" applyProtection="1">
      <alignment horizontal="right" vertical="top"/>
    </xf>
    <xf numFmtId="49" fontId="7" fillId="0" borderId="32" xfId="0" applyNumberFormat="1" applyFont="1" applyBorder="1" applyAlignment="1" applyProtection="1">
      <alignment horizontal="left" vertical="top"/>
    </xf>
    <xf numFmtId="49" fontId="3" fillId="0" borderId="32" xfId="0" applyNumberFormat="1" applyFont="1" applyBorder="1" applyAlignment="1" applyProtection="1">
      <alignment horizontal="right" vertical="top"/>
    </xf>
    <xf numFmtId="0" fontId="10" fillId="0" borderId="18" xfId="0" applyFont="1" applyBorder="1" applyAlignment="1" applyProtection="1">
      <alignment horizontal="right" vertical="top"/>
    </xf>
    <xf numFmtId="4" fontId="10" fillId="0" borderId="18" xfId="0" applyNumberFormat="1" applyFont="1" applyBorder="1" applyAlignment="1" applyProtection="1">
      <alignment horizontal="right" vertical="top"/>
    </xf>
    <xf numFmtId="49" fontId="8" fillId="0" borderId="32" xfId="0" applyNumberFormat="1" applyFont="1" applyBorder="1" applyAlignment="1" applyProtection="1">
      <alignment horizontal="right" vertical="top"/>
    </xf>
    <xf numFmtId="49" fontId="8" fillId="0" borderId="32" xfId="0" applyNumberFormat="1" applyFont="1" applyBorder="1" applyAlignment="1" applyProtection="1">
      <alignment horizontal="left" vertical="top"/>
    </xf>
    <xf numFmtId="49" fontId="10" fillId="0" borderId="45" xfId="0" applyNumberFormat="1" applyFont="1" applyBorder="1" applyAlignment="1" applyProtection="1">
      <alignment horizontal="right" vertical="top"/>
    </xf>
    <xf numFmtId="0" fontId="10" fillId="0" borderId="56" xfId="0" applyFont="1" applyBorder="1" applyAlignment="1" applyProtection="1">
      <alignment horizontal="right" vertical="top"/>
    </xf>
    <xf numFmtId="0" fontId="10" fillId="0" borderId="57" xfId="0" applyFont="1" applyBorder="1" applyAlignment="1" applyProtection="1">
      <alignment horizontal="center" vertical="top"/>
    </xf>
    <xf numFmtId="49" fontId="10" fillId="0" borderId="18" xfId="0" applyNumberFormat="1" applyFont="1" applyBorder="1" applyAlignment="1" applyProtection="1">
      <alignment horizontal="right" vertical="top"/>
    </xf>
    <xf numFmtId="0" fontId="10" fillId="0" borderId="58" xfId="0" applyFont="1" applyBorder="1" applyAlignment="1" applyProtection="1">
      <alignment horizontal="right" vertical="top"/>
    </xf>
    <xf numFmtId="4" fontId="10" fillId="0" borderId="55" xfId="0" applyNumberFormat="1" applyFont="1" applyBorder="1" applyAlignment="1" applyProtection="1">
      <alignment horizontal="right" vertical="top"/>
    </xf>
    <xf numFmtId="49" fontId="5" fillId="0" borderId="32" xfId="0" applyNumberFormat="1" applyFont="1" applyBorder="1" applyAlignment="1" applyProtection="1">
      <alignment horizontal="left" vertical="top"/>
    </xf>
    <xf numFmtId="49" fontId="9" fillId="0" borderId="44" xfId="0" applyNumberFormat="1" applyFont="1" applyBorder="1" applyAlignment="1" applyProtection="1">
      <alignment horizontal="right" vertical="top"/>
    </xf>
    <xf numFmtId="4" fontId="5" fillId="0" borderId="39" xfId="0" applyNumberFormat="1" applyFont="1" applyBorder="1" applyAlignment="1" applyProtection="1">
      <alignment horizontal="right" vertical="top"/>
    </xf>
    <xf numFmtId="0" fontId="10" fillId="0" borderId="39" xfId="0" applyFont="1" applyBorder="1" applyAlignment="1" applyProtection="1">
      <alignment horizontal="right" vertical="top"/>
    </xf>
    <xf numFmtId="49" fontId="10" fillId="0" borderId="32" xfId="0" applyNumberFormat="1" applyFont="1" applyBorder="1" applyAlignment="1" applyProtection="1">
      <alignment horizontal="center" vertical="top"/>
    </xf>
    <xf numFmtId="1" fontId="10" fillId="0" borderId="32" xfId="0" applyNumberFormat="1" applyFont="1" applyBorder="1" applyAlignment="1" applyProtection="1">
      <alignment horizontal="center" vertical="top"/>
    </xf>
    <xf numFmtId="0" fontId="10" fillId="0" borderId="32" xfId="0" applyFont="1" applyBorder="1" applyAlignment="1" applyProtection="1">
      <alignment horizontal="center" vertical="top"/>
    </xf>
    <xf numFmtId="0" fontId="10" fillId="0" borderId="44" xfId="0" applyFont="1" applyBorder="1" applyAlignment="1" applyProtection="1">
      <alignment horizontal="center" vertical="top"/>
    </xf>
    <xf numFmtId="49" fontId="10" fillId="0" borderId="32" xfId="0" applyNumberFormat="1" applyFont="1" applyBorder="1" applyAlignment="1" applyProtection="1">
      <alignment horizontal="right" vertical="top"/>
    </xf>
    <xf numFmtId="4" fontId="10" fillId="0" borderId="32" xfId="0" applyNumberFormat="1" applyFont="1" applyBorder="1" applyAlignment="1" applyProtection="1">
      <alignment horizontal="right" vertical="top"/>
    </xf>
    <xf numFmtId="0" fontId="10" fillId="0" borderId="59" xfId="0" applyFont="1" applyBorder="1" applyAlignment="1" applyProtection="1">
      <alignment horizontal="right" vertical="top"/>
    </xf>
    <xf numFmtId="49" fontId="10" fillId="0" borderId="44" xfId="0" applyNumberFormat="1" applyFont="1" applyBorder="1" applyAlignment="1" applyProtection="1">
      <alignment horizontal="right" vertical="top"/>
    </xf>
    <xf numFmtId="0" fontId="10" fillId="0" borderId="48" xfId="0" applyFont="1" applyBorder="1" applyAlignment="1" applyProtection="1">
      <alignment horizontal="right" vertical="top"/>
    </xf>
    <xf numFmtId="49" fontId="10" fillId="0" borderId="26" xfId="0" applyNumberFormat="1" applyFont="1" applyBorder="1" applyAlignment="1" applyProtection="1">
      <alignment horizontal="right" vertical="top"/>
    </xf>
    <xf numFmtId="4" fontId="10" fillId="0" borderId="26" xfId="0" applyNumberFormat="1" applyFont="1" applyBorder="1" applyAlignment="1" applyProtection="1">
      <alignment horizontal="right" vertical="top"/>
    </xf>
    <xf numFmtId="0" fontId="10" fillId="0" borderId="26" xfId="0" applyFont="1" applyBorder="1" applyAlignment="1" applyProtection="1">
      <alignment horizontal="right" vertical="top"/>
    </xf>
    <xf numFmtId="0" fontId="10" fillId="0" borderId="60" xfId="0" applyFont="1" applyBorder="1" applyAlignment="1" applyProtection="1">
      <alignment horizontal="right" vertical="top"/>
    </xf>
    <xf numFmtId="4" fontId="5" fillId="0" borderId="26" xfId="0" applyNumberFormat="1" applyFont="1" applyBorder="1" applyAlignment="1" applyProtection="1">
      <alignment horizontal="right" vertical="top"/>
    </xf>
    <xf numFmtId="49" fontId="10" fillId="0" borderId="35" xfId="0" applyNumberFormat="1" applyFont="1" applyBorder="1" applyAlignment="1" applyProtection="1">
      <alignment horizontal="right" vertical="top"/>
    </xf>
    <xf numFmtId="4" fontId="20" fillId="0" borderId="55" xfId="0" applyNumberFormat="1" applyFont="1" applyBorder="1" applyAlignment="1" applyProtection="1">
      <alignment horizontal="right" vertical="top"/>
    </xf>
    <xf numFmtId="49" fontId="20" fillId="0" borderId="32" xfId="0" applyNumberFormat="1" applyFont="1" applyBorder="1" applyAlignment="1" applyProtection="1">
      <alignment horizontal="right" vertical="top"/>
    </xf>
    <xf numFmtId="0" fontId="10" fillId="5" borderId="0" xfId="0" applyFont="1" applyFill="1"/>
    <xf numFmtId="4" fontId="10" fillId="0" borderId="0" xfId="0" applyNumberFormat="1" applyFont="1"/>
    <xf numFmtId="4" fontId="10" fillId="0" borderId="58" xfId="0" applyNumberFormat="1" applyFont="1" applyBorder="1" applyAlignment="1" applyProtection="1">
      <alignment horizontal="right" vertical="top"/>
    </xf>
    <xf numFmtId="4" fontId="10" fillId="0" borderId="53" xfId="0" applyNumberFormat="1" applyFont="1" applyBorder="1" applyAlignment="1" applyProtection="1">
      <alignment horizontal="right" vertical="top"/>
    </xf>
    <xf numFmtId="4" fontId="10" fillId="0" borderId="43" xfId="0" applyNumberFormat="1" applyFont="1" applyBorder="1" applyAlignment="1" applyProtection="1">
      <alignment horizontal="right" vertical="top"/>
    </xf>
    <xf numFmtId="4" fontId="10" fillId="0" borderId="39" xfId="0" applyNumberFormat="1" applyFont="1" applyBorder="1" applyAlignment="1" applyProtection="1">
      <alignment horizontal="right" vertical="top"/>
    </xf>
    <xf numFmtId="4" fontId="10" fillId="0" borderId="48" xfId="0" applyNumberFormat="1" applyFont="1" applyBorder="1" applyAlignment="1" applyProtection="1">
      <alignment horizontal="right" vertical="top"/>
    </xf>
    <xf numFmtId="4" fontId="10" fillId="0" borderId="52" xfId="0" applyNumberFormat="1" applyFont="1" applyBorder="1" applyAlignment="1" applyProtection="1">
      <alignment horizontal="right" vertical="top"/>
    </xf>
    <xf numFmtId="4" fontId="10" fillId="0" borderId="28" xfId="0" applyNumberFormat="1" applyFont="1" applyBorder="1" applyAlignment="1" applyProtection="1">
      <alignment horizontal="right" vertical="top"/>
    </xf>
    <xf numFmtId="4" fontId="10" fillId="0" borderId="59" xfId="0" applyNumberFormat="1" applyFont="1" applyBorder="1" applyAlignment="1" applyProtection="1">
      <alignment horizontal="right" vertical="top"/>
    </xf>
    <xf numFmtId="4" fontId="10" fillId="0" borderId="60" xfId="0" applyNumberFormat="1" applyFont="1" applyBorder="1" applyAlignment="1" applyProtection="1">
      <alignment horizontal="right" vertical="top"/>
    </xf>
    <xf numFmtId="4" fontId="10" fillId="0" borderId="56" xfId="0" applyNumberFormat="1" applyFont="1" applyBorder="1" applyAlignment="1" applyProtection="1">
      <alignment horizontal="right" vertical="top"/>
    </xf>
    <xf numFmtId="4" fontId="10" fillId="0" borderId="44" xfId="0" applyNumberFormat="1" applyFont="1" applyBorder="1" applyAlignment="1" applyProtection="1">
      <alignment horizontal="right" vertical="top"/>
    </xf>
    <xf numFmtId="4" fontId="10" fillId="0" borderId="35" xfId="0" applyNumberFormat="1" applyFont="1" applyBorder="1" applyAlignment="1" applyProtection="1">
      <alignment horizontal="right" vertical="top"/>
    </xf>
    <xf numFmtId="4" fontId="10" fillId="0" borderId="45" xfId="0" applyNumberFormat="1" applyFont="1" applyBorder="1" applyAlignment="1" applyProtection="1">
      <alignment horizontal="right" vertical="top"/>
    </xf>
    <xf numFmtId="4" fontId="10" fillId="0" borderId="61" xfId="0" applyNumberFormat="1" applyFont="1" applyBorder="1" applyAlignment="1" applyProtection="1">
      <alignment horizontal="right" vertical="top"/>
    </xf>
    <xf numFmtId="4" fontId="5" fillId="0" borderId="35" xfId="0" applyNumberFormat="1" applyFont="1" applyBorder="1" applyAlignment="1" applyProtection="1">
      <alignment horizontal="right" vertical="top"/>
    </xf>
    <xf numFmtId="4" fontId="10" fillId="0" borderId="27" xfId="0" applyNumberFormat="1" applyFont="1" applyBorder="1" applyAlignment="1" applyProtection="1">
      <alignment horizontal="right" vertical="center"/>
    </xf>
    <xf numFmtId="4" fontId="10" fillId="0" borderId="25" xfId="0" applyNumberFormat="1" applyFont="1" applyBorder="1" applyAlignment="1" applyProtection="1">
      <alignment horizontal="right" vertical="center"/>
    </xf>
    <xf numFmtId="4" fontId="5" fillId="0" borderId="32" xfId="0" applyNumberFormat="1" applyFont="1" applyBorder="1" applyAlignment="1" applyProtection="1">
      <alignment horizontal="right" vertical="center"/>
    </xf>
    <xf numFmtId="4" fontId="11" fillId="8" borderId="47" xfId="0" applyNumberFormat="1" applyFont="1" applyFill="1" applyBorder="1" applyAlignment="1" applyProtection="1">
      <alignment horizontal="right" vertical="center"/>
    </xf>
    <xf numFmtId="4" fontId="10" fillId="0" borderId="32" xfId="0" applyNumberFormat="1" applyFont="1" applyBorder="1" applyAlignment="1" applyProtection="1">
      <alignment horizontal="right" vertical="center"/>
    </xf>
    <xf numFmtId="4" fontId="5" fillId="0" borderId="27" xfId="0" applyNumberFormat="1" applyFont="1" applyBorder="1" applyAlignment="1" applyProtection="1">
      <alignment horizontal="right" vertical="center"/>
    </xf>
    <xf numFmtId="4" fontId="10" fillId="8" borderId="49" xfId="0" applyNumberFormat="1" applyFont="1" applyFill="1" applyBorder="1" applyAlignment="1" applyProtection="1">
      <alignment horizontal="right" vertical="center"/>
    </xf>
    <xf numFmtId="4" fontId="10" fillId="8" borderId="46" xfId="0" applyNumberFormat="1" applyFont="1" applyFill="1" applyBorder="1" applyAlignment="1" applyProtection="1">
      <alignment horizontal="right" vertical="center"/>
    </xf>
    <xf numFmtId="4" fontId="10" fillId="8" borderId="27" xfId="0" applyNumberFormat="1" applyFont="1" applyFill="1" applyBorder="1" applyAlignment="1" applyProtection="1">
      <alignment horizontal="right" vertical="center"/>
    </xf>
    <xf numFmtId="4" fontId="10" fillId="8" borderId="25" xfId="0" applyNumberFormat="1" applyFont="1" applyFill="1" applyBorder="1" applyAlignment="1" applyProtection="1">
      <alignment horizontal="right" vertical="center"/>
    </xf>
    <xf numFmtId="4" fontId="10" fillId="8" borderId="29" xfId="0" applyNumberFormat="1" applyFont="1" applyFill="1" applyBorder="1" applyAlignment="1" applyProtection="1">
      <alignment horizontal="right" vertical="center"/>
    </xf>
    <xf numFmtId="4" fontId="10" fillId="8" borderId="30" xfId="0" applyNumberFormat="1" applyFont="1" applyFill="1" applyBorder="1" applyAlignment="1" applyProtection="1">
      <alignment horizontal="right" vertical="center"/>
    </xf>
    <xf numFmtId="4" fontId="10" fillId="0" borderId="49" xfId="0" applyNumberFormat="1" applyFont="1" applyBorder="1" applyAlignment="1" applyProtection="1">
      <alignment horizontal="right" vertical="center"/>
    </xf>
    <xf numFmtId="4" fontId="10" fillId="0" borderId="46" xfId="0" applyNumberFormat="1" applyFont="1" applyBorder="1" applyAlignment="1" applyProtection="1">
      <alignment horizontal="right" vertical="center"/>
    </xf>
    <xf numFmtId="4" fontId="5" fillId="0" borderId="29" xfId="0" applyNumberFormat="1" applyFont="1" applyBorder="1" applyAlignment="1" applyProtection="1">
      <alignment horizontal="right" vertical="center"/>
    </xf>
    <xf numFmtId="4" fontId="10" fillId="8" borderId="51" xfId="0" applyNumberFormat="1" applyFont="1" applyFill="1" applyBorder="1" applyAlignment="1" applyProtection="1">
      <alignment horizontal="right" vertical="center"/>
    </xf>
    <xf numFmtId="4" fontId="10" fillId="8" borderId="47" xfId="0" applyNumberFormat="1" applyFont="1" applyFill="1" applyBorder="1" applyAlignment="1" applyProtection="1">
      <alignment horizontal="right" vertical="center"/>
    </xf>
    <xf numFmtId="4" fontId="10" fillId="0" borderId="29" xfId="0" applyNumberFormat="1" applyFont="1" applyBorder="1" applyAlignment="1" applyProtection="1">
      <alignment horizontal="right" vertical="center"/>
    </xf>
    <xf numFmtId="4" fontId="10" fillId="0" borderId="30" xfId="0" applyNumberFormat="1" applyFont="1" applyBorder="1" applyAlignment="1" applyProtection="1">
      <alignment horizontal="right" vertical="center"/>
    </xf>
    <xf numFmtId="4" fontId="3" fillId="0" borderId="52" xfId="0" applyNumberFormat="1" applyFont="1" applyBorder="1" applyAlignment="1" applyProtection="1">
      <alignment horizontal="right" vertical="top"/>
    </xf>
    <xf numFmtId="0" fontId="11" fillId="8" borderId="25" xfId="0" applyFont="1" applyFill="1" applyBorder="1" applyAlignment="1" applyProtection="1">
      <alignment horizontal="right" vertical="top"/>
    </xf>
    <xf numFmtId="0" fontId="10" fillId="0" borderId="64" xfId="0" applyFont="1" applyBorder="1" applyAlignment="1" applyProtection="1">
      <alignment horizontal="left" vertical="top"/>
    </xf>
    <xf numFmtId="49" fontId="11" fillId="8" borderId="25" xfId="0" applyNumberFormat="1" applyFont="1" applyFill="1" applyBorder="1" applyAlignment="1" applyProtection="1">
      <alignment horizontal="right" vertical="top"/>
    </xf>
    <xf numFmtId="0" fontId="10" fillId="0" borderId="64" xfId="0" applyFont="1" applyBorder="1" applyAlignment="1" applyProtection="1">
      <alignment horizontal="right" vertical="top"/>
    </xf>
    <xf numFmtId="4" fontId="3" fillId="0" borderId="28" xfId="0" applyNumberFormat="1" applyFont="1" applyBorder="1" applyAlignment="1" applyProtection="1">
      <alignment horizontal="right" vertical="top"/>
    </xf>
    <xf numFmtId="0" fontId="10" fillId="8" borderId="65" xfId="0" applyFont="1" applyFill="1" applyBorder="1" applyAlignment="1" applyProtection="1">
      <alignment horizontal="right" vertical="top"/>
    </xf>
    <xf numFmtId="49" fontId="10" fillId="0" borderId="64" xfId="0" applyNumberFormat="1" applyFont="1" applyBorder="1" applyAlignment="1" applyProtection="1">
      <alignment horizontal="right" vertical="top"/>
    </xf>
    <xf numFmtId="0" fontId="10" fillId="0" borderId="26" xfId="0" applyFont="1" applyBorder="1" applyAlignment="1" applyProtection="1">
      <alignment horizontal="left" vertical="top"/>
    </xf>
    <xf numFmtId="0" fontId="10" fillId="0" borderId="35" xfId="0" applyFont="1" applyBorder="1" applyAlignment="1" applyProtection="1">
      <alignment horizontal="left" vertical="top"/>
    </xf>
    <xf numFmtId="0" fontId="18" fillId="9" borderId="38" xfId="0" applyFont="1" applyFill="1" applyBorder="1"/>
    <xf numFmtId="0" fontId="18" fillId="9" borderId="40" xfId="1" applyNumberFormat="1" applyFont="1" applyFill="1" applyBorder="1" applyAlignment="1">
      <alignment horizontal="center"/>
    </xf>
    <xf numFmtId="0" fontId="18" fillId="9" borderId="42" xfId="1" applyNumberFormat="1" applyFont="1" applyFill="1" applyBorder="1" applyAlignment="1">
      <alignment horizontal="center"/>
    </xf>
    <xf numFmtId="0" fontId="3" fillId="0" borderId="66" xfId="0" applyFont="1" applyBorder="1"/>
    <xf numFmtId="0" fontId="16" fillId="9" borderId="38" xfId="0" applyFont="1" applyFill="1" applyBorder="1"/>
    <xf numFmtId="0" fontId="16" fillId="9" borderId="40" xfId="1" applyNumberFormat="1" applyFont="1" applyFill="1" applyBorder="1" applyAlignment="1">
      <alignment horizontal="center"/>
    </xf>
    <xf numFmtId="0" fontId="16" fillId="9" borderId="42" xfId="1" applyNumberFormat="1" applyFont="1" applyFill="1" applyBorder="1" applyAlignment="1">
      <alignment horizontal="center"/>
    </xf>
    <xf numFmtId="0" fontId="16" fillId="2" borderId="62" xfId="0" applyFont="1" applyFill="1" applyBorder="1"/>
    <xf numFmtId="0" fontId="14" fillId="0" borderId="62" xfId="0" applyFont="1" applyBorder="1"/>
    <xf numFmtId="0" fontId="14" fillId="0" borderId="63" xfId="1" applyNumberFormat="1" applyFont="1" applyBorder="1" applyAlignment="1">
      <alignment horizontal="center"/>
    </xf>
    <xf numFmtId="0" fontId="14" fillId="0" borderId="63" xfId="0" applyNumberFormat="1" applyFont="1" applyBorder="1" applyAlignment="1">
      <alignment horizontal="center"/>
    </xf>
    <xf numFmtId="1" fontId="14" fillId="4" borderId="40" xfId="0" applyNumberFormat="1" applyFont="1" applyFill="1" applyBorder="1" applyAlignment="1">
      <alignment horizontal="center"/>
    </xf>
    <xf numFmtId="167" fontId="12" fillId="0" borderId="6" xfId="1" applyNumberFormat="1" applyFont="1" applyBorder="1" applyAlignment="1">
      <alignment horizontal="center"/>
    </xf>
    <xf numFmtId="0" fontId="16" fillId="4" borderId="63" xfId="0" applyNumberFormat="1" applyFont="1" applyFill="1" applyBorder="1" applyAlignment="1">
      <alignment horizontal="center"/>
    </xf>
    <xf numFmtId="1" fontId="16" fillId="4" borderId="42" xfId="0" applyNumberFormat="1" applyFont="1" applyFill="1" applyBorder="1" applyAlignment="1">
      <alignment horizontal="center"/>
    </xf>
    <xf numFmtId="167" fontId="12" fillId="11" borderId="1" xfId="1" applyNumberFormat="1" applyFont="1" applyFill="1" applyBorder="1" applyAlignment="1">
      <alignment horizontal="center"/>
    </xf>
    <xf numFmtId="167" fontId="12" fillId="11" borderId="6" xfId="1" applyNumberFormat="1" applyFont="1" applyFill="1" applyBorder="1" applyAlignment="1">
      <alignment horizontal="center"/>
    </xf>
    <xf numFmtId="167" fontId="12" fillId="11" borderId="8" xfId="1" applyNumberFormat="1" applyFont="1" applyFill="1" applyBorder="1" applyAlignment="1">
      <alignment horizontal="center"/>
    </xf>
    <xf numFmtId="167" fontId="12" fillId="11" borderId="17" xfId="1" applyNumberFormat="1" applyFont="1" applyFill="1" applyBorder="1" applyAlignment="1">
      <alignment horizontal="center"/>
    </xf>
    <xf numFmtId="0" fontId="16" fillId="4" borderId="40" xfId="0" applyNumberFormat="1" applyFont="1" applyFill="1" applyBorder="1" applyAlignment="1">
      <alignment horizontal="center"/>
    </xf>
    <xf numFmtId="0" fontId="14" fillId="7" borderId="67" xfId="0" applyFont="1" applyFill="1" applyBorder="1"/>
    <xf numFmtId="0" fontId="14" fillId="6" borderId="67" xfId="0" applyFont="1" applyFill="1" applyBorder="1"/>
    <xf numFmtId="0" fontId="14" fillId="6" borderId="68" xfId="0" applyFont="1" applyFill="1" applyBorder="1"/>
    <xf numFmtId="0" fontId="17" fillId="4" borderId="69" xfId="1" applyNumberFormat="1" applyFont="1" applyFill="1" applyBorder="1" applyAlignment="1">
      <alignment horizontal="center"/>
    </xf>
    <xf numFmtId="0" fontId="17" fillId="4" borderId="69" xfId="0" applyNumberFormat="1" applyFont="1" applyFill="1" applyBorder="1" applyAlignment="1">
      <alignment horizontal="center"/>
    </xf>
    <xf numFmtId="0" fontId="17" fillId="4" borderId="70" xfId="0" applyNumberFormat="1" applyFont="1" applyFill="1" applyBorder="1" applyAlignment="1">
      <alignment horizontal="center"/>
    </xf>
    <xf numFmtId="4" fontId="12" fillId="7" borderId="62" xfId="1" applyNumberFormat="1" applyFont="1" applyFill="1" applyBorder="1" applyAlignment="1">
      <alignment horizontal="right"/>
    </xf>
    <xf numFmtId="4" fontId="12" fillId="7" borderId="5" xfId="1" applyNumberFormat="1" applyFont="1" applyFill="1" applyBorder="1" applyAlignment="1">
      <alignment horizontal="right"/>
    </xf>
    <xf numFmtId="4" fontId="12" fillId="6" borderId="5" xfId="1" applyNumberFormat="1" applyFont="1" applyFill="1" applyBorder="1" applyAlignment="1">
      <alignment horizontal="right"/>
    </xf>
    <xf numFmtId="4" fontId="12" fillId="6" borderId="7" xfId="1" applyNumberFormat="1" applyFont="1" applyFill="1" applyBorder="1" applyAlignment="1">
      <alignment horizontal="right"/>
    </xf>
    <xf numFmtId="0" fontId="10" fillId="0" borderId="0" xfId="0" applyFont="1" applyAlignment="1">
      <alignment horizontal="left"/>
    </xf>
    <xf numFmtId="0" fontId="18" fillId="12" borderId="28" xfId="0" applyFont="1" applyFill="1" applyBorder="1"/>
    <xf numFmtId="3" fontId="18" fillId="10" borderId="35" xfId="0" applyNumberFormat="1" applyFont="1" applyFill="1" applyBorder="1" applyAlignment="1">
      <alignment horizontal="left"/>
    </xf>
    <xf numFmtId="0" fontId="3" fillId="0" borderId="52" xfId="0" applyFont="1" applyBorder="1"/>
    <xf numFmtId="0" fontId="12" fillId="0" borderId="0" xfId="0" applyFont="1" applyBorder="1" applyAlignment="1">
      <alignment horizontal="center"/>
    </xf>
    <xf numFmtId="165" fontId="12" fillId="0" borderId="38" xfId="1" applyFont="1" applyBorder="1" applyAlignment="1">
      <alignment horizontal="center"/>
    </xf>
    <xf numFmtId="165" fontId="12" fillId="0" borderId="40" xfId="1" applyFont="1" applyBorder="1" applyAlignment="1">
      <alignment horizontal="center"/>
    </xf>
    <xf numFmtId="0" fontId="3" fillId="0" borderId="38" xfId="0" applyFont="1" applyBorder="1"/>
    <xf numFmtId="0" fontId="3" fillId="0" borderId="71" xfId="0" applyFont="1" applyBorder="1"/>
    <xf numFmtId="165" fontId="10" fillId="0" borderId="40" xfId="1" applyFont="1" applyBorder="1" applyAlignment="1">
      <alignment horizontal="center"/>
    </xf>
    <xf numFmtId="0" fontId="10" fillId="0" borderId="0" xfId="0" applyFont="1" applyAlignment="1">
      <alignment horizontal="left"/>
    </xf>
    <xf numFmtId="49" fontId="10" fillId="0" borderId="0" xfId="0" applyNumberFormat="1" applyFont="1" applyAlignment="1" applyProtection="1">
      <alignment horizontal="right" vertical="top"/>
    </xf>
    <xf numFmtId="49" fontId="4" fillId="8" borderId="0" xfId="0" applyNumberFormat="1" applyFont="1" applyFill="1" applyAlignment="1" applyProtection="1">
      <alignment horizontal="center" vertical="top"/>
    </xf>
    <xf numFmtId="49" fontId="10" fillId="0" borderId="41" xfId="0" applyNumberFormat="1" applyFont="1" applyBorder="1" applyAlignment="1" applyProtection="1">
      <alignment horizontal="center" vertical="top"/>
    </xf>
    <xf numFmtId="49" fontId="10" fillId="0" borderId="0" xfId="0" applyNumberFormat="1" applyFont="1" applyBorder="1" applyAlignment="1" applyProtection="1">
      <alignment horizontal="center" vertical="top"/>
    </xf>
    <xf numFmtId="49" fontId="10" fillId="0" borderId="0" xfId="0" applyNumberFormat="1" applyFont="1" applyAlignment="1" applyProtection="1">
      <alignment horizontal="center" vertical="top"/>
    </xf>
    <xf numFmtId="49" fontId="10" fillId="0" borderId="50" xfId="0" applyNumberFormat="1" applyFont="1" applyBorder="1" applyAlignment="1" applyProtection="1">
      <alignment horizontal="center" vertical="top"/>
    </xf>
    <xf numFmtId="49" fontId="10" fillId="0" borderId="0" xfId="0" applyNumberFormat="1" applyFont="1" applyAlignment="1" applyProtection="1">
      <alignment horizontal="left" vertical="top"/>
    </xf>
    <xf numFmtId="0" fontId="21" fillId="0" borderId="0" xfId="0" applyFont="1" applyAlignment="1">
      <alignment horizontal="center"/>
    </xf>
    <xf numFmtId="4" fontId="10" fillId="13" borderId="0" xfId="0" applyNumberFormat="1" applyFont="1" applyFill="1"/>
    <xf numFmtId="0" fontId="14" fillId="5" borderId="0" xfId="0" applyFont="1" applyFill="1" applyAlignment="1" applyProtection="1">
      <alignment horizontal="left" indent="1"/>
    </xf>
    <xf numFmtId="4" fontId="10" fillId="5" borderId="0" xfId="0" applyNumberFormat="1" applyFont="1" applyFill="1" applyProtection="1"/>
    <xf numFmtId="0" fontId="10" fillId="5" borderId="0" xfId="0" applyFont="1" applyFill="1" applyProtection="1"/>
    <xf numFmtId="0" fontId="12" fillId="5" borderId="0" xfId="0" applyFont="1" applyFill="1" applyAlignment="1">
      <alignment horizontal="left" indent="2"/>
    </xf>
    <xf numFmtId="4" fontId="10" fillId="5" borderId="0" xfId="0" applyNumberFormat="1" applyFont="1" applyFill="1"/>
    <xf numFmtId="4" fontId="10" fillId="13" borderId="0" xfId="0" applyNumberFormat="1" applyFont="1" applyFill="1" applyProtection="1"/>
    <xf numFmtId="0" fontId="0" fillId="0" borderId="39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1" xfId="0" applyBorder="1" applyAlignment="1"/>
    <xf numFmtId="0" fontId="0" fillId="0" borderId="43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18" xfId="0" applyBorder="1" applyAlignment="1">
      <alignment horizontal="left"/>
    </xf>
    <xf numFmtId="0" fontId="0" fillId="0" borderId="0" xfId="0" applyBorder="1"/>
    <xf numFmtId="0" fontId="10" fillId="14" borderId="52" xfId="0" applyFont="1" applyFill="1" applyBorder="1" applyAlignment="1">
      <alignment horizontal="center"/>
    </xf>
    <xf numFmtId="0" fontId="10" fillId="14" borderId="75" xfId="0" applyFont="1" applyFill="1" applyBorder="1" applyAlignment="1">
      <alignment horizontal="center"/>
    </xf>
    <xf numFmtId="0" fontId="10" fillId="14" borderId="76" xfId="0" applyFont="1" applyFill="1" applyBorder="1" applyAlignment="1">
      <alignment horizontal="center"/>
    </xf>
    <xf numFmtId="49" fontId="11" fillId="8" borderId="77" xfId="0" applyNumberFormat="1" applyFont="1" applyFill="1" applyBorder="1" applyAlignment="1" applyProtection="1">
      <alignment horizontal="right" vertical="top"/>
    </xf>
    <xf numFmtId="0" fontId="10" fillId="8" borderId="78" xfId="0" applyFont="1" applyFill="1" applyBorder="1" applyAlignment="1" applyProtection="1">
      <alignment horizontal="right" vertical="top"/>
    </xf>
    <xf numFmtId="49" fontId="10" fillId="8" borderId="27" xfId="0" applyNumberFormat="1" applyFont="1" applyFill="1" applyBorder="1" applyAlignment="1" applyProtection="1">
      <alignment horizontal="right" vertical="top"/>
    </xf>
    <xf numFmtId="0" fontId="10" fillId="0" borderId="78" xfId="0" applyFont="1" applyBorder="1" applyAlignment="1" applyProtection="1">
      <alignment horizontal="right" vertical="top"/>
    </xf>
    <xf numFmtId="0" fontId="10" fillId="8" borderId="77" xfId="0" applyFont="1" applyFill="1" applyBorder="1" applyAlignment="1" applyProtection="1">
      <alignment horizontal="right" vertical="top"/>
    </xf>
    <xf numFmtId="49" fontId="10" fillId="8" borderId="77" xfId="0" applyNumberFormat="1" applyFont="1" applyFill="1" applyBorder="1" applyAlignment="1" applyProtection="1">
      <alignment horizontal="right" vertical="top"/>
    </xf>
    <xf numFmtId="0" fontId="10" fillId="0" borderId="79" xfId="0" applyFont="1" applyBorder="1" applyAlignment="1" applyProtection="1">
      <alignment horizontal="left" vertical="top"/>
    </xf>
    <xf numFmtId="0" fontId="11" fillId="8" borderId="80" xfId="0" applyFont="1" applyFill="1" applyBorder="1" applyAlignment="1" applyProtection="1">
      <alignment horizontal="right" vertical="top"/>
    </xf>
    <xf numFmtId="0" fontId="10" fillId="8" borderId="81" xfId="0" applyFont="1" applyFill="1" applyBorder="1" applyAlignment="1" applyProtection="1">
      <alignment horizontal="right" vertical="top"/>
    </xf>
    <xf numFmtId="0" fontId="10" fillId="8" borderId="26" xfId="0" applyFont="1" applyFill="1" applyBorder="1" applyAlignment="1" applyProtection="1">
      <alignment horizontal="right" vertical="top"/>
    </xf>
    <xf numFmtId="0" fontId="10" fillId="8" borderId="60" xfId="0" applyFont="1" applyFill="1" applyBorder="1" applyAlignment="1" applyProtection="1">
      <alignment horizontal="right" vertical="top"/>
    </xf>
    <xf numFmtId="0" fontId="10" fillId="0" borderId="81" xfId="0" applyFont="1" applyBorder="1" applyAlignment="1" applyProtection="1">
      <alignment horizontal="right" vertical="top"/>
    </xf>
    <xf numFmtId="4" fontId="5" fillId="0" borderId="60" xfId="0" applyNumberFormat="1" applyFont="1" applyBorder="1" applyAlignment="1" applyProtection="1">
      <alignment horizontal="right" vertical="top"/>
    </xf>
    <xf numFmtId="0" fontId="10" fillId="8" borderId="80" xfId="0" applyFont="1" applyFill="1" applyBorder="1" applyAlignment="1" applyProtection="1">
      <alignment horizontal="right" vertical="top"/>
    </xf>
    <xf numFmtId="49" fontId="10" fillId="8" borderId="80" xfId="0" applyNumberFormat="1" applyFont="1" applyFill="1" applyBorder="1" applyAlignment="1" applyProtection="1">
      <alignment horizontal="right" vertical="top"/>
    </xf>
    <xf numFmtId="0" fontId="10" fillId="0" borderId="35" xfId="0" applyFont="1" applyBorder="1" applyAlignment="1" applyProtection="1">
      <alignment horizontal="right" vertical="top"/>
    </xf>
    <xf numFmtId="49" fontId="6" fillId="8" borderId="28" xfId="0" applyNumberFormat="1" applyFont="1" applyFill="1" applyBorder="1" applyAlignment="1" applyProtection="1">
      <alignment horizontal="center" vertical="top"/>
    </xf>
    <xf numFmtId="49" fontId="6" fillId="8" borderId="78" xfId="0" applyNumberFormat="1" applyFont="1" applyFill="1" applyBorder="1" applyAlignment="1" applyProtection="1">
      <alignment horizontal="center" vertical="top"/>
    </xf>
    <xf numFmtId="4" fontId="10" fillId="0" borderId="85" xfId="0" applyNumberFormat="1" applyFont="1" applyBorder="1" applyAlignment="1" applyProtection="1">
      <alignment horizontal="right" vertical="top"/>
    </xf>
    <xf numFmtId="4" fontId="20" fillId="0" borderId="32" xfId="0" applyNumberFormat="1" applyFont="1" applyBorder="1" applyAlignment="1" applyProtection="1">
      <alignment horizontal="right" vertical="top"/>
    </xf>
    <xf numFmtId="4" fontId="10" fillId="0" borderId="0" xfId="0" applyNumberFormat="1" applyFont="1" applyBorder="1" applyAlignment="1" applyProtection="1">
      <alignment horizontal="right" vertical="top"/>
    </xf>
    <xf numFmtId="4" fontId="10" fillId="0" borderId="23" xfId="0" applyNumberFormat="1" applyFont="1" applyBorder="1" applyAlignment="1" applyProtection="1">
      <alignment horizontal="right" vertical="top"/>
    </xf>
    <xf numFmtId="4" fontId="10" fillId="0" borderId="73" xfId="0" applyNumberFormat="1" applyFont="1" applyBorder="1" applyAlignment="1" applyProtection="1">
      <alignment horizontal="right" vertical="top"/>
    </xf>
    <xf numFmtId="49" fontId="6" fillId="8" borderId="79" xfId="0" applyNumberFormat="1" applyFont="1" applyFill="1" applyBorder="1" applyAlignment="1" applyProtection="1">
      <alignment horizontal="center" vertical="top"/>
    </xf>
    <xf numFmtId="4" fontId="10" fillId="0" borderId="79" xfId="0" applyNumberFormat="1" applyFont="1" applyBorder="1" applyAlignment="1" applyProtection="1">
      <alignment horizontal="right" vertical="top"/>
    </xf>
    <xf numFmtId="4" fontId="20" fillId="0" borderId="26" xfId="0" applyNumberFormat="1" applyFont="1" applyBorder="1" applyAlignment="1" applyProtection="1">
      <alignment horizontal="right" vertical="top"/>
    </xf>
    <xf numFmtId="0" fontId="11" fillId="8" borderId="77" xfId="0" applyFont="1" applyFill="1" applyBorder="1" applyAlignment="1" applyProtection="1">
      <alignment horizontal="right" vertical="top"/>
    </xf>
    <xf numFmtId="49" fontId="5" fillId="8" borderId="86" xfId="0" applyNumberFormat="1" applyFont="1" applyFill="1" applyBorder="1" applyAlignment="1" applyProtection="1">
      <alignment horizontal="center" vertical="top"/>
    </xf>
    <xf numFmtId="49" fontId="5" fillId="8" borderId="85" xfId="0" applyNumberFormat="1" applyFont="1" applyFill="1" applyBorder="1" applyAlignment="1" applyProtection="1">
      <alignment horizontal="center" vertical="top"/>
    </xf>
    <xf numFmtId="49" fontId="5" fillId="8" borderId="87" xfId="0" applyNumberFormat="1" applyFont="1" applyFill="1" applyBorder="1" applyAlignment="1" applyProtection="1">
      <alignment horizontal="center" vertical="top"/>
    </xf>
    <xf numFmtId="49" fontId="5" fillId="8" borderId="88" xfId="0" applyNumberFormat="1" applyFont="1" applyFill="1" applyBorder="1" applyAlignment="1" applyProtection="1">
      <alignment horizontal="center" vertical="top"/>
    </xf>
    <xf numFmtId="0" fontId="10" fillId="8" borderId="32" xfId="0" applyFont="1" applyFill="1" applyBorder="1" applyAlignment="1" applyProtection="1">
      <alignment horizontal="center" vertical="top"/>
    </xf>
    <xf numFmtId="0" fontId="10" fillId="8" borderId="54" xfId="0" applyFont="1" applyFill="1" applyBorder="1" applyAlignment="1" applyProtection="1">
      <alignment horizontal="center" vertical="top"/>
    </xf>
    <xf numFmtId="0" fontId="11" fillId="8" borderId="89" xfId="0" applyFont="1" applyFill="1" applyBorder="1" applyAlignment="1" applyProtection="1">
      <alignment horizontal="right" vertical="top"/>
    </xf>
    <xf numFmtId="0" fontId="11" fillId="8" borderId="18" xfId="0" applyFont="1" applyFill="1" applyBorder="1" applyAlignment="1" applyProtection="1">
      <alignment horizontal="left" vertical="top"/>
    </xf>
    <xf numFmtId="0" fontId="10" fillId="0" borderId="55" xfId="0" applyFont="1" applyBorder="1" applyAlignment="1" applyProtection="1">
      <alignment horizontal="left" vertical="top"/>
    </xf>
    <xf numFmtId="49" fontId="11" fillId="8" borderId="90" xfId="0" applyNumberFormat="1" applyFont="1" applyFill="1" applyBorder="1" applyAlignment="1" applyProtection="1">
      <alignment horizontal="right" vertical="top"/>
    </xf>
    <xf numFmtId="0" fontId="11" fillId="8" borderId="91" xfId="0" applyFont="1" applyFill="1" applyBorder="1" applyAlignment="1" applyProtection="1">
      <alignment horizontal="right" vertical="top"/>
    </xf>
    <xf numFmtId="0" fontId="10" fillId="0" borderId="55" xfId="0" applyFont="1" applyBorder="1" applyAlignment="1" applyProtection="1">
      <alignment horizontal="right" vertical="top"/>
    </xf>
    <xf numFmtId="49" fontId="10" fillId="0" borderId="55" xfId="0" applyNumberFormat="1" applyFont="1" applyBorder="1" applyAlignment="1" applyProtection="1">
      <alignment horizontal="right" vertical="top"/>
    </xf>
    <xf numFmtId="0" fontId="10" fillId="8" borderId="92" xfId="0" applyFont="1" applyFill="1" applyBorder="1" applyAlignment="1" applyProtection="1">
      <alignment horizontal="right" vertical="top"/>
    </xf>
    <xf numFmtId="49" fontId="10" fillId="8" borderId="55" xfId="0" applyNumberFormat="1" applyFont="1" applyFill="1" applyBorder="1" applyAlignment="1" applyProtection="1">
      <alignment horizontal="right" vertical="top"/>
    </xf>
    <xf numFmtId="0" fontId="10" fillId="8" borderId="55" xfId="0" applyFont="1" applyFill="1" applyBorder="1" applyAlignment="1" applyProtection="1">
      <alignment horizontal="right" vertical="top"/>
    </xf>
    <xf numFmtId="0" fontId="10" fillId="8" borderId="89" xfId="0" applyFont="1" applyFill="1" applyBorder="1" applyAlignment="1" applyProtection="1">
      <alignment horizontal="right" vertical="top"/>
    </xf>
    <xf numFmtId="0" fontId="10" fillId="0" borderId="92" xfId="0" applyFont="1" applyBorder="1" applyAlignment="1" applyProtection="1">
      <alignment horizontal="right" vertical="top"/>
    </xf>
    <xf numFmtId="4" fontId="5" fillId="0" borderId="59" xfId="0" applyNumberFormat="1" applyFont="1" applyBorder="1" applyAlignment="1" applyProtection="1">
      <alignment horizontal="right" vertical="top"/>
    </xf>
    <xf numFmtId="0" fontId="10" fillId="8" borderId="90" xfId="0" applyFont="1" applyFill="1" applyBorder="1" applyAlignment="1" applyProtection="1">
      <alignment horizontal="right" vertical="top"/>
    </xf>
    <xf numFmtId="49" fontId="10" fillId="8" borderId="90" xfId="0" applyNumberFormat="1" applyFont="1" applyFill="1" applyBorder="1" applyAlignment="1" applyProtection="1">
      <alignment horizontal="right" vertical="top"/>
    </xf>
    <xf numFmtId="0" fontId="10" fillId="0" borderId="93" xfId="0" applyFont="1" applyBorder="1" applyAlignment="1" applyProtection="1">
      <alignment horizontal="left" vertical="top"/>
    </xf>
    <xf numFmtId="0" fontId="10" fillId="0" borderId="94" xfId="0" applyFont="1" applyBorder="1" applyAlignment="1" applyProtection="1">
      <alignment horizontal="right" vertical="top"/>
    </xf>
    <xf numFmtId="0" fontId="10" fillId="0" borderId="94" xfId="0" applyFont="1" applyBorder="1" applyAlignment="1" applyProtection="1">
      <alignment horizontal="left" vertical="top"/>
    </xf>
    <xf numFmtId="0" fontId="10" fillId="0" borderId="79" xfId="0" applyFont="1" applyBorder="1" applyAlignment="1" applyProtection="1">
      <alignment horizontal="right" vertical="top"/>
    </xf>
    <xf numFmtId="0" fontId="14" fillId="0" borderId="95" xfId="0" applyFont="1" applyBorder="1"/>
    <xf numFmtId="0" fontId="14" fillId="0" borderId="67" xfId="0" applyFont="1" applyBorder="1"/>
    <xf numFmtId="0" fontId="14" fillId="0" borderId="96" xfId="0" applyFont="1" applyBorder="1"/>
    <xf numFmtId="165" fontId="12" fillId="0" borderId="97" xfId="1" applyFont="1" applyBorder="1" applyAlignment="1">
      <alignment horizontal="center"/>
    </xf>
    <xf numFmtId="165" fontId="12" fillId="0" borderId="85" xfId="1" applyFont="1" applyBorder="1" applyAlignment="1">
      <alignment horizontal="center"/>
    </xf>
    <xf numFmtId="165" fontId="12" fillId="0" borderId="88" xfId="1" applyFont="1" applyBorder="1" applyAlignment="1">
      <alignment horizontal="center"/>
    </xf>
    <xf numFmtId="165" fontId="12" fillId="0" borderId="5" xfId="1" applyFont="1" applyBorder="1" applyAlignment="1">
      <alignment horizontal="center"/>
    </xf>
    <xf numFmtId="165" fontId="12" fillId="0" borderId="6" xfId="1" applyFont="1" applyBorder="1" applyAlignment="1">
      <alignment horizontal="center"/>
    </xf>
    <xf numFmtId="165" fontId="12" fillId="0" borderId="71" xfId="1" applyFont="1" applyBorder="1" applyAlignment="1">
      <alignment horizontal="center"/>
    </xf>
    <xf numFmtId="165" fontId="12" fillId="0" borderId="72" xfId="1" applyFont="1" applyBorder="1" applyAlignment="1">
      <alignment horizontal="center"/>
    </xf>
    <xf numFmtId="165" fontId="12" fillId="0" borderId="74" xfId="1" applyFont="1" applyBorder="1" applyAlignment="1">
      <alignment horizontal="center"/>
    </xf>
    <xf numFmtId="0" fontId="14" fillId="3" borderId="98" xfId="0" applyFont="1" applyFill="1" applyBorder="1"/>
    <xf numFmtId="0" fontId="14" fillId="3" borderId="67" xfId="0" applyFont="1" applyFill="1" applyBorder="1"/>
    <xf numFmtId="0" fontId="14" fillId="0" borderId="68" xfId="0" applyFont="1" applyBorder="1"/>
    <xf numFmtId="9" fontId="12" fillId="3" borderId="99" xfId="2" applyFont="1" applyFill="1" applyBorder="1" applyAlignment="1">
      <alignment horizontal="center"/>
    </xf>
    <xf numFmtId="9" fontId="12" fillId="3" borderId="100" xfId="2" applyFont="1" applyFill="1" applyBorder="1" applyAlignment="1">
      <alignment horizontal="center"/>
    </xf>
    <xf numFmtId="9" fontId="12" fillId="3" borderId="101" xfId="2" applyFont="1" applyFill="1" applyBorder="1" applyAlignment="1">
      <alignment horizontal="center"/>
    </xf>
    <xf numFmtId="9" fontId="12" fillId="0" borderId="5" xfId="2" applyFont="1" applyBorder="1" applyAlignment="1">
      <alignment horizontal="center"/>
    </xf>
    <xf numFmtId="9" fontId="12" fillId="0" borderId="6" xfId="2" applyFont="1" applyBorder="1" applyAlignment="1">
      <alignment horizontal="center"/>
    </xf>
    <xf numFmtId="9" fontId="12" fillId="3" borderId="5" xfId="2" applyFont="1" applyFill="1" applyBorder="1" applyAlignment="1">
      <alignment horizontal="center"/>
    </xf>
    <xf numFmtId="9" fontId="12" fillId="3" borderId="6" xfId="2" applyFont="1" applyFill="1" applyBorder="1" applyAlignment="1">
      <alignment horizontal="center"/>
    </xf>
    <xf numFmtId="9" fontId="12" fillId="0" borderId="7" xfId="2" applyFont="1" applyBorder="1" applyAlignment="1">
      <alignment horizontal="center"/>
    </xf>
    <xf numFmtId="9" fontId="12" fillId="0" borderId="17" xfId="2" applyFont="1" applyBorder="1" applyAlignment="1">
      <alignment horizontal="center"/>
    </xf>
    <xf numFmtId="0" fontId="14" fillId="3" borderId="102" xfId="0" applyFont="1" applyFill="1" applyBorder="1"/>
    <xf numFmtId="0" fontId="14" fillId="0" borderId="102" xfId="0" applyFont="1" applyBorder="1"/>
    <xf numFmtId="0" fontId="14" fillId="3" borderId="103" xfId="0" applyFont="1" applyFill="1" applyBorder="1"/>
    <xf numFmtId="0" fontId="16" fillId="2" borderId="104" xfId="1" applyNumberFormat="1" applyFont="1" applyFill="1" applyBorder="1" applyAlignment="1">
      <alignment horizontal="center"/>
    </xf>
    <xf numFmtId="9" fontId="12" fillId="3" borderId="82" xfId="2" applyFont="1" applyFill="1" applyBorder="1" applyAlignment="1">
      <alignment horizontal="center"/>
    </xf>
    <xf numFmtId="9" fontId="12" fillId="3" borderId="83" xfId="2" applyFont="1" applyFill="1" applyBorder="1" applyAlignment="1">
      <alignment horizontal="center"/>
    </xf>
    <xf numFmtId="9" fontId="12" fillId="3" borderId="84" xfId="2" applyFont="1" applyFill="1" applyBorder="1" applyAlignment="1">
      <alignment horizontal="center"/>
    </xf>
    <xf numFmtId="9" fontId="12" fillId="3" borderId="7" xfId="2" applyFont="1" applyFill="1" applyBorder="1" applyAlignment="1">
      <alignment horizontal="center"/>
    </xf>
    <xf numFmtId="9" fontId="12" fillId="3" borderId="17" xfId="2" applyFont="1" applyFill="1" applyBorder="1" applyAlignment="1">
      <alignment horizontal="center"/>
    </xf>
    <xf numFmtId="0" fontId="16" fillId="2" borderId="14" xfId="1" applyNumberFormat="1" applyFont="1" applyFill="1" applyBorder="1" applyAlignment="1">
      <alignment horizontal="center"/>
    </xf>
    <xf numFmtId="0" fontId="16" fillId="2" borderId="28" xfId="1" applyNumberFormat="1" applyFont="1" applyFill="1" applyBorder="1" applyAlignment="1">
      <alignment horizontal="center"/>
    </xf>
    <xf numFmtId="0" fontId="16" fillId="2" borderId="52" xfId="0" applyFont="1" applyFill="1" applyBorder="1"/>
    <xf numFmtId="0" fontId="16" fillId="2" borderId="38" xfId="1" applyNumberFormat="1" applyFont="1" applyFill="1" applyBorder="1" applyAlignment="1">
      <alignment horizontal="center"/>
    </xf>
    <xf numFmtId="0" fontId="16" fillId="2" borderId="83" xfId="0" applyNumberFormat="1" applyFont="1" applyFill="1" applyBorder="1" applyAlignment="1">
      <alignment horizontal="center"/>
    </xf>
    <xf numFmtId="0" fontId="16" fillId="2" borderId="83" xfId="0" applyFont="1" applyFill="1" applyBorder="1" applyAlignment="1">
      <alignment horizontal="center"/>
    </xf>
    <xf numFmtId="0" fontId="16" fillId="2" borderId="105" xfId="0" applyNumberFormat="1" applyFont="1" applyFill="1" applyBorder="1" applyAlignment="1">
      <alignment horizontal="center"/>
    </xf>
    <xf numFmtId="0" fontId="16" fillId="2" borderId="84" xfId="0" applyFont="1" applyFill="1" applyBorder="1" applyAlignment="1">
      <alignment horizontal="center"/>
    </xf>
    <xf numFmtId="9" fontId="12" fillId="3" borderId="106" xfId="2" applyFont="1" applyFill="1" applyBorder="1" applyAlignment="1">
      <alignment horizontal="center"/>
    </xf>
    <xf numFmtId="9" fontId="12" fillId="3" borderId="107" xfId="2" applyFont="1" applyFill="1" applyBorder="1" applyAlignment="1">
      <alignment horizontal="center"/>
    </xf>
    <xf numFmtId="0" fontId="14" fillId="3" borderId="68" xfId="0" applyFont="1" applyFill="1" applyBorder="1"/>
    <xf numFmtId="0" fontId="16" fillId="2" borderId="108" xfId="1" applyNumberFormat="1" applyFont="1" applyFill="1" applyBorder="1" applyAlignment="1">
      <alignment horizontal="center"/>
    </xf>
    <xf numFmtId="0" fontId="16" fillId="2" borderId="108" xfId="0" applyNumberFormat="1" applyFont="1" applyFill="1" applyBorder="1" applyAlignment="1">
      <alignment horizontal="center"/>
    </xf>
    <xf numFmtId="0" fontId="16" fillId="2" borderId="109" xfId="0" applyNumberFormat="1" applyFont="1" applyFill="1" applyBorder="1" applyAlignment="1">
      <alignment horizontal="center"/>
    </xf>
    <xf numFmtId="0" fontId="16" fillId="2" borderId="110" xfId="0" applyNumberFormat="1" applyFont="1" applyFill="1" applyBorder="1" applyAlignment="1">
      <alignment horizontal="center"/>
    </xf>
    <xf numFmtId="0" fontId="16" fillId="4" borderId="52" xfId="0" applyFont="1" applyFill="1" applyBorder="1"/>
    <xf numFmtId="0" fontId="16" fillId="4" borderId="38" xfId="1" applyNumberFormat="1" applyFont="1" applyFill="1" applyBorder="1" applyAlignment="1">
      <alignment horizontal="center"/>
    </xf>
    <xf numFmtId="0" fontId="16" fillId="4" borderId="74" xfId="0" applyNumberFormat="1" applyFont="1" applyFill="1" applyBorder="1" applyAlignment="1">
      <alignment horizontal="center"/>
    </xf>
    <xf numFmtId="165" fontId="12" fillId="0" borderId="32" xfId="1" applyFont="1" applyBorder="1" applyAlignment="1">
      <alignment horizontal="center"/>
    </xf>
    <xf numFmtId="165" fontId="12" fillId="0" borderId="18" xfId="1" applyFont="1" applyBorder="1" applyAlignment="1">
      <alignment horizontal="center"/>
    </xf>
    <xf numFmtId="165" fontId="12" fillId="0" borderId="28" xfId="1" applyFont="1" applyBorder="1" applyAlignment="1">
      <alignment horizontal="center"/>
    </xf>
    <xf numFmtId="49" fontId="5" fillId="8" borderId="27" xfId="0" applyNumberFormat="1" applyFont="1" applyFill="1" applyBorder="1" applyAlignment="1" applyProtection="1">
      <alignment horizontal="center" vertical="top"/>
    </xf>
    <xf numFmtId="49" fontId="5" fillId="8" borderId="97" xfId="0" applyNumberFormat="1" applyFont="1" applyFill="1" applyBorder="1" applyAlignment="1" applyProtection="1">
      <alignment horizontal="center" vertical="top"/>
    </xf>
    <xf numFmtId="49" fontId="5" fillId="8" borderId="111" xfId="0" applyNumberFormat="1" applyFont="1" applyFill="1" applyBorder="1" applyAlignment="1" applyProtection="1">
      <alignment horizontal="center" vertical="top"/>
    </xf>
    <xf numFmtId="49" fontId="5" fillId="8" borderId="44" xfId="0" applyNumberFormat="1" applyFont="1" applyFill="1" applyBorder="1" applyAlignment="1" applyProtection="1">
      <alignment horizontal="center" vertical="center"/>
    </xf>
    <xf numFmtId="49" fontId="5" fillId="8" borderId="112" xfId="0" applyNumberFormat="1" applyFont="1" applyFill="1" applyBorder="1" applyAlignment="1" applyProtection="1">
      <alignment horizontal="center" vertical="center"/>
    </xf>
    <xf numFmtId="0" fontId="10" fillId="0" borderId="41" xfId="0" applyFont="1" applyBorder="1" applyAlignment="1" applyProtection="1">
      <alignment horizontal="right" vertical="top"/>
    </xf>
    <xf numFmtId="49" fontId="10" fillId="0" borderId="0" xfId="0" applyNumberFormat="1" applyFont="1" applyBorder="1" applyAlignment="1" applyProtection="1">
      <alignment horizontal="right" vertical="top"/>
    </xf>
    <xf numFmtId="49" fontId="10" fillId="0" borderId="73" xfId="0" applyNumberFormat="1" applyFont="1" applyBorder="1" applyAlignment="1" applyProtection="1">
      <alignment horizontal="right" vertical="top"/>
    </xf>
    <xf numFmtId="0" fontId="1" fillId="16" borderId="52" xfId="0" applyFont="1" applyFill="1" applyBorder="1" applyAlignment="1">
      <alignment horizontal="left"/>
    </xf>
    <xf numFmtId="0" fontId="1" fillId="16" borderId="75" xfId="0" applyFont="1" applyFill="1" applyBorder="1" applyAlignment="1">
      <alignment horizontal="left"/>
    </xf>
    <xf numFmtId="0" fontId="1" fillId="16" borderId="76" xfId="0" applyFont="1" applyFill="1" applyBorder="1" applyAlignment="1">
      <alignment horizontal="left"/>
    </xf>
    <xf numFmtId="0" fontId="1" fillId="15" borderId="52" xfId="0" applyFont="1" applyFill="1" applyBorder="1" applyAlignment="1">
      <alignment horizontal="left"/>
    </xf>
    <xf numFmtId="0" fontId="1" fillId="15" borderId="75" xfId="0" applyFont="1" applyFill="1" applyBorder="1" applyAlignment="1">
      <alignment horizontal="left"/>
    </xf>
    <xf numFmtId="0" fontId="1" fillId="15" borderId="76" xfId="0" applyFont="1" applyFill="1" applyBorder="1" applyAlignment="1">
      <alignment horizontal="left"/>
    </xf>
    <xf numFmtId="0" fontId="22" fillId="0" borderId="52" xfId="0" applyFont="1" applyBorder="1" applyAlignment="1">
      <alignment horizontal="center" vertical="center"/>
    </xf>
    <xf numFmtId="0" fontId="22" fillId="0" borderId="75" xfId="0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3" fillId="8" borderId="0" xfId="0" applyFont="1" applyFill="1" applyAlignment="1" applyProtection="1">
      <alignment horizontal="left" vertical="top"/>
    </xf>
    <xf numFmtId="0" fontId="3" fillId="8" borderId="27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left" vertical="top"/>
    </xf>
    <xf numFmtId="0" fontId="23" fillId="8" borderId="23" xfId="0" applyFont="1" applyFill="1" applyBorder="1" applyAlignment="1" applyProtection="1">
      <alignment horizontal="left" vertical="top"/>
    </xf>
    <xf numFmtId="0" fontId="23" fillId="8" borderId="30" xfId="0" applyFont="1" applyFill="1" applyBorder="1" applyAlignment="1" applyProtection="1">
      <alignment horizontal="right" vertical="top"/>
    </xf>
  </cellXfs>
  <cellStyles count="3">
    <cellStyle name="Normal" xfId="0" builtinId="0"/>
    <cellStyle name="Percentagem" xfId="2" builtinId="5"/>
    <cellStyle name="Vírgula" xfId="1" builtinId="3"/>
  </cellStyles>
  <dxfs count="51">
    <dxf>
      <font>
        <strike val="0"/>
        <outline val="0"/>
        <shadow val="0"/>
        <u val="none"/>
        <vertAlign val="baseline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7" formatCode="_-* #,##0.0_-;\-* #,##0.0_-;_-* &quot;-&quot;??_-;_-@_-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7" formatCode="_-* #,##0.0_-;\-* #,##0.0_-;_-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auto="1"/>
        </right>
        <top style="thin">
          <color indexed="64"/>
        </top>
        <bottom style="thin">
          <color indexed="64"/>
        </bottom>
        <vertical style="thin">
          <color auto="1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7" formatCode="_-* #,##0.0_-;\-* #,##0.0_-;_-* &quot;-&quot;??_-;_-@_-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7" formatCode="_-* #,##0.0_-;\-* #,##0.0_-;_-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7" formatCode="_-* #,##0.0_-;\-* #,##0.0_-;_-* &quot;-&quot;??_-;_-@_-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7" formatCode="_-* #,##0.0_-;\-* #,##0.0_-;_-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INVESTIMENTO</c:v>
          </c:tx>
          <c:invertIfNegative val="0"/>
          <c:val>
            <c:numRef>
              <c:f>'Indi. MENSAL'!$C$5:$N$5</c:f>
              <c:numCache>
                <c:formatCode>_-* #,##0.00_-;\-* #,##0.00_-;_-* "-"??_-;_-@_-</c:formatCode>
                <c:ptCount val="12"/>
                <c:pt idx="0">
                  <c:v>4740854.129999999</c:v>
                </c:pt>
                <c:pt idx="1">
                  <c:v>4889099.74</c:v>
                </c:pt>
                <c:pt idx="2">
                  <c:v>4889099.74</c:v>
                </c:pt>
                <c:pt idx="3">
                  <c:v>4969446.209999999</c:v>
                </c:pt>
                <c:pt idx="4">
                  <c:v>5219446.209999999</c:v>
                </c:pt>
                <c:pt idx="5">
                  <c:v>5219446.209999999</c:v>
                </c:pt>
                <c:pt idx="6">
                  <c:v>6759724.3900000006</c:v>
                </c:pt>
                <c:pt idx="7">
                  <c:v>6888857.1699999999</c:v>
                </c:pt>
                <c:pt idx="8">
                  <c:v>6888857.1699999999</c:v>
                </c:pt>
                <c:pt idx="9">
                  <c:v>6888857.1699999999</c:v>
                </c:pt>
                <c:pt idx="10">
                  <c:v>9026357.1699999999</c:v>
                </c:pt>
                <c:pt idx="11">
                  <c:v>6474167.6399999997</c:v>
                </c:pt>
              </c:numCache>
            </c:numRef>
          </c:val>
        </c:ser>
        <c:ser>
          <c:idx val="2"/>
          <c:order val="1"/>
          <c:tx>
            <c:v>VOL. DE NEGÓCIO</c:v>
          </c:tx>
          <c:invertIfNegative val="0"/>
          <c:val>
            <c:numRef>
              <c:f>'Indi. MENSAL'!$C$7:$N$7</c:f>
              <c:numCache>
                <c:formatCode>_-* #,##0.00_-;\-* #,##0.00_-;_-* "-"??_-;_-@_-</c:formatCode>
                <c:ptCount val="12"/>
                <c:pt idx="0">
                  <c:v>35764969.520000003</c:v>
                </c:pt>
                <c:pt idx="1">
                  <c:v>25113280.09</c:v>
                </c:pt>
                <c:pt idx="2">
                  <c:v>49634921.299999997</c:v>
                </c:pt>
                <c:pt idx="3">
                  <c:v>79140664.659999996</c:v>
                </c:pt>
                <c:pt idx="4">
                  <c:v>27864534.619999997</c:v>
                </c:pt>
                <c:pt idx="5">
                  <c:v>28476146.219999999</c:v>
                </c:pt>
                <c:pt idx="6">
                  <c:v>39144356.100000001</c:v>
                </c:pt>
                <c:pt idx="7">
                  <c:v>18945678.489999998</c:v>
                </c:pt>
                <c:pt idx="8">
                  <c:v>17864564.289999999</c:v>
                </c:pt>
                <c:pt idx="9">
                  <c:v>18068507.210000001</c:v>
                </c:pt>
                <c:pt idx="10">
                  <c:v>41819987.359999999</c:v>
                </c:pt>
                <c:pt idx="11">
                  <c:v>29780194.5</c:v>
                </c:pt>
              </c:numCache>
            </c:numRef>
          </c:val>
        </c:ser>
        <c:ser>
          <c:idx val="1"/>
          <c:order val="2"/>
          <c:tx>
            <c:v>FLUXO DE CAIXA</c:v>
          </c:tx>
          <c:invertIfNegative val="0"/>
          <c:val>
            <c:numRef>
              <c:f>'Indi. MENSAL'!$C$9:$N$9</c:f>
              <c:numCache>
                <c:formatCode>_-* #,##0.00_-;\-* #,##0.00_-;_-* "-"??_-;_-@_-</c:formatCode>
                <c:ptCount val="12"/>
                <c:pt idx="0">
                  <c:v>53670422.759999998</c:v>
                </c:pt>
                <c:pt idx="1">
                  <c:v>56092872.079999998</c:v>
                </c:pt>
                <c:pt idx="2">
                  <c:v>83492073.849999994</c:v>
                </c:pt>
                <c:pt idx="3">
                  <c:v>153663983.73999998</c:v>
                </c:pt>
                <c:pt idx="4">
                  <c:v>160491155.75</c:v>
                </c:pt>
                <c:pt idx="5">
                  <c:v>165509163.03</c:v>
                </c:pt>
                <c:pt idx="6">
                  <c:v>168801287.89000002</c:v>
                </c:pt>
                <c:pt idx="7">
                  <c:v>159089178.11000001</c:v>
                </c:pt>
                <c:pt idx="8">
                  <c:v>94885524.140000001</c:v>
                </c:pt>
                <c:pt idx="9">
                  <c:v>104630296.58</c:v>
                </c:pt>
                <c:pt idx="10">
                  <c:v>105362491.11999999</c:v>
                </c:pt>
                <c:pt idx="11">
                  <c:v>100945221.19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477440"/>
        <c:axId val="232478976"/>
      </c:barChart>
      <c:catAx>
        <c:axId val="23247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2478976"/>
        <c:crosses val="autoZero"/>
        <c:auto val="1"/>
        <c:lblAlgn val="ctr"/>
        <c:lblOffset val="100"/>
        <c:noMultiLvlLbl val="0"/>
      </c:catAx>
      <c:valAx>
        <c:axId val="232478976"/>
        <c:scaling>
          <c:orientation val="minMax"/>
        </c:scaling>
        <c:delete val="0"/>
        <c:axPos val="l"/>
        <c:majorGridlines/>
        <c:numFmt formatCode="_-* #,##0.00_-;\-* #,##0.00_-;_-* &quot;-&quot;??_-;_-@_-" sourceLinked="1"/>
        <c:majorTickMark val="out"/>
        <c:minorTickMark val="none"/>
        <c:tickLblPos val="nextTo"/>
        <c:crossAx val="23247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FINANCIAMENTO</c:v>
          </c:tx>
          <c:invertIfNegative val="0"/>
          <c:val>
            <c:numRef>
              <c:f>'Indi. TRI'!$C$6:$F$6</c:f>
              <c:numCache>
                <c:formatCode>_-* #,##0.00_-;\-* #,##0.00_-;_-* "-"??_-;_-@_-</c:formatCode>
                <c:ptCount val="4"/>
                <c:pt idx="0">
                  <c:v>377460782.33999997</c:v>
                </c:pt>
                <c:pt idx="1">
                  <c:v>513571087.60000002</c:v>
                </c:pt>
                <c:pt idx="2">
                  <c:v>572559044.96000004</c:v>
                </c:pt>
                <c:pt idx="3">
                  <c:v>305849779.83999997</c:v>
                </c:pt>
              </c:numCache>
            </c:numRef>
          </c:val>
        </c:ser>
        <c:ser>
          <c:idx val="2"/>
          <c:order val="1"/>
          <c:tx>
            <c:v>RES. LÍQUIDO</c:v>
          </c:tx>
          <c:invertIfNegative val="0"/>
          <c:val>
            <c:numRef>
              <c:f>'Indi. TRI'!$C$8:$F$8</c:f>
              <c:numCache>
                <c:formatCode>_-* #,##0.00_-;\-* #,##0.00_-;_-* "-"??_-;_-@_-</c:formatCode>
                <c:ptCount val="4"/>
                <c:pt idx="0">
                  <c:v>79340209.460000008</c:v>
                </c:pt>
                <c:pt idx="1">
                  <c:v>110812035.84</c:v>
                </c:pt>
                <c:pt idx="2">
                  <c:v>53080166.959999993</c:v>
                </c:pt>
                <c:pt idx="3">
                  <c:v>-277023962.35000002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91968"/>
        <c:axId val="133305472"/>
      </c:barChart>
      <c:catAx>
        <c:axId val="13229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3305472"/>
        <c:crosses val="autoZero"/>
        <c:auto val="1"/>
        <c:lblAlgn val="ctr"/>
        <c:lblOffset val="100"/>
        <c:noMultiLvlLbl val="0"/>
      </c:catAx>
      <c:valAx>
        <c:axId val="133305472"/>
        <c:scaling>
          <c:orientation val="minMax"/>
        </c:scaling>
        <c:delete val="0"/>
        <c:axPos val="l"/>
        <c:majorGridlines/>
        <c:numFmt formatCode="_-* #,##0.00_-;\-* #,##0.00_-;_-* &quot;-&quot;??_-;_-@_-" sourceLinked="1"/>
        <c:majorTickMark val="out"/>
        <c:minorTickMark val="none"/>
        <c:tickLblPos val="nextTo"/>
        <c:crossAx val="13229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AUTO. FINANCEIRA</c:v>
          </c:tx>
          <c:invertIfNegative val="0"/>
          <c:dLbls>
            <c:delete val="1"/>
          </c:dLbls>
          <c:val>
            <c:numRef>
              <c:f>'Indi. TRI'!$C$14:$F$14</c:f>
              <c:numCache>
                <c:formatCode>0%</c:formatCode>
                <c:ptCount val="4"/>
                <c:pt idx="0">
                  <c:v>0.36349462656603043</c:v>
                </c:pt>
                <c:pt idx="1">
                  <c:v>0.48292633278680702</c:v>
                </c:pt>
                <c:pt idx="2">
                  <c:v>0.52587968275138375</c:v>
                </c:pt>
                <c:pt idx="3">
                  <c:v>7.8709249300730172E-2</c:v>
                </c:pt>
              </c:numCache>
            </c:numRef>
          </c:val>
        </c:ser>
        <c:ser>
          <c:idx val="1"/>
          <c:order val="1"/>
          <c:tx>
            <c:v>SOLVABILIDADE</c:v>
          </c:tx>
          <c:invertIfNegative val="0"/>
          <c:dLbls>
            <c:delete val="1"/>
          </c:dLbls>
          <c:val>
            <c:numRef>
              <c:f>'Indi. TRI'!$C$15:$F$15</c:f>
              <c:numCache>
                <c:formatCode>0%</c:formatCode>
                <c:ptCount val="4"/>
                <c:pt idx="0">
                  <c:v>0.57107864558151933</c:v>
                </c:pt>
                <c:pt idx="1">
                  <c:v>0.93396040720768925</c:v>
                </c:pt>
                <c:pt idx="2">
                  <c:v>1.1091692627794012</c:v>
                </c:pt>
                <c:pt idx="3">
                  <c:v>8.5433669274318641E-2</c:v>
                </c:pt>
              </c:numCache>
            </c:numRef>
          </c:val>
        </c:ser>
        <c:ser>
          <c:idx val="2"/>
          <c:order val="2"/>
          <c:tx>
            <c:v>ENDIVIDAMENTO</c:v>
          </c:tx>
          <c:invertIfNegative val="0"/>
          <c:dLbls>
            <c:delete val="1"/>
          </c:dLbls>
          <c:val>
            <c:numRef>
              <c:f>'Indi. TRI'!$C$16:$F$16</c:f>
              <c:numCache>
                <c:formatCode>0%</c:formatCode>
                <c:ptCount val="4"/>
                <c:pt idx="0">
                  <c:v>0.6365053734339694</c:v>
                </c:pt>
                <c:pt idx="1">
                  <c:v>0.51707366721319303</c:v>
                </c:pt>
                <c:pt idx="2">
                  <c:v>0.47412031724861647</c:v>
                </c:pt>
                <c:pt idx="3">
                  <c:v>0.9212907506992698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3331584"/>
        <c:axId val="133333376"/>
      </c:barChart>
      <c:catAx>
        <c:axId val="133331584"/>
        <c:scaling>
          <c:orientation val="minMax"/>
        </c:scaling>
        <c:delete val="0"/>
        <c:axPos val="l"/>
        <c:majorTickMark val="none"/>
        <c:minorTickMark val="none"/>
        <c:tickLblPos val="nextTo"/>
        <c:crossAx val="133333376"/>
        <c:crosses val="autoZero"/>
        <c:auto val="1"/>
        <c:lblAlgn val="ctr"/>
        <c:lblOffset val="100"/>
        <c:noMultiLvlLbl val="0"/>
      </c:catAx>
      <c:valAx>
        <c:axId val="13333337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crossAx val="1333315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LÍQ. GERAL</c:v>
          </c:tx>
          <c:invertIfNegative val="0"/>
          <c:dLbls>
            <c:delete val="1"/>
          </c:dLbls>
          <c:val>
            <c:numRef>
              <c:f>'Indi. TRI'!$C$22:$F$22</c:f>
              <c:numCache>
                <c:formatCode>0%</c:formatCode>
                <c:ptCount val="4"/>
                <c:pt idx="0">
                  <c:v>1.5507290872777026</c:v>
                </c:pt>
                <c:pt idx="1">
                  <c:v>1.9143054800487986</c:v>
                </c:pt>
                <c:pt idx="2">
                  <c:v>2.0837923764538053</c:v>
                </c:pt>
                <c:pt idx="3">
                  <c:v>1.0624574240710085</c:v>
                </c:pt>
              </c:numCache>
            </c:numRef>
          </c:val>
        </c:ser>
        <c:ser>
          <c:idx val="1"/>
          <c:order val="1"/>
          <c:tx>
            <c:v>LÍQ. REDUZIDA</c:v>
          </c:tx>
          <c:invertIfNegative val="0"/>
          <c:dLbls>
            <c:delete val="1"/>
          </c:dLbls>
          <c:val>
            <c:numRef>
              <c:f>'Indi. TRI'!$C$23:$F$23</c:f>
              <c:numCache>
                <c:formatCode>0%</c:formatCode>
                <c:ptCount val="4"/>
                <c:pt idx="0">
                  <c:v>1.0325537950883079</c:v>
                </c:pt>
                <c:pt idx="1">
                  <c:v>1.2755002254010888</c:v>
                </c:pt>
                <c:pt idx="2">
                  <c:v>1.0329725194954487</c:v>
                </c:pt>
                <c:pt idx="3">
                  <c:v>1.0624574240710085</c:v>
                </c:pt>
              </c:numCache>
            </c:numRef>
          </c:val>
        </c:ser>
        <c:ser>
          <c:idx val="2"/>
          <c:order val="2"/>
          <c:tx>
            <c:v>LÍQ. IMEDIATA</c:v>
          </c:tx>
          <c:invertIfNegative val="0"/>
          <c:dLbls>
            <c:delete val="1"/>
          </c:dLbls>
          <c:val>
            <c:numRef>
              <c:f>'Indi. TRI'!$C$24:$F$24</c:f>
              <c:numCache>
                <c:formatCode>0%</c:formatCode>
                <c:ptCount val="4"/>
                <c:pt idx="0">
                  <c:v>0.34751322637511967</c:v>
                </c:pt>
                <c:pt idx="1">
                  <c:v>0.62325971235243383</c:v>
                </c:pt>
                <c:pt idx="2">
                  <c:v>0.3495353584236579</c:v>
                </c:pt>
                <c:pt idx="3">
                  <c:v>0.35824561289299833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3343488"/>
        <c:axId val="133345280"/>
        <c:axId val="0"/>
      </c:bar3DChart>
      <c:catAx>
        <c:axId val="133343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3345280"/>
        <c:crosses val="autoZero"/>
        <c:auto val="1"/>
        <c:lblAlgn val="ctr"/>
        <c:lblOffset val="100"/>
        <c:noMultiLvlLbl val="0"/>
      </c:catAx>
      <c:valAx>
        <c:axId val="13334528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333434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REND. DOS CP</c:v>
          </c:tx>
          <c:invertIfNegative val="0"/>
          <c:val>
            <c:numRef>
              <c:f>'Indi. TRI'!$C$29:$F$29</c:f>
              <c:numCache>
                <c:formatCode>0%</c:formatCode>
                <c:ptCount val="4"/>
                <c:pt idx="0">
                  <c:v>0.57826047922061907</c:v>
                </c:pt>
                <c:pt idx="1">
                  <c:v>0.44679209475272863</c:v>
                </c:pt>
                <c:pt idx="2">
                  <c:v>0.17628915990938168</c:v>
                </c:pt>
                <c:pt idx="3">
                  <c:v>-11.507563877893485</c:v>
                </c:pt>
              </c:numCache>
            </c:numRef>
          </c:val>
        </c:ser>
        <c:ser>
          <c:idx val="1"/>
          <c:order val="1"/>
          <c:tx>
            <c:v>REND. ACTIVOS</c:v>
          </c:tx>
          <c:invertIfNegative val="0"/>
          <c:val>
            <c:numRef>
              <c:f>'Indi. TRI'!$C$30:$F$30</c:f>
              <c:numCache>
                <c:formatCode>0%</c:formatCode>
                <c:ptCount val="4"/>
                <c:pt idx="0">
                  <c:v>0.21722011810526362</c:v>
                </c:pt>
                <c:pt idx="1">
                  <c:v>0.21700027688630347</c:v>
                </c:pt>
                <c:pt idx="2">
                  <c:v>9.2834822954745905E-2</c:v>
                </c:pt>
                <c:pt idx="3">
                  <c:v>-0.90476824294188796</c:v>
                </c:pt>
              </c:numCache>
            </c:numRef>
          </c:val>
        </c:ser>
        <c:ser>
          <c:idx val="2"/>
          <c:order val="2"/>
          <c:tx>
            <c:v>REND. VENDAS</c:v>
          </c:tx>
          <c:invertIfNegative val="0"/>
          <c:val>
            <c:numRef>
              <c:f>'Indi. TRI'!$C$31:$F$31</c:f>
              <c:numCache>
                <c:formatCode>0%</c:formatCode>
                <c:ptCount val="4"/>
                <c:pt idx="0">
                  <c:v>0.74192130263616196</c:v>
                </c:pt>
                <c:pt idx="1">
                  <c:v>0.822586074848216</c:v>
                </c:pt>
                <c:pt idx="2">
                  <c:v>0.69980512508500781</c:v>
                </c:pt>
                <c:pt idx="3">
                  <c:v>-3.0860623789645869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33428736"/>
        <c:axId val="133430272"/>
        <c:axId val="0"/>
      </c:bar3DChart>
      <c:catAx>
        <c:axId val="133428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3430272"/>
        <c:crosses val="autoZero"/>
        <c:auto val="1"/>
        <c:lblAlgn val="ctr"/>
        <c:lblOffset val="100"/>
        <c:noMultiLvlLbl val="0"/>
      </c:catAx>
      <c:valAx>
        <c:axId val="13343027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334287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v>2018</c:v>
          </c:tx>
          <c:invertIfNegative val="0"/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2019</c:v>
          </c:tx>
          <c:invertIfNegative val="0"/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2"/>
          <c:tx>
            <c:v>2020</c:v>
          </c:tx>
          <c:invertIfNegative val="0"/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33855104"/>
        <c:axId val="133856640"/>
        <c:axId val="0"/>
      </c:bar3DChart>
      <c:catAx>
        <c:axId val="133855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3856640"/>
        <c:crosses val="autoZero"/>
        <c:auto val="1"/>
        <c:lblAlgn val="ctr"/>
        <c:lblOffset val="100"/>
        <c:noMultiLvlLbl val="0"/>
      </c:catAx>
      <c:valAx>
        <c:axId val="1338566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38551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VALOR DO CAPITAL</c:v>
          </c:tx>
          <c:val>
            <c:numRef>
              <c:f>'Indi. TRI'!$C$45:$F$45</c:f>
              <c:numCache>
                <c:formatCode>#,##0.00</c:formatCode>
                <c:ptCount val="4"/>
                <c:pt idx="0">
                  <c:v>137204966.12</c:v>
                </c:pt>
                <c:pt idx="1">
                  <c:v>248017001.96000001</c:v>
                </c:pt>
                <c:pt idx="2">
                  <c:v>301097168.92000002</c:v>
                </c:pt>
                <c:pt idx="3">
                  <c:v>24073206.569999993</c:v>
                </c:pt>
              </c:numCache>
            </c:numRef>
          </c:val>
          <c:smooth val="0"/>
        </c:ser>
        <c:ser>
          <c:idx val="1"/>
          <c:order val="1"/>
          <c:tx>
            <c:v>VALOR DA FIRMA</c:v>
          </c:tx>
          <c:val>
            <c:numRef>
              <c:f>'Indi. TRI'!$C$46:$F$46</c:f>
              <c:numCache>
                <c:formatCode>#,##0.00</c:formatCode>
                <c:ptCount val="4"/>
                <c:pt idx="0">
                  <c:v>156763742.36999997</c:v>
                </c:pt>
                <c:pt idx="1">
                  <c:v>100044922.61000001</c:v>
                </c:pt>
                <c:pt idx="2">
                  <c:v>176576351.90000004</c:v>
                </c:pt>
                <c:pt idx="3">
                  <c:v>180831352.07999998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11072"/>
        <c:axId val="135812608"/>
      </c:lineChart>
      <c:catAx>
        <c:axId val="135811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812608"/>
        <c:crosses val="autoZero"/>
        <c:auto val="1"/>
        <c:lblAlgn val="ctr"/>
        <c:lblOffset val="100"/>
        <c:noMultiLvlLbl val="0"/>
      </c:catAx>
      <c:valAx>
        <c:axId val="135812608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spPr>
          <a:ln w="6350">
            <a:noFill/>
          </a:ln>
        </c:spPr>
        <c:crossAx val="1358110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LUCRO POR AÇÃO</c:v>
          </c:tx>
          <c:invertIfNegative val="0"/>
          <c:dLbls>
            <c:delete val="1"/>
          </c:dLbls>
          <c:val>
            <c:numRef>
              <c:f>'Indi. TRI'!$C$47:$F$47</c:f>
              <c:numCache>
                <c:formatCode>#,##0.00</c:formatCode>
                <c:ptCount val="4"/>
                <c:pt idx="0">
                  <c:v>79.340209460000011</c:v>
                </c:pt>
                <c:pt idx="1">
                  <c:v>110.81203584000001</c:v>
                </c:pt>
                <c:pt idx="2">
                  <c:v>53.080166959999993</c:v>
                </c:pt>
                <c:pt idx="3">
                  <c:v>-277.02396235000003</c:v>
                </c:pt>
              </c:numCache>
            </c:numRef>
          </c:val>
        </c:ser>
        <c:ser>
          <c:idx val="1"/>
          <c:order val="1"/>
          <c:tx>
            <c:v>LUCRO POR AÇÃO ACUMULADO</c:v>
          </c:tx>
          <c:invertIfNegative val="0"/>
          <c:dLbls>
            <c:delete val="1"/>
          </c:dLbls>
          <c:val>
            <c:numRef>
              <c:f>'Indi. TRI'!$C$48:$F$48</c:f>
              <c:numCache>
                <c:formatCode>#,##0.00</c:formatCode>
                <c:ptCount val="4"/>
                <c:pt idx="0">
                  <c:v>137.20496611999999</c:v>
                </c:pt>
                <c:pt idx="1">
                  <c:v>248.01700196000002</c:v>
                </c:pt>
                <c:pt idx="2">
                  <c:v>301.09716892</c:v>
                </c:pt>
                <c:pt idx="3">
                  <c:v>24.073206569999993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5846144"/>
        <c:axId val="135852032"/>
      </c:barChart>
      <c:catAx>
        <c:axId val="135846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852032"/>
        <c:crosses val="autoZero"/>
        <c:auto val="1"/>
        <c:lblAlgn val="ctr"/>
        <c:lblOffset val="100"/>
        <c:noMultiLvlLbl val="0"/>
      </c:catAx>
      <c:valAx>
        <c:axId val="135852032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crossAx val="1358461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INVESTIMENTO</c:v>
          </c:tx>
          <c:invertIfNegative val="0"/>
          <c:val>
            <c:numRef>
              <c:f>'Indi. Anual'!$C$5:$G$5</c:f>
              <c:numCache>
                <c:formatCode>_-* #,##0.00_-;\-* #,##0.00_-;_-* "-"??_-;_-@_-</c:formatCode>
                <c:ptCount val="5"/>
                <c:pt idx="0">
                  <c:v>6474167.6399999997</c:v>
                </c:pt>
                <c:pt idx="1">
                  <c:v>0</c:v>
                </c:pt>
                <c:pt idx="2">
                  <c:v>1575465.49</c:v>
                </c:pt>
                <c:pt idx="3">
                  <c:v>0</c:v>
                </c:pt>
                <c:pt idx="4">
                  <c:v>1575465.49</c:v>
                </c:pt>
              </c:numCache>
            </c:numRef>
          </c:val>
        </c:ser>
        <c:ser>
          <c:idx val="2"/>
          <c:order val="1"/>
          <c:tx>
            <c:v>VOL. DE NEGÓCIO</c:v>
          </c:tx>
          <c:invertIfNegative val="0"/>
          <c:val>
            <c:numRef>
              <c:f>'Indi. Anual'!$C$7:$G$7</c:f>
              <c:numCache>
                <c:formatCode>_-* #,##0.00_-;\-* #,##0.00_-;_-* "-"??_-;_-@_-</c:formatCode>
                <c:ptCount val="5"/>
                <c:pt idx="0">
                  <c:v>411617804.35999995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2"/>
          <c:tx>
            <c:v>FLUXO DE CAIXA</c:v>
          </c:tx>
          <c:invertIfNegative val="0"/>
          <c:val>
            <c:numRef>
              <c:f>'Indi. Anual'!$C$9:$G$9</c:f>
              <c:numCache>
                <c:formatCode>_-* #,##0.00_-;\-* #,##0.00_-;_-* "-"??_-;_-@_-</c:formatCode>
                <c:ptCount val="5"/>
                <c:pt idx="0">
                  <c:v>100945221.19</c:v>
                </c:pt>
                <c:pt idx="1">
                  <c:v>0</c:v>
                </c:pt>
                <c:pt idx="2">
                  <c:v>147578.37</c:v>
                </c:pt>
                <c:pt idx="3">
                  <c:v>0</c:v>
                </c:pt>
                <c:pt idx="4">
                  <c:v>147578.37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519168"/>
        <c:axId val="146520704"/>
      </c:barChart>
      <c:catAx>
        <c:axId val="1465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6520704"/>
        <c:crosses val="autoZero"/>
        <c:auto val="1"/>
        <c:lblAlgn val="ctr"/>
        <c:lblOffset val="100"/>
        <c:noMultiLvlLbl val="0"/>
      </c:catAx>
      <c:valAx>
        <c:axId val="146520704"/>
        <c:scaling>
          <c:orientation val="minMax"/>
        </c:scaling>
        <c:delete val="0"/>
        <c:axPos val="l"/>
        <c:majorGridlines/>
        <c:numFmt formatCode="_-* #,##0.00_-;\-* #,##0.00_-;_-* &quot;-&quot;??_-;_-@_-" sourceLinked="1"/>
        <c:majorTickMark val="out"/>
        <c:minorTickMark val="none"/>
        <c:tickLblPos val="nextTo"/>
        <c:crossAx val="14651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FINANCIAMENTO</c:v>
          </c:tx>
          <c:invertIfNegative val="0"/>
          <c:val>
            <c:numRef>
              <c:f>'Indi. Anual'!$C$6:$G$6</c:f>
              <c:numCache>
                <c:formatCode>_-* #,##0.00_-;\-* #,##0.00_-;_-* "-"??_-;_-@_-</c:formatCode>
                <c:ptCount val="5"/>
                <c:pt idx="0">
                  <c:v>305849779.83999991</c:v>
                </c:pt>
                <c:pt idx="1">
                  <c:v>0</c:v>
                </c:pt>
                <c:pt idx="2">
                  <c:v>2355049.21</c:v>
                </c:pt>
                <c:pt idx="3">
                  <c:v>0</c:v>
                </c:pt>
                <c:pt idx="4">
                  <c:v>2355049.21</c:v>
                </c:pt>
              </c:numCache>
            </c:numRef>
          </c:val>
        </c:ser>
        <c:ser>
          <c:idx val="2"/>
          <c:order val="1"/>
          <c:tx>
            <c:v>RES. LÍQUIDO</c:v>
          </c:tx>
          <c:invertIfNegative val="0"/>
          <c:val>
            <c:numRef>
              <c:f>'Indi. Anual'!$C$8:$G$8</c:f>
              <c:numCache>
                <c:formatCode>_-* #,##0.00_-;\-* #,##0.00_-;_-* "-"??_-;_-@_-</c:formatCode>
                <c:ptCount val="5"/>
                <c:pt idx="0">
                  <c:v>-33791550.090000078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93440"/>
        <c:axId val="156095232"/>
      </c:barChart>
      <c:catAx>
        <c:axId val="15609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095232"/>
        <c:crosses val="autoZero"/>
        <c:auto val="1"/>
        <c:lblAlgn val="ctr"/>
        <c:lblOffset val="100"/>
        <c:noMultiLvlLbl val="0"/>
      </c:catAx>
      <c:valAx>
        <c:axId val="156095232"/>
        <c:scaling>
          <c:orientation val="minMax"/>
        </c:scaling>
        <c:delete val="0"/>
        <c:axPos val="l"/>
        <c:majorGridlines/>
        <c:numFmt formatCode="_-* #,##0.00_-;\-* #,##0.00_-;_-* &quot;-&quot;??_-;_-@_-" sourceLinked="1"/>
        <c:majorTickMark val="out"/>
        <c:minorTickMark val="none"/>
        <c:tickLblPos val="nextTo"/>
        <c:crossAx val="15609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AUTO. FINANCEIRA</c:v>
          </c:tx>
          <c:invertIfNegative val="0"/>
          <c:dLbls>
            <c:delete val="1"/>
          </c:dLbls>
          <c:val>
            <c:numRef>
              <c:f>'Indi. Anual'!$C$14:$G$14</c:f>
              <c:numCache>
                <c:formatCode>0%</c:formatCode>
                <c:ptCount val="5"/>
                <c:pt idx="0">
                  <c:v>7.8709249300729922E-2</c:v>
                </c:pt>
                <c:pt idx="1">
                  <c:v>0</c:v>
                </c:pt>
                <c:pt idx="2">
                  <c:v>-7.1747095254964977E-2</c:v>
                </c:pt>
                <c:pt idx="3">
                  <c:v>0</c:v>
                </c:pt>
                <c:pt idx="4">
                  <c:v>-7.1747095254964977E-2</c:v>
                </c:pt>
              </c:numCache>
            </c:numRef>
          </c:val>
        </c:ser>
        <c:ser>
          <c:idx val="1"/>
          <c:order val="1"/>
          <c:tx>
            <c:v>SOLVABILIDADE</c:v>
          </c:tx>
          <c:invertIfNegative val="0"/>
          <c:dLbls>
            <c:delete val="1"/>
          </c:dLbls>
          <c:val>
            <c:numRef>
              <c:f>'Indi. Anual'!$C$15:$G$15</c:f>
              <c:numCache>
                <c:formatCode>0%</c:formatCode>
                <c:ptCount val="5"/>
                <c:pt idx="0">
                  <c:v>8.5433669274318377E-2</c:v>
                </c:pt>
                <c:pt idx="1">
                  <c:v>0</c:v>
                </c:pt>
                <c:pt idx="2">
                  <c:v>-6.6944053846860752E-2</c:v>
                </c:pt>
                <c:pt idx="3">
                  <c:v>0</c:v>
                </c:pt>
                <c:pt idx="4">
                  <c:v>-6.6944053846860752E-2</c:v>
                </c:pt>
              </c:numCache>
            </c:numRef>
          </c:val>
        </c:ser>
        <c:ser>
          <c:idx val="2"/>
          <c:order val="2"/>
          <c:tx>
            <c:v>ENDIVIDAMENTO</c:v>
          </c:tx>
          <c:invertIfNegative val="0"/>
          <c:dLbls>
            <c:delete val="1"/>
          </c:dLbls>
          <c:val>
            <c:numRef>
              <c:f>'Indi. Anual'!$C$16:$G$16</c:f>
              <c:numCache>
                <c:formatCode>0%</c:formatCode>
                <c:ptCount val="5"/>
                <c:pt idx="0">
                  <c:v>0.9212907506992698</c:v>
                </c:pt>
                <c:pt idx="1">
                  <c:v>0</c:v>
                </c:pt>
                <c:pt idx="2">
                  <c:v>1.071747095254965</c:v>
                </c:pt>
                <c:pt idx="3">
                  <c:v>0</c:v>
                </c:pt>
                <c:pt idx="4">
                  <c:v>1.071747095254965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6203264"/>
        <c:axId val="156209152"/>
      </c:barChart>
      <c:catAx>
        <c:axId val="156203264"/>
        <c:scaling>
          <c:orientation val="minMax"/>
        </c:scaling>
        <c:delete val="0"/>
        <c:axPos val="l"/>
        <c:majorTickMark val="none"/>
        <c:minorTickMark val="none"/>
        <c:tickLblPos val="nextTo"/>
        <c:crossAx val="156209152"/>
        <c:crosses val="autoZero"/>
        <c:auto val="1"/>
        <c:lblAlgn val="ctr"/>
        <c:lblOffset val="100"/>
        <c:noMultiLvlLbl val="0"/>
      </c:catAx>
      <c:valAx>
        <c:axId val="15620915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crossAx val="1562032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FINANCIAMENTO</c:v>
          </c:tx>
          <c:invertIfNegative val="0"/>
          <c:val>
            <c:numRef>
              <c:f>'Indi. MENSAL'!$C$6:$N$6</c:f>
              <c:numCache>
                <c:formatCode>_-* #,##0.00_-;\-* #,##0.00_-;_-* "-"??_-;_-@_-</c:formatCode>
                <c:ptCount val="12"/>
                <c:pt idx="0">
                  <c:v>316110045.93000001</c:v>
                </c:pt>
                <c:pt idx="1">
                  <c:v>332703734.86000001</c:v>
                </c:pt>
                <c:pt idx="2">
                  <c:v>377460782.33999997</c:v>
                </c:pt>
                <c:pt idx="3">
                  <c:v>460191056.79000002</c:v>
                </c:pt>
                <c:pt idx="4">
                  <c:v>484077577.44999993</c:v>
                </c:pt>
                <c:pt idx="5">
                  <c:v>513571087.60000002</c:v>
                </c:pt>
                <c:pt idx="6">
                  <c:v>551121691.91999996</c:v>
                </c:pt>
                <c:pt idx="7">
                  <c:v>555766472.57999992</c:v>
                </c:pt>
                <c:pt idx="8">
                  <c:v>572559044.96000004</c:v>
                </c:pt>
                <c:pt idx="9">
                  <c:v>586491243.57999992</c:v>
                </c:pt>
                <c:pt idx="10">
                  <c:v>630614376.95999992</c:v>
                </c:pt>
                <c:pt idx="11">
                  <c:v>305849779.83999997</c:v>
                </c:pt>
              </c:numCache>
            </c:numRef>
          </c:val>
        </c:ser>
        <c:ser>
          <c:idx val="2"/>
          <c:order val="1"/>
          <c:tx>
            <c:v>RES. LÍQUIDO</c:v>
          </c:tx>
          <c:invertIfNegative val="0"/>
          <c:val>
            <c:numRef>
              <c:f>'Indi. MENSAL'!$C$8:$N$8</c:f>
              <c:numCache>
                <c:formatCode>_-* #,##0.00_-;\-* #,##0.00_-;_-* "-"??_-;_-@_-</c:formatCode>
                <c:ptCount val="12"/>
                <c:pt idx="0">
                  <c:v>17639792.120000001</c:v>
                </c:pt>
                <c:pt idx="1">
                  <c:v>19828034.199999999</c:v>
                </c:pt>
                <c:pt idx="2">
                  <c:v>41872383.140000001</c:v>
                </c:pt>
                <c:pt idx="3">
                  <c:v>74452636.659999996</c:v>
                </c:pt>
                <c:pt idx="4">
                  <c:v>22322395.849999994</c:v>
                </c:pt>
                <c:pt idx="5">
                  <c:v>14037003.329999998</c:v>
                </c:pt>
                <c:pt idx="6">
                  <c:v>32738154.32</c:v>
                </c:pt>
                <c:pt idx="7">
                  <c:v>10884019.249999998</c:v>
                </c:pt>
                <c:pt idx="8">
                  <c:v>9457993.3899999987</c:v>
                </c:pt>
                <c:pt idx="9">
                  <c:v>5906197.6399999987</c:v>
                </c:pt>
                <c:pt idx="10">
                  <c:v>33793015.659999996</c:v>
                </c:pt>
                <c:pt idx="11">
                  <c:v>-316723175.64999998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094592"/>
        <c:axId val="234097280"/>
      </c:barChart>
      <c:catAx>
        <c:axId val="23409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4097280"/>
        <c:crosses val="autoZero"/>
        <c:auto val="1"/>
        <c:lblAlgn val="ctr"/>
        <c:lblOffset val="100"/>
        <c:noMultiLvlLbl val="0"/>
      </c:catAx>
      <c:valAx>
        <c:axId val="234097280"/>
        <c:scaling>
          <c:orientation val="minMax"/>
        </c:scaling>
        <c:delete val="0"/>
        <c:axPos val="l"/>
        <c:majorGridlines/>
        <c:numFmt formatCode="_-* #,##0.00_-;\-* #,##0.00_-;_-* &quot;-&quot;??_-;_-@_-" sourceLinked="1"/>
        <c:majorTickMark val="out"/>
        <c:minorTickMark val="none"/>
        <c:tickLblPos val="nextTo"/>
        <c:crossAx val="23409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LÍQ. GERAL</c:v>
          </c:tx>
          <c:invertIfNegative val="0"/>
          <c:dLbls>
            <c:delete val="1"/>
          </c:dLbls>
          <c:val>
            <c:numRef>
              <c:f>'Indi. Anual'!$C$22:$G$22</c:f>
              <c:numCache>
                <c:formatCode>0%</c:formatCode>
                <c:ptCount val="5"/>
                <c:pt idx="0">
                  <c:v>1.0624574240710085</c:v>
                </c:pt>
                <c:pt idx="1">
                  <c:v>0</c:v>
                </c:pt>
                <c:pt idx="2">
                  <c:v>0.30886625314728944</c:v>
                </c:pt>
                <c:pt idx="3">
                  <c:v>0</c:v>
                </c:pt>
                <c:pt idx="4">
                  <c:v>0.30886625314728944</c:v>
                </c:pt>
              </c:numCache>
            </c:numRef>
          </c:val>
        </c:ser>
        <c:ser>
          <c:idx val="1"/>
          <c:order val="1"/>
          <c:tx>
            <c:v>LÍQ. REDUZIDA</c:v>
          </c:tx>
          <c:invertIfNegative val="0"/>
          <c:dLbls>
            <c:delete val="1"/>
          </c:dLbls>
          <c:val>
            <c:numRef>
              <c:f>'Indi. Anual'!$C$23:$G$23</c:f>
              <c:numCache>
                <c:formatCode>0%</c:formatCode>
                <c:ptCount val="5"/>
                <c:pt idx="0">
                  <c:v>1.0624574240710085</c:v>
                </c:pt>
                <c:pt idx="1">
                  <c:v>0</c:v>
                </c:pt>
                <c:pt idx="2">
                  <c:v>0.30886625314728944</c:v>
                </c:pt>
                <c:pt idx="3">
                  <c:v>0</c:v>
                </c:pt>
                <c:pt idx="4">
                  <c:v>0.30886625314728944</c:v>
                </c:pt>
              </c:numCache>
            </c:numRef>
          </c:val>
        </c:ser>
        <c:ser>
          <c:idx val="2"/>
          <c:order val="2"/>
          <c:tx>
            <c:v>LÍQ. IMEDIATA</c:v>
          </c:tx>
          <c:invertIfNegative val="0"/>
          <c:dLbls>
            <c:delete val="1"/>
          </c:dLbls>
          <c:val>
            <c:numRef>
              <c:f>'Indi. Anual'!$C$24:$G$24</c:f>
              <c:numCache>
                <c:formatCode>0%</c:formatCode>
                <c:ptCount val="5"/>
                <c:pt idx="0">
                  <c:v>0.35824561289299833</c:v>
                </c:pt>
                <c:pt idx="1">
                  <c:v>0</c:v>
                </c:pt>
                <c:pt idx="2">
                  <c:v>5.8469638369929459E-2</c:v>
                </c:pt>
                <c:pt idx="3">
                  <c:v>0</c:v>
                </c:pt>
                <c:pt idx="4">
                  <c:v>5.8469638369929459E-2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6342144"/>
        <c:axId val="156343680"/>
        <c:axId val="0"/>
      </c:bar3DChart>
      <c:catAx>
        <c:axId val="156342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6343680"/>
        <c:crosses val="autoZero"/>
        <c:auto val="1"/>
        <c:lblAlgn val="ctr"/>
        <c:lblOffset val="100"/>
        <c:noMultiLvlLbl val="0"/>
      </c:catAx>
      <c:valAx>
        <c:axId val="15634368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563421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REND. DOS CP</c:v>
          </c:tx>
          <c:invertIfNegative val="0"/>
          <c:val>
            <c:numRef>
              <c:f>'Indi. Anual'!$C$29:$G$29</c:f>
              <c:numCache>
                <c:formatCode>0%</c:formatCode>
                <c:ptCount val="5"/>
                <c:pt idx="0">
                  <c:v>-1.4036995857507069</c:v>
                </c:pt>
                <c:pt idx="1">
                  <c:v>0</c:v>
                </c:pt>
                <c:pt idx="2">
                  <c:v>1.5918282486014803</c:v>
                </c:pt>
                <c:pt idx="3">
                  <c:v>0</c:v>
                </c:pt>
                <c:pt idx="4">
                  <c:v>1.5918282486014803</c:v>
                </c:pt>
              </c:numCache>
            </c:numRef>
          </c:val>
        </c:ser>
        <c:ser>
          <c:idx val="1"/>
          <c:order val="1"/>
          <c:tx>
            <c:v>REND. ACTIVOS</c:v>
          </c:tx>
          <c:invertIfNegative val="0"/>
          <c:val>
            <c:numRef>
              <c:f>'Indi. Anual'!$C$30:$G$30</c:f>
              <c:numCache>
                <c:formatCode>0%</c:formatCode>
                <c:ptCount val="5"/>
                <c:pt idx="0">
                  <c:v>-9.8520935427069564E-2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REND. VENDAS</c:v>
          </c:tx>
          <c:invertIfNegative val="0"/>
          <c:val>
            <c:numRef>
              <c:f>'Indi. Anual'!$C$31:$G$31</c:f>
              <c:numCache>
                <c:formatCode>0%</c:formatCode>
                <c:ptCount val="5"/>
                <c:pt idx="0">
                  <c:v>-7.3205303781383985E-2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56447872"/>
        <c:axId val="156449408"/>
        <c:axId val="0"/>
      </c:bar3DChart>
      <c:catAx>
        <c:axId val="156447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6449408"/>
        <c:crosses val="autoZero"/>
        <c:auto val="1"/>
        <c:lblAlgn val="ctr"/>
        <c:lblOffset val="100"/>
        <c:noMultiLvlLbl val="0"/>
      </c:catAx>
      <c:valAx>
        <c:axId val="15644940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564478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v>2018</c:v>
          </c:tx>
          <c:invertIfNegative val="0"/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2019</c:v>
          </c:tx>
          <c:invertIfNegative val="0"/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2"/>
          <c:tx>
            <c:v>2020</c:v>
          </c:tx>
          <c:invertIfNegative val="0"/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56489216"/>
        <c:axId val="156490752"/>
        <c:axId val="0"/>
      </c:bar3DChart>
      <c:catAx>
        <c:axId val="156489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6490752"/>
        <c:crosses val="autoZero"/>
        <c:auto val="1"/>
        <c:lblAlgn val="ctr"/>
        <c:lblOffset val="100"/>
        <c:noMultiLvlLbl val="0"/>
      </c:catAx>
      <c:valAx>
        <c:axId val="156490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64892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VALOR DO CAPITAL</c:v>
          </c:tx>
          <c:val>
            <c:numRef>
              <c:f>'Indi. Anual'!$C$45:$G$45</c:f>
              <c:numCache>
                <c:formatCode>#,##0.00</c:formatCode>
                <c:ptCount val="5"/>
                <c:pt idx="0">
                  <c:v>24073206.569999918</c:v>
                </c:pt>
                <c:pt idx="1">
                  <c:v>0</c:v>
                </c:pt>
                <c:pt idx="2">
                  <c:v>-168967.94</c:v>
                </c:pt>
                <c:pt idx="3">
                  <c:v>0</c:v>
                </c:pt>
                <c:pt idx="4">
                  <c:v>-168967.94</c:v>
                </c:pt>
              </c:numCache>
            </c:numRef>
          </c:val>
          <c:smooth val="0"/>
        </c:ser>
        <c:ser>
          <c:idx val="1"/>
          <c:order val="1"/>
          <c:tx>
            <c:v>VALOR DA FIRMA</c:v>
          </c:tx>
          <c:val>
            <c:numRef>
              <c:f>'Indi. Anual'!$C$46:$G$46</c:f>
              <c:numCache>
                <c:formatCode>#,##0.00</c:formatCode>
                <c:ptCount val="5"/>
                <c:pt idx="0">
                  <c:v>180831352.07999998</c:v>
                </c:pt>
                <c:pt idx="1">
                  <c:v>0</c:v>
                </c:pt>
                <c:pt idx="2">
                  <c:v>2376438.7799999998</c:v>
                </c:pt>
                <c:pt idx="3">
                  <c:v>0</c:v>
                </c:pt>
                <c:pt idx="4">
                  <c:v>2376438.7799999998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65568"/>
        <c:axId val="156775552"/>
      </c:lineChart>
      <c:catAx>
        <c:axId val="156765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6775552"/>
        <c:crosses val="autoZero"/>
        <c:auto val="1"/>
        <c:lblAlgn val="ctr"/>
        <c:lblOffset val="100"/>
        <c:noMultiLvlLbl val="0"/>
      </c:catAx>
      <c:valAx>
        <c:axId val="156775552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spPr>
          <a:ln w="6350">
            <a:noFill/>
          </a:ln>
        </c:spPr>
        <c:crossAx val="1567655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LUCRO POR AÇÃO</c:v>
          </c:tx>
          <c:invertIfNegative val="0"/>
          <c:dLbls>
            <c:delete val="1"/>
          </c:dLbls>
          <c:val>
            <c:numRef>
              <c:f>'Indi. Anual'!$C$47:$G$47</c:f>
              <c:numCache>
                <c:formatCode>#,##0.00</c:formatCode>
                <c:ptCount val="5"/>
                <c:pt idx="0">
                  <c:v>-33.791550090000079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LUCRO POR AÇÃO ACUMULADO</c:v>
          </c:tx>
          <c:invertIfNegative val="0"/>
          <c:dLbls>
            <c:delete val="1"/>
          </c:dLbls>
          <c:val>
            <c:numRef>
              <c:f>'Indi. Anual'!$C$48:$G$48</c:f>
              <c:numCache>
                <c:formatCode>#,##0.00</c:formatCode>
                <c:ptCount val="5"/>
                <c:pt idx="0">
                  <c:v>24.073206569999918</c:v>
                </c:pt>
                <c:pt idx="1">
                  <c:v>0</c:v>
                </c:pt>
                <c:pt idx="2">
                  <c:v>-0.16896794000000001</c:v>
                </c:pt>
                <c:pt idx="3">
                  <c:v>0</c:v>
                </c:pt>
                <c:pt idx="4">
                  <c:v>-0.16896794000000001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6784512"/>
        <c:axId val="156786048"/>
      </c:barChart>
      <c:catAx>
        <c:axId val="156784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6786048"/>
        <c:crosses val="autoZero"/>
        <c:auto val="1"/>
        <c:lblAlgn val="ctr"/>
        <c:lblOffset val="100"/>
        <c:noMultiLvlLbl val="0"/>
      </c:catAx>
      <c:valAx>
        <c:axId val="156786048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crossAx val="1567845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AUTO. FINANCEIRA</c:v>
          </c:tx>
          <c:invertIfNegative val="0"/>
          <c:dLbls>
            <c:delete val="1"/>
          </c:dLbls>
          <c:val>
            <c:numRef>
              <c:f>'Indi. MENSAL'!$C$14:$N$14</c:f>
              <c:numCache>
                <c:formatCode>0%</c:formatCode>
                <c:ptCount val="12"/>
                <c:pt idx="0">
                  <c:v>0.23885526496908568</c:v>
                </c:pt>
                <c:pt idx="1">
                  <c:v>0.2865389624198702</c:v>
                </c:pt>
                <c:pt idx="2">
                  <c:v>0.36349462656603043</c:v>
                </c:pt>
                <c:pt idx="3">
                  <c:v>0.45993419397671209</c:v>
                </c:pt>
                <c:pt idx="4">
                  <c:v>0.48335227560538596</c:v>
                </c:pt>
                <c:pt idx="5">
                  <c:v>0.48292633278680697</c:v>
                </c:pt>
                <c:pt idx="6">
                  <c:v>0.50942497890421268</c:v>
                </c:pt>
                <c:pt idx="7">
                  <c:v>0.52475129378737384</c:v>
                </c:pt>
                <c:pt idx="8">
                  <c:v>0.52587968275138364</c:v>
                </c:pt>
                <c:pt idx="9">
                  <c:v>0.52345771555943665</c:v>
                </c:pt>
                <c:pt idx="10">
                  <c:v>0.54041962040712677</c:v>
                </c:pt>
                <c:pt idx="11">
                  <c:v>7.8709249300730172E-2</c:v>
                </c:pt>
              </c:numCache>
            </c:numRef>
          </c:val>
        </c:ser>
        <c:ser>
          <c:idx val="1"/>
          <c:order val="1"/>
          <c:tx>
            <c:v>SOLVABILIDADE</c:v>
          </c:tx>
          <c:invertIfNegative val="0"/>
          <c:dLbls>
            <c:delete val="1"/>
          </c:dLbls>
          <c:val>
            <c:numRef>
              <c:f>'Indi. MENSAL'!$C$15:$N$15</c:f>
              <c:numCache>
                <c:formatCode>0%</c:formatCode>
                <c:ptCount val="12"/>
                <c:pt idx="0">
                  <c:v>0.31381057238658355</c:v>
                </c:pt>
                <c:pt idx="1">
                  <c:v>0.40161823467155855</c:v>
                </c:pt>
                <c:pt idx="2">
                  <c:v>0.57107864558151933</c:v>
                </c:pt>
                <c:pt idx="3">
                  <c:v>0.85162620711610004</c:v>
                </c:pt>
                <c:pt idx="4">
                  <c:v>0.93555483317333443</c:v>
                </c:pt>
                <c:pt idx="5">
                  <c:v>0.93396040720768914</c:v>
                </c:pt>
                <c:pt idx="6">
                  <c:v>1.0384242103609771</c:v>
                </c:pt>
                <c:pt idx="7">
                  <c:v>1.1041614357443408</c:v>
                </c:pt>
                <c:pt idx="8">
                  <c:v>1.109169262779401</c:v>
                </c:pt>
                <c:pt idx="9">
                  <c:v>1.0984496709960374</c:v>
                </c:pt>
                <c:pt idx="10">
                  <c:v>1.1758979373442058</c:v>
                </c:pt>
                <c:pt idx="11">
                  <c:v>8.5433669274318641E-2</c:v>
                </c:pt>
              </c:numCache>
            </c:numRef>
          </c:val>
        </c:ser>
        <c:ser>
          <c:idx val="2"/>
          <c:order val="2"/>
          <c:tx>
            <c:v>ENDIVIDAMENTO</c:v>
          </c:tx>
          <c:invertIfNegative val="0"/>
          <c:dLbls>
            <c:delete val="1"/>
          </c:dLbls>
          <c:val>
            <c:numRef>
              <c:f>'Indi. MENSAL'!$C$16:$N$16</c:f>
              <c:numCache>
                <c:formatCode>0%</c:formatCode>
                <c:ptCount val="12"/>
                <c:pt idx="0">
                  <c:v>0.76114473503091429</c:v>
                </c:pt>
                <c:pt idx="1">
                  <c:v>0.7134610375801298</c:v>
                </c:pt>
                <c:pt idx="2">
                  <c:v>0.6365053734339694</c:v>
                </c:pt>
                <c:pt idx="3">
                  <c:v>0.54006580602328791</c:v>
                </c:pt>
                <c:pt idx="4">
                  <c:v>0.51664772439461393</c:v>
                </c:pt>
                <c:pt idx="5">
                  <c:v>0.51707366721319303</c:v>
                </c:pt>
                <c:pt idx="6">
                  <c:v>0.49057502109578732</c:v>
                </c:pt>
                <c:pt idx="7">
                  <c:v>0.47524870621262627</c:v>
                </c:pt>
                <c:pt idx="8">
                  <c:v>0.47412031724861647</c:v>
                </c:pt>
                <c:pt idx="9">
                  <c:v>0.47654228444056312</c:v>
                </c:pt>
                <c:pt idx="10">
                  <c:v>0.45958037959287323</c:v>
                </c:pt>
                <c:pt idx="11">
                  <c:v>0.9212907506992698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62846720"/>
        <c:axId val="263090176"/>
      </c:barChart>
      <c:catAx>
        <c:axId val="262846720"/>
        <c:scaling>
          <c:orientation val="minMax"/>
        </c:scaling>
        <c:delete val="0"/>
        <c:axPos val="l"/>
        <c:majorTickMark val="none"/>
        <c:minorTickMark val="none"/>
        <c:tickLblPos val="nextTo"/>
        <c:crossAx val="263090176"/>
        <c:crosses val="autoZero"/>
        <c:auto val="1"/>
        <c:lblAlgn val="ctr"/>
        <c:lblOffset val="100"/>
        <c:noMultiLvlLbl val="0"/>
      </c:catAx>
      <c:valAx>
        <c:axId val="26309017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crossAx val="2628467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LÍQ. GERAL</c:v>
          </c:tx>
          <c:invertIfNegative val="0"/>
          <c:dLbls>
            <c:delete val="1"/>
          </c:dLbls>
          <c:val>
            <c:numRef>
              <c:f>'Indi. MENSAL'!$C$22:$N$22</c:f>
              <c:numCache>
                <c:formatCode>0%</c:formatCode>
                <c:ptCount val="12"/>
                <c:pt idx="0">
                  <c:v>1.2941067244439723</c:v>
                </c:pt>
                <c:pt idx="1">
                  <c:v>1.3810213773817073</c:v>
                </c:pt>
                <c:pt idx="2">
                  <c:v>1.5507290872777026</c:v>
                </c:pt>
                <c:pt idx="3">
                  <c:v>1.8316311274605457</c:v>
                </c:pt>
                <c:pt idx="4">
                  <c:v>1.9146851940723639</c:v>
                </c:pt>
                <c:pt idx="5">
                  <c:v>1.9143054800487986</c:v>
                </c:pt>
                <c:pt idx="6">
                  <c:v>2.0134221354037392</c:v>
                </c:pt>
                <c:pt idx="7">
                  <c:v>2.0780798559646638</c:v>
                </c:pt>
                <c:pt idx="8">
                  <c:v>2.0837923764538053</c:v>
                </c:pt>
                <c:pt idx="9">
                  <c:v>2.0738015279586675</c:v>
                </c:pt>
                <c:pt idx="10">
                  <c:v>2.1447530211077326</c:v>
                </c:pt>
                <c:pt idx="11">
                  <c:v>1.0624574240710085</c:v>
                </c:pt>
              </c:numCache>
            </c:numRef>
          </c:val>
        </c:ser>
        <c:ser>
          <c:idx val="1"/>
          <c:order val="1"/>
          <c:tx>
            <c:v>LÍQ. REDUZIDA</c:v>
          </c:tx>
          <c:invertIfNegative val="0"/>
          <c:dLbls>
            <c:delete val="1"/>
          </c:dLbls>
          <c:val>
            <c:numRef>
              <c:f>'Indi. MENSAL'!$C$23:$N$23</c:f>
              <c:numCache>
                <c:formatCode>0%</c:formatCode>
                <c:ptCount val="12"/>
                <c:pt idx="0">
                  <c:v>0.85100471371337494</c:v>
                </c:pt>
                <c:pt idx="1">
                  <c:v>0.87891777226353995</c:v>
                </c:pt>
                <c:pt idx="2">
                  <c:v>1.0325537950883079</c:v>
                </c:pt>
                <c:pt idx="3">
                  <c:v>1.2820238680108627</c:v>
                </c:pt>
                <c:pt idx="4">
                  <c:v>1.3085077219221359</c:v>
                </c:pt>
                <c:pt idx="5">
                  <c:v>1.2755002254010888</c:v>
                </c:pt>
                <c:pt idx="6">
                  <c:v>1.2944007469400143</c:v>
                </c:pt>
                <c:pt idx="7">
                  <c:v>1.2905440811196156</c:v>
                </c:pt>
                <c:pt idx="8">
                  <c:v>1.0329725194954487</c:v>
                </c:pt>
                <c:pt idx="9">
                  <c:v>1.0108653210735963</c:v>
                </c:pt>
                <c:pt idx="10">
                  <c:v>1.0705250073872621</c:v>
                </c:pt>
                <c:pt idx="11">
                  <c:v>1.0624574240710085</c:v>
                </c:pt>
              </c:numCache>
            </c:numRef>
          </c:val>
        </c:ser>
        <c:ser>
          <c:idx val="2"/>
          <c:order val="2"/>
          <c:tx>
            <c:v>LÍQ. IMEDIATA</c:v>
          </c:tx>
          <c:invertIfNegative val="0"/>
          <c:dLbls>
            <c:delete val="1"/>
          </c:dLbls>
          <c:val>
            <c:numRef>
              <c:f>'Indi. MENSAL'!$C$24:$N$24</c:f>
              <c:numCache>
                <c:formatCode>0%</c:formatCode>
                <c:ptCount val="12"/>
                <c:pt idx="0">
                  <c:v>0.22306399228501583</c:v>
                </c:pt>
                <c:pt idx="1">
                  <c:v>0.23630871584748026</c:v>
                </c:pt>
                <c:pt idx="2">
                  <c:v>0.34751322637511967</c:v>
                </c:pt>
                <c:pt idx="3">
                  <c:v>0.61828289616824439</c:v>
                </c:pt>
                <c:pt idx="4">
                  <c:v>0.64171415216101935</c:v>
                </c:pt>
                <c:pt idx="5">
                  <c:v>0.62325971235243383</c:v>
                </c:pt>
                <c:pt idx="6">
                  <c:v>0.62434238575577006</c:v>
                </c:pt>
                <c:pt idx="7">
                  <c:v>0.60232009295080169</c:v>
                </c:pt>
                <c:pt idx="8">
                  <c:v>0.3495353584236579</c:v>
                </c:pt>
                <c:pt idx="9">
                  <c:v>0.37436434701785909</c:v>
                </c:pt>
                <c:pt idx="10">
                  <c:v>0.36354709863520457</c:v>
                </c:pt>
                <c:pt idx="11">
                  <c:v>0.35824561289299833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1971712"/>
        <c:axId val="131977600"/>
        <c:axId val="0"/>
      </c:bar3DChart>
      <c:catAx>
        <c:axId val="131971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977600"/>
        <c:crosses val="autoZero"/>
        <c:auto val="1"/>
        <c:lblAlgn val="ctr"/>
        <c:lblOffset val="100"/>
        <c:noMultiLvlLbl val="0"/>
      </c:catAx>
      <c:valAx>
        <c:axId val="13197760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3197171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REND. DOS CP</c:v>
          </c:tx>
          <c:invertIfNegative val="0"/>
          <c:val>
            <c:numRef>
              <c:f>'Indi. MENSAL'!$C$29:$N$29</c:f>
              <c:numCache>
                <c:formatCode>0%</c:formatCode>
                <c:ptCount val="12"/>
                <c:pt idx="0">
                  <c:v>0.23362555508274901</c:v>
                </c:pt>
                <c:pt idx="1">
                  <c:v>0.20798800976744497</c:v>
                </c:pt>
                <c:pt idx="2">
                  <c:v>0.30518125053416978</c:v>
                </c:pt>
                <c:pt idx="3">
                  <c:v>0.35175980301254356</c:v>
                </c:pt>
                <c:pt idx="4">
                  <c:v>9.5403008721694674E-2</c:v>
                </c:pt>
                <c:pt idx="5">
                  <c:v>5.6596939802795766E-2</c:v>
                </c:pt>
                <c:pt idx="6">
                  <c:v>0.11660749086064837</c:v>
                </c:pt>
                <c:pt idx="7">
                  <c:v>3.7320155051941556E-2</c:v>
                </c:pt>
                <c:pt idx="8">
                  <c:v>3.141176459388411E-2</c:v>
                </c:pt>
                <c:pt idx="9">
                  <c:v>1.9238217828616896E-2</c:v>
                </c:pt>
                <c:pt idx="10">
                  <c:v>9.9158962427556036E-2</c:v>
                </c:pt>
                <c:pt idx="11">
                  <c:v>-13.156667547758266</c:v>
                </c:pt>
              </c:numCache>
            </c:numRef>
          </c:val>
        </c:ser>
        <c:ser>
          <c:idx val="1"/>
          <c:order val="1"/>
          <c:tx>
            <c:v>REND. ACTIVOS</c:v>
          </c:tx>
          <c:invertIfNegative val="0"/>
          <c:val>
            <c:numRef>
              <c:f>'Indi. MENSAL'!$C$30:$N$30</c:f>
              <c:numCache>
                <c:formatCode>0%</c:formatCode>
                <c:ptCount val="12"/>
                <c:pt idx="0">
                  <c:v>6.4616563861191439E-2</c:v>
                </c:pt>
                <c:pt idx="1">
                  <c:v>5.9493379172100583E-2</c:v>
                </c:pt>
                <c:pt idx="2">
                  <c:v>0.11066702358067283</c:v>
                </c:pt>
                <c:pt idx="3">
                  <c:v>0.16334861877662088</c:v>
                </c:pt>
                <c:pt idx="4">
                  <c:v>4.6137441291229542E-2</c:v>
                </c:pt>
                <c:pt idx="5">
                  <c:v>2.7142092373503776E-2</c:v>
                </c:pt>
                <c:pt idx="6">
                  <c:v>5.8960778547466182E-2</c:v>
                </c:pt>
                <c:pt idx="7">
                  <c:v>1.9891821089313109E-2</c:v>
                </c:pt>
                <c:pt idx="8">
                  <c:v>1.6773198126091831E-2</c:v>
                </c:pt>
                <c:pt idx="9">
                  <c:v>1.0100478233639579E-2</c:v>
                </c:pt>
                <c:pt idx="10">
                  <c:v>5.4118390631244261E-2</c:v>
                </c:pt>
                <c:pt idx="11">
                  <c:v>-1.0272817062165782</c:v>
                </c:pt>
              </c:numCache>
            </c:numRef>
          </c:val>
        </c:ser>
        <c:ser>
          <c:idx val="2"/>
          <c:order val="2"/>
          <c:tx>
            <c:v>REND. VENDAS</c:v>
          </c:tx>
          <c:invertIfNegative val="0"/>
          <c:val>
            <c:numRef>
              <c:f>'Indi. MENSAL'!$C$31:$N$31</c:f>
              <c:numCache>
                <c:formatCode>0%</c:formatCode>
                <c:ptCount val="12"/>
                <c:pt idx="0">
                  <c:v>0.57111596190729819</c:v>
                </c:pt>
                <c:pt idx="1">
                  <c:v>0.78817539481358923</c:v>
                </c:pt>
                <c:pt idx="2">
                  <c:v>0.84159418824342935</c:v>
                </c:pt>
                <c:pt idx="3">
                  <c:v>0.94984763930083482</c:v>
                </c:pt>
                <c:pt idx="4">
                  <c:v>0.80152427142886895</c:v>
                </c:pt>
                <c:pt idx="5">
                  <c:v>0.48951124889960618</c:v>
                </c:pt>
                <c:pt idx="6">
                  <c:v>0.83012130655535299</c:v>
                </c:pt>
                <c:pt idx="7">
                  <c:v>0.58352131573620936</c:v>
                </c:pt>
                <c:pt idx="8">
                  <c:v>0.53758077410126415</c:v>
                </c:pt>
                <c:pt idx="9">
                  <c:v>0.32785453558230054</c:v>
                </c:pt>
                <c:pt idx="10">
                  <c:v>0.81606517228751252</c:v>
                </c:pt>
                <c:pt idx="11">
                  <c:v>-10.63709792560287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31987328"/>
        <c:axId val="131988864"/>
        <c:axId val="0"/>
      </c:bar3DChart>
      <c:catAx>
        <c:axId val="131987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988864"/>
        <c:crosses val="autoZero"/>
        <c:auto val="1"/>
        <c:lblAlgn val="ctr"/>
        <c:lblOffset val="100"/>
        <c:noMultiLvlLbl val="0"/>
      </c:catAx>
      <c:valAx>
        <c:axId val="13198886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319873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v>2018</c:v>
          </c:tx>
          <c:invertIfNegative val="0"/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2019</c:v>
          </c:tx>
          <c:invertIfNegative val="0"/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2"/>
          <c:tx>
            <c:v>2020</c:v>
          </c:tx>
          <c:invertIfNegative val="0"/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32077824"/>
        <c:axId val="132079616"/>
        <c:axId val="0"/>
      </c:bar3DChart>
      <c:catAx>
        <c:axId val="1320778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2079616"/>
        <c:crosses val="autoZero"/>
        <c:auto val="1"/>
        <c:lblAlgn val="ctr"/>
        <c:lblOffset val="100"/>
        <c:noMultiLvlLbl val="0"/>
      </c:catAx>
      <c:valAx>
        <c:axId val="1320796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20778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VALOR DO CAPITAL</c:v>
          </c:tx>
          <c:val>
            <c:numRef>
              <c:f>'Indi. MENSAL'!$C$45:$N$45</c:f>
              <c:numCache>
                <c:formatCode>#,##0.00</c:formatCode>
                <c:ptCount val="12"/>
                <c:pt idx="0">
                  <c:v>75504548.780000001</c:v>
                </c:pt>
                <c:pt idx="1">
                  <c:v>95332582.980000004</c:v>
                </c:pt>
                <c:pt idx="2">
                  <c:v>137204966.12</c:v>
                </c:pt>
                <c:pt idx="3">
                  <c:v>211657602.78</c:v>
                </c:pt>
                <c:pt idx="4">
                  <c:v>233979998.62999997</c:v>
                </c:pt>
                <c:pt idx="5">
                  <c:v>248017001.95999998</c:v>
                </c:pt>
                <c:pt idx="6">
                  <c:v>280755156.27999997</c:v>
                </c:pt>
                <c:pt idx="7">
                  <c:v>291639175.52999997</c:v>
                </c:pt>
                <c:pt idx="8">
                  <c:v>301097168.91999996</c:v>
                </c:pt>
                <c:pt idx="9">
                  <c:v>307003366.55999994</c:v>
                </c:pt>
                <c:pt idx="10">
                  <c:v>340796382.21999991</c:v>
                </c:pt>
                <c:pt idx="11">
                  <c:v>24073206.569999993</c:v>
                </c:pt>
              </c:numCache>
            </c:numRef>
          </c:val>
          <c:smooth val="0"/>
        </c:ser>
        <c:ser>
          <c:idx val="1"/>
          <c:order val="1"/>
          <c:tx>
            <c:v>VALOR DA FIRMA</c:v>
          </c:tx>
          <c:val>
            <c:numRef>
              <c:f>'Indi. MENSAL'!$C$46:$N$46</c:f>
              <c:numCache>
                <c:formatCode>#,##0.00</c:formatCode>
                <c:ptCount val="12"/>
                <c:pt idx="0">
                  <c:v>186935074.39000002</c:v>
                </c:pt>
                <c:pt idx="1">
                  <c:v>181278279.80000001</c:v>
                </c:pt>
                <c:pt idx="2">
                  <c:v>156763742.36999997</c:v>
                </c:pt>
                <c:pt idx="3">
                  <c:v>94869470.270000041</c:v>
                </c:pt>
                <c:pt idx="4">
                  <c:v>89606423.069999993</c:v>
                </c:pt>
                <c:pt idx="5">
                  <c:v>100044922.61000001</c:v>
                </c:pt>
                <c:pt idx="6">
                  <c:v>101565247.74999997</c:v>
                </c:pt>
                <c:pt idx="7">
                  <c:v>105038118.94</c:v>
                </c:pt>
                <c:pt idx="8">
                  <c:v>176576351.90000004</c:v>
                </c:pt>
                <c:pt idx="9">
                  <c:v>174857580.44</c:v>
                </c:pt>
                <c:pt idx="10">
                  <c:v>184455503.62</c:v>
                </c:pt>
                <c:pt idx="11">
                  <c:v>180831352.07999998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94688"/>
        <c:axId val="132196224"/>
      </c:lineChart>
      <c:catAx>
        <c:axId val="132194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2196224"/>
        <c:crosses val="autoZero"/>
        <c:auto val="1"/>
        <c:lblAlgn val="ctr"/>
        <c:lblOffset val="100"/>
        <c:noMultiLvlLbl val="0"/>
      </c:catAx>
      <c:valAx>
        <c:axId val="132196224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spPr>
          <a:ln w="6350">
            <a:noFill/>
          </a:ln>
        </c:spPr>
        <c:crossAx val="1321946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LUCRO POR AÇÃO</c:v>
          </c:tx>
          <c:invertIfNegative val="0"/>
          <c:dLbls>
            <c:delete val="1"/>
          </c:dLbls>
          <c:val>
            <c:numRef>
              <c:f>'Indi. MENSAL'!$C$47:$N$47</c:f>
              <c:numCache>
                <c:formatCode>#,##0.00</c:formatCode>
                <c:ptCount val="12"/>
                <c:pt idx="0">
                  <c:v>17.639792120000003</c:v>
                </c:pt>
                <c:pt idx="1">
                  <c:v>19.828034199999998</c:v>
                </c:pt>
                <c:pt idx="2">
                  <c:v>41.872383140000004</c:v>
                </c:pt>
                <c:pt idx="3">
                  <c:v>74.452636659999996</c:v>
                </c:pt>
                <c:pt idx="4">
                  <c:v>22.322395849999992</c:v>
                </c:pt>
                <c:pt idx="5">
                  <c:v>14.037003329999997</c:v>
                </c:pt>
                <c:pt idx="6">
                  <c:v>32.73815432</c:v>
                </c:pt>
                <c:pt idx="7">
                  <c:v>10.884019249999998</c:v>
                </c:pt>
                <c:pt idx="8">
                  <c:v>9.4579933899999986</c:v>
                </c:pt>
                <c:pt idx="9">
                  <c:v>5.9061976399999985</c:v>
                </c:pt>
                <c:pt idx="10">
                  <c:v>33.793015659999995</c:v>
                </c:pt>
                <c:pt idx="11">
                  <c:v>-316.72317564999997</c:v>
                </c:pt>
              </c:numCache>
            </c:numRef>
          </c:val>
        </c:ser>
        <c:ser>
          <c:idx val="1"/>
          <c:order val="1"/>
          <c:tx>
            <c:v>LUCRO POR AÇÃO ACUMULADO</c:v>
          </c:tx>
          <c:invertIfNegative val="0"/>
          <c:dLbls>
            <c:delete val="1"/>
          </c:dLbls>
          <c:val>
            <c:numRef>
              <c:f>'Indi. MENSAL'!$C$48:$N$48</c:f>
              <c:numCache>
                <c:formatCode>#,##0.00</c:formatCode>
                <c:ptCount val="12"/>
                <c:pt idx="0">
                  <c:v>75.504548780000007</c:v>
                </c:pt>
                <c:pt idx="1">
                  <c:v>95.332582979999998</c:v>
                </c:pt>
                <c:pt idx="2">
                  <c:v>137.20496611999999</c:v>
                </c:pt>
                <c:pt idx="3">
                  <c:v>211.65760277999999</c:v>
                </c:pt>
                <c:pt idx="4">
                  <c:v>233.97999862999995</c:v>
                </c:pt>
                <c:pt idx="5">
                  <c:v>248.01700195999999</c:v>
                </c:pt>
                <c:pt idx="6">
                  <c:v>280.75515627999999</c:v>
                </c:pt>
                <c:pt idx="7">
                  <c:v>291.63917552999999</c:v>
                </c:pt>
                <c:pt idx="8">
                  <c:v>301.09716891999994</c:v>
                </c:pt>
                <c:pt idx="9">
                  <c:v>307.00336655999996</c:v>
                </c:pt>
                <c:pt idx="10">
                  <c:v>340.79638221999988</c:v>
                </c:pt>
                <c:pt idx="11">
                  <c:v>24.073206569999993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2237952"/>
        <c:axId val="132243840"/>
      </c:barChart>
      <c:catAx>
        <c:axId val="132237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2243840"/>
        <c:crosses val="autoZero"/>
        <c:auto val="1"/>
        <c:lblAlgn val="ctr"/>
        <c:lblOffset val="100"/>
        <c:noMultiLvlLbl val="0"/>
      </c:catAx>
      <c:valAx>
        <c:axId val="132243840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crossAx val="1322379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INVESTIMENTO</c:v>
          </c:tx>
          <c:invertIfNegative val="0"/>
          <c:val>
            <c:numRef>
              <c:f>'Indi. TRI'!$C$5:$F$5</c:f>
              <c:numCache>
                <c:formatCode>_-* #,##0.00_-;\-* #,##0.00_-;_-* "-"??_-;_-@_-</c:formatCode>
                <c:ptCount val="4"/>
                <c:pt idx="0">
                  <c:v>4889099.74</c:v>
                </c:pt>
                <c:pt idx="1">
                  <c:v>5219446.209999999</c:v>
                </c:pt>
                <c:pt idx="2">
                  <c:v>6888857.1699999999</c:v>
                </c:pt>
                <c:pt idx="3">
                  <c:v>6474167.6399999997</c:v>
                </c:pt>
              </c:numCache>
            </c:numRef>
          </c:val>
        </c:ser>
        <c:ser>
          <c:idx val="2"/>
          <c:order val="1"/>
          <c:tx>
            <c:v>VOL. DE NEGÓCIO</c:v>
          </c:tx>
          <c:invertIfNegative val="0"/>
          <c:val>
            <c:numRef>
              <c:f>'Indi. TRI'!$C$7:$F$7</c:f>
              <c:numCache>
                <c:formatCode>_-* #,##0.00_-;\-* #,##0.00_-;_-* "-"??_-;_-@_-</c:formatCode>
                <c:ptCount val="4"/>
                <c:pt idx="0">
                  <c:v>110513170.91000001</c:v>
                </c:pt>
                <c:pt idx="1">
                  <c:v>135481345.5</c:v>
                </c:pt>
                <c:pt idx="2">
                  <c:v>75954598.879999995</c:v>
                </c:pt>
                <c:pt idx="3">
                  <c:v>89668689.069999993</c:v>
                </c:pt>
              </c:numCache>
            </c:numRef>
          </c:val>
        </c:ser>
        <c:ser>
          <c:idx val="1"/>
          <c:order val="2"/>
          <c:tx>
            <c:v>FLUXO DE CAIXA</c:v>
          </c:tx>
          <c:invertIfNegative val="0"/>
          <c:val>
            <c:numRef>
              <c:f>'Indi. TRI'!$C$9:$F$9</c:f>
              <c:numCache>
                <c:formatCode>_-* #,##0.00_-;\-* #,##0.00_-;_-* "-"??_-;_-@_-</c:formatCode>
                <c:ptCount val="4"/>
                <c:pt idx="0">
                  <c:v>83492073.849999994</c:v>
                </c:pt>
                <c:pt idx="1">
                  <c:v>165509163.03</c:v>
                </c:pt>
                <c:pt idx="2">
                  <c:v>94885524.140000001</c:v>
                </c:pt>
                <c:pt idx="3">
                  <c:v>100945221.19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81856"/>
        <c:axId val="132283392"/>
      </c:barChart>
      <c:catAx>
        <c:axId val="13228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2283392"/>
        <c:crosses val="autoZero"/>
        <c:auto val="1"/>
        <c:lblAlgn val="ctr"/>
        <c:lblOffset val="100"/>
        <c:noMultiLvlLbl val="0"/>
      </c:catAx>
      <c:valAx>
        <c:axId val="132283392"/>
        <c:scaling>
          <c:orientation val="minMax"/>
        </c:scaling>
        <c:delete val="0"/>
        <c:axPos val="l"/>
        <c:majorGridlines/>
        <c:numFmt formatCode="_-* #,##0.00_-;\-* #,##0.00_-;_-* &quot;-&quot;??_-;_-@_-" sourceLinked="1"/>
        <c:majorTickMark val="out"/>
        <c:minorTickMark val="none"/>
        <c:tickLblPos val="nextTo"/>
        <c:crossAx val="13228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158002</xdr:colOff>
      <xdr:row>2</xdr:row>
      <xdr:rowOff>58644</xdr:rowOff>
    </xdr:from>
    <xdr:to>
      <xdr:col>4</xdr:col>
      <xdr:colOff>291352</xdr:colOff>
      <xdr:row>2</xdr:row>
      <xdr:rowOff>141194</xdr:rowOff>
    </xdr:to>
    <xdr:sp macro="" textlink="">
      <xdr:nvSpPr>
        <xdr:cNvPr id="2" name="Seta para a direita 1"/>
        <xdr:cNvSpPr/>
      </xdr:nvSpPr>
      <xdr:spPr>
        <a:xfrm>
          <a:off x="2847414" y="574115"/>
          <a:ext cx="133350" cy="82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</xdr:col>
      <xdr:colOff>160618</xdr:colOff>
      <xdr:row>3</xdr:row>
      <xdr:rowOff>56030</xdr:rowOff>
    </xdr:from>
    <xdr:to>
      <xdr:col>4</xdr:col>
      <xdr:colOff>293968</xdr:colOff>
      <xdr:row>3</xdr:row>
      <xdr:rowOff>138580</xdr:rowOff>
    </xdr:to>
    <xdr:sp macro="" textlink="">
      <xdr:nvSpPr>
        <xdr:cNvPr id="3" name="Seta para a direita 2"/>
        <xdr:cNvSpPr/>
      </xdr:nvSpPr>
      <xdr:spPr>
        <a:xfrm>
          <a:off x="2850030" y="754530"/>
          <a:ext cx="133350" cy="82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</xdr:col>
      <xdr:colOff>164354</xdr:colOff>
      <xdr:row>6</xdr:row>
      <xdr:rowOff>56029</xdr:rowOff>
    </xdr:from>
    <xdr:to>
      <xdr:col>4</xdr:col>
      <xdr:colOff>297704</xdr:colOff>
      <xdr:row>6</xdr:row>
      <xdr:rowOff>138579</xdr:rowOff>
    </xdr:to>
    <xdr:sp macro="" textlink="">
      <xdr:nvSpPr>
        <xdr:cNvPr id="4" name="Seta para a direita 3"/>
        <xdr:cNvSpPr/>
      </xdr:nvSpPr>
      <xdr:spPr>
        <a:xfrm>
          <a:off x="2853766" y="1311088"/>
          <a:ext cx="133350" cy="82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</xdr:col>
      <xdr:colOff>160618</xdr:colOff>
      <xdr:row>4</xdr:row>
      <xdr:rowOff>52294</xdr:rowOff>
    </xdr:from>
    <xdr:to>
      <xdr:col>4</xdr:col>
      <xdr:colOff>293968</xdr:colOff>
      <xdr:row>4</xdr:row>
      <xdr:rowOff>134844</xdr:rowOff>
    </xdr:to>
    <xdr:sp macro="" textlink="">
      <xdr:nvSpPr>
        <xdr:cNvPr id="5" name="Seta para a direita 4"/>
        <xdr:cNvSpPr/>
      </xdr:nvSpPr>
      <xdr:spPr>
        <a:xfrm>
          <a:off x="2850030" y="933823"/>
          <a:ext cx="133350" cy="82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</xdr:col>
      <xdr:colOff>156882</xdr:colOff>
      <xdr:row>5</xdr:row>
      <xdr:rowOff>59765</xdr:rowOff>
    </xdr:from>
    <xdr:to>
      <xdr:col>4</xdr:col>
      <xdr:colOff>290232</xdr:colOff>
      <xdr:row>5</xdr:row>
      <xdr:rowOff>142315</xdr:rowOff>
    </xdr:to>
    <xdr:sp macro="" textlink="">
      <xdr:nvSpPr>
        <xdr:cNvPr id="6" name="Seta para a direita 5"/>
        <xdr:cNvSpPr/>
      </xdr:nvSpPr>
      <xdr:spPr>
        <a:xfrm>
          <a:off x="2846294" y="1124324"/>
          <a:ext cx="133350" cy="82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 editAs="oneCell">
    <xdr:from>
      <xdr:col>1</xdr:col>
      <xdr:colOff>11205</xdr:colOff>
      <xdr:row>1</xdr:row>
      <xdr:rowOff>3734</xdr:rowOff>
    </xdr:from>
    <xdr:to>
      <xdr:col>2</xdr:col>
      <xdr:colOff>93382</xdr:colOff>
      <xdr:row>1</xdr:row>
      <xdr:rowOff>475188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058" y="194234"/>
          <a:ext cx="814295" cy="471454"/>
        </a:xfrm>
        <a:prstGeom prst="rect">
          <a:avLst/>
        </a:prstGeom>
      </xdr:spPr>
    </xdr:pic>
    <xdr:clientData/>
  </xdr:twoCellAnchor>
  <xdr:twoCellAnchor editAs="oneCell">
    <xdr:from>
      <xdr:col>6</xdr:col>
      <xdr:colOff>664882</xdr:colOff>
      <xdr:row>1</xdr:row>
      <xdr:rowOff>3734</xdr:rowOff>
    </xdr:from>
    <xdr:to>
      <xdr:col>7</xdr:col>
      <xdr:colOff>754532</xdr:colOff>
      <xdr:row>1</xdr:row>
      <xdr:rowOff>470864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5735" y="194234"/>
          <a:ext cx="806826" cy="4671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12</xdr:col>
      <xdr:colOff>0</xdr:colOff>
      <xdr:row>15</xdr:row>
      <xdr:rowOff>165100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12</xdr:col>
      <xdr:colOff>0</xdr:colOff>
      <xdr:row>30</xdr:row>
      <xdr:rowOff>165100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31</xdr:row>
      <xdr:rowOff>158750</xdr:rowOff>
    </xdr:from>
    <xdr:to>
      <xdr:col>11</xdr:col>
      <xdr:colOff>596900</xdr:colOff>
      <xdr:row>51</xdr:row>
      <xdr:rowOff>165100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11</xdr:col>
      <xdr:colOff>596900</xdr:colOff>
      <xdr:row>70</xdr:row>
      <xdr:rowOff>165100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11</xdr:col>
      <xdr:colOff>596900</xdr:colOff>
      <xdr:row>89</xdr:row>
      <xdr:rowOff>61579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11</xdr:col>
      <xdr:colOff>584200</xdr:colOff>
      <xdr:row>105</xdr:row>
      <xdr:rowOff>125079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11</xdr:col>
      <xdr:colOff>603250</xdr:colOff>
      <xdr:row>122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124</xdr:row>
      <xdr:rowOff>0</xdr:rowOff>
    </xdr:from>
    <xdr:to>
      <xdr:col>11</xdr:col>
      <xdr:colOff>603250</xdr:colOff>
      <xdr:row>138</xdr:row>
      <xdr:rowOff>90394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22</xdr:col>
      <xdr:colOff>603250</xdr:colOff>
      <xdr:row>15</xdr:row>
      <xdr:rowOff>165100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22</xdr:col>
      <xdr:colOff>603250</xdr:colOff>
      <xdr:row>30</xdr:row>
      <xdr:rowOff>165100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23</xdr:col>
      <xdr:colOff>6350</xdr:colOff>
      <xdr:row>52</xdr:row>
      <xdr:rowOff>6350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54</xdr:row>
      <xdr:rowOff>0</xdr:rowOff>
    </xdr:from>
    <xdr:to>
      <xdr:col>22</xdr:col>
      <xdr:colOff>603250</xdr:colOff>
      <xdr:row>70</xdr:row>
      <xdr:rowOff>165100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73</xdr:row>
      <xdr:rowOff>0</xdr:rowOff>
    </xdr:from>
    <xdr:to>
      <xdr:col>22</xdr:col>
      <xdr:colOff>603250</xdr:colOff>
      <xdr:row>89</xdr:row>
      <xdr:rowOff>61579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91</xdr:row>
      <xdr:rowOff>0</xdr:rowOff>
    </xdr:from>
    <xdr:to>
      <xdr:col>22</xdr:col>
      <xdr:colOff>603250</xdr:colOff>
      <xdr:row>105</xdr:row>
      <xdr:rowOff>125079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108</xdr:row>
      <xdr:rowOff>0</xdr:rowOff>
    </xdr:from>
    <xdr:to>
      <xdr:col>22</xdr:col>
      <xdr:colOff>603250</xdr:colOff>
      <xdr:row>122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124</xdr:row>
      <xdr:rowOff>0</xdr:rowOff>
    </xdr:from>
    <xdr:to>
      <xdr:col>22</xdr:col>
      <xdr:colOff>584200</xdr:colOff>
      <xdr:row>138</xdr:row>
      <xdr:rowOff>90394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0</xdr:colOff>
      <xdr:row>3</xdr:row>
      <xdr:rowOff>0</xdr:rowOff>
    </xdr:from>
    <xdr:to>
      <xdr:col>33</xdr:col>
      <xdr:colOff>603250</xdr:colOff>
      <xdr:row>15</xdr:row>
      <xdr:rowOff>165100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18</xdr:row>
      <xdr:rowOff>0</xdr:rowOff>
    </xdr:from>
    <xdr:to>
      <xdr:col>33</xdr:col>
      <xdr:colOff>603250</xdr:colOff>
      <xdr:row>30</xdr:row>
      <xdr:rowOff>165100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0</xdr:colOff>
      <xdr:row>32</xdr:row>
      <xdr:rowOff>0</xdr:rowOff>
    </xdr:from>
    <xdr:to>
      <xdr:col>34</xdr:col>
      <xdr:colOff>6350</xdr:colOff>
      <xdr:row>52</xdr:row>
      <xdr:rowOff>6350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54</xdr:row>
      <xdr:rowOff>0</xdr:rowOff>
    </xdr:from>
    <xdr:to>
      <xdr:col>33</xdr:col>
      <xdr:colOff>603250</xdr:colOff>
      <xdr:row>70</xdr:row>
      <xdr:rowOff>165100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0</xdr:colOff>
      <xdr:row>73</xdr:row>
      <xdr:rowOff>0</xdr:rowOff>
    </xdr:from>
    <xdr:to>
      <xdr:col>33</xdr:col>
      <xdr:colOff>603250</xdr:colOff>
      <xdr:row>89</xdr:row>
      <xdr:rowOff>61579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0</xdr:colOff>
      <xdr:row>91</xdr:row>
      <xdr:rowOff>0</xdr:rowOff>
    </xdr:from>
    <xdr:to>
      <xdr:col>33</xdr:col>
      <xdr:colOff>603250</xdr:colOff>
      <xdr:row>105</xdr:row>
      <xdr:rowOff>125079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0</xdr:colOff>
      <xdr:row>108</xdr:row>
      <xdr:rowOff>0</xdr:rowOff>
    </xdr:from>
    <xdr:to>
      <xdr:col>33</xdr:col>
      <xdr:colOff>603250</xdr:colOff>
      <xdr:row>122</xdr:row>
      <xdr:rowOff>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0</xdr:colOff>
      <xdr:row>124</xdr:row>
      <xdr:rowOff>0</xdr:rowOff>
    </xdr:from>
    <xdr:to>
      <xdr:col>33</xdr:col>
      <xdr:colOff>584200</xdr:colOff>
      <xdr:row>138</xdr:row>
      <xdr:rowOff>90394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abela249" displayName="Tabela249" ref="B21:E24" totalsRowShown="0" headerRowDxfId="50" dataDxfId="48" headerRowBorderDxfId="49" tableBorderDxfId="47" totalsRowBorderDxfId="46">
  <autoFilter ref="B21:E24"/>
  <tableColumns count="4">
    <tableColumn id="1" name="Indicadores" dataDxfId="45"/>
    <tableColumn id="2" name="JANEIRO" dataDxfId="44" dataCellStyle="Percentagem"/>
    <tableColumn id="3" name="FEVEREIRO" dataDxfId="43" dataCellStyle="Percentagem"/>
    <tableColumn id="4" name="MARÇO" dataDxfId="42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9" name="Tabela7510" displayName="Tabela7510" ref="B35:E40" totalsRowShown="0" headerRowDxfId="41" dataDxfId="39" headerRowBorderDxfId="40" tableBorderDxfId="38">
  <autoFilter ref="B35:E40"/>
  <tableColumns count="4">
    <tableColumn id="1" name="Indicadores" dataDxfId="37"/>
    <tableColumn id="2" name="JANEIRO" dataDxfId="36" dataCellStyle="Vírgula"/>
    <tableColumn id="3" name="FEVEREIRO" dataDxfId="35" dataCellStyle="Vírgula"/>
    <tableColumn id="4" name="MARÇO" dataDxfId="34" dataCellStyle="Vírgul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ela246" displayName="Tabela246" ref="B21:E24" totalsRowShown="0" headerRowDxfId="33" dataDxfId="31" headerRowBorderDxfId="32" tableBorderDxfId="30" totalsRowBorderDxfId="29">
  <autoFilter ref="B21:E24"/>
  <tableColumns count="4">
    <tableColumn id="1" name="Indicadores" dataDxfId="28"/>
    <tableColumn id="2" name="1º TRI" dataDxfId="5" dataCellStyle="Percentagem"/>
    <tableColumn id="3" name="2º TRI" dataDxfId="4" dataCellStyle="Percentagem"/>
    <tableColumn id="4" name="3º TRI" dataDxfId="3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6" name="Tabela757" displayName="Tabela757" ref="B35:E40" totalsRowShown="0" headerRowDxfId="27" dataDxfId="25" headerRowBorderDxfId="26" tableBorderDxfId="24">
  <autoFilter ref="B35:E40"/>
  <tableColumns count="4">
    <tableColumn id="1" name="Indicadores" dataDxfId="23"/>
    <tableColumn id="2" name="1º TRI" dataDxfId="22" dataCellStyle="Vírgula"/>
    <tableColumn id="3" name="2º TRI" dataDxfId="21" dataCellStyle="Vírgula"/>
    <tableColumn id="4" name="3º TRI" dataDxfId="20" dataCellStyle="Vírgul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B21:E24" totalsRowShown="0" headerRowDxfId="19" dataDxfId="17" headerRowBorderDxfId="18" tableBorderDxfId="16" totalsRowBorderDxfId="15">
  <autoFilter ref="B21:E24"/>
  <tableColumns count="4">
    <tableColumn id="1" name="Indicadores" dataDxfId="14"/>
    <tableColumn id="2" name="2020" dataDxfId="2" dataCellStyle="Percentagem"/>
    <tableColumn id="3" name="2019" dataDxfId="1" dataCellStyle="Percentagem"/>
    <tableColumn id="4" name="2018" dataDxfId="0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4" name="Tabela75" displayName="Tabela75" ref="B35:E40" totalsRowShown="0" headerRowDxfId="13" dataDxfId="11" headerRowBorderDxfId="12" tableBorderDxfId="10">
  <autoFilter ref="B35:E40"/>
  <tableColumns count="4">
    <tableColumn id="1" name="Indicadores" dataDxfId="9"/>
    <tableColumn id="2" name="2020" dataDxfId="8" dataCellStyle="Vírgula"/>
    <tableColumn id="3" name="2019" dataDxfId="7" dataCellStyle="Vírgula"/>
    <tableColumn id="4" name="2018" dataDxfId="6" dataCellStyle="Vírgula">
      <calculatedColumnFormula>(O29/E24)*365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/>
  <dimension ref="B1:H8"/>
  <sheetViews>
    <sheetView tabSelected="1" zoomScale="170" zoomScaleNormal="170" workbookViewId="0">
      <selection activeCell="B10" sqref="B10"/>
    </sheetView>
  </sheetViews>
  <sheetFormatPr defaultRowHeight="14.5" x14ac:dyDescent="0.35"/>
  <cols>
    <col min="2" max="2" width="10.453125" customWidth="1"/>
    <col min="3" max="3" width="9.453125" customWidth="1"/>
    <col min="4" max="4" width="9.81640625" customWidth="1"/>
    <col min="5" max="5" width="7" customWidth="1"/>
    <col min="6" max="6" width="10.453125" customWidth="1"/>
    <col min="7" max="7" width="10.26953125" customWidth="1"/>
    <col min="8" max="8" width="11" customWidth="1"/>
  </cols>
  <sheetData>
    <row r="1" spans="2:8" ht="15" thickBot="1" x14ac:dyDescent="0.4"/>
    <row r="2" spans="2:8" ht="37.5" customHeight="1" thickBot="1" x14ac:dyDescent="0.4">
      <c r="B2" s="447" t="s">
        <v>182</v>
      </c>
      <c r="C2" s="448"/>
      <c r="D2" s="448"/>
      <c r="E2" s="448"/>
      <c r="F2" s="448"/>
      <c r="G2" s="448"/>
      <c r="H2" s="449"/>
    </row>
    <row r="3" spans="2:8" x14ac:dyDescent="0.35">
      <c r="B3" s="316" t="s">
        <v>183</v>
      </c>
      <c r="C3" s="317"/>
      <c r="D3" s="319"/>
      <c r="E3" s="318"/>
      <c r="F3" s="316" t="s">
        <v>185</v>
      </c>
      <c r="G3" s="317"/>
      <c r="H3" s="319"/>
    </row>
    <row r="4" spans="2:8" x14ac:dyDescent="0.35">
      <c r="B4" s="320" t="s">
        <v>184</v>
      </c>
      <c r="C4" s="321"/>
      <c r="D4" s="323"/>
      <c r="E4" s="322"/>
      <c r="F4" s="320" t="s">
        <v>186</v>
      </c>
      <c r="G4" s="321"/>
      <c r="H4" s="323"/>
    </row>
    <row r="5" spans="2:8" x14ac:dyDescent="0.35">
      <c r="B5" s="320" t="s">
        <v>189</v>
      </c>
      <c r="C5" s="321"/>
      <c r="D5" s="323"/>
      <c r="E5" s="324"/>
      <c r="F5" s="320" t="s">
        <v>187</v>
      </c>
      <c r="G5" s="321"/>
      <c r="H5" s="323"/>
    </row>
    <row r="6" spans="2:8" ht="15" thickBot="1" x14ac:dyDescent="0.4">
      <c r="B6" s="320" t="s">
        <v>190</v>
      </c>
      <c r="C6" s="321"/>
      <c r="D6" s="323"/>
      <c r="E6" s="324"/>
      <c r="F6" s="320" t="s">
        <v>188</v>
      </c>
      <c r="G6" s="321"/>
      <c r="H6" s="323"/>
    </row>
    <row r="7" spans="2:8" ht="15" thickBot="1" x14ac:dyDescent="0.4">
      <c r="B7" s="444" t="s">
        <v>193</v>
      </c>
      <c r="C7" s="445"/>
      <c r="D7" s="446"/>
      <c r="E7" s="324"/>
      <c r="F7" s="441" t="s">
        <v>192</v>
      </c>
      <c r="G7" s="442"/>
      <c r="H7" s="443"/>
    </row>
    <row r="8" spans="2:8" ht="15" thickBot="1" x14ac:dyDescent="0.4">
      <c r="B8" s="325" t="s">
        <v>194</v>
      </c>
      <c r="C8" s="326"/>
      <c r="D8" s="326"/>
      <c r="E8" s="326"/>
      <c r="F8" s="326"/>
      <c r="G8" s="326"/>
      <c r="H8" s="327"/>
    </row>
  </sheetData>
  <mergeCells count="12">
    <mergeCell ref="B2:H2"/>
    <mergeCell ref="B8:H8"/>
    <mergeCell ref="B7:D7"/>
    <mergeCell ref="F7:H7"/>
    <mergeCell ref="F3:H3"/>
    <mergeCell ref="F4:H4"/>
    <mergeCell ref="F5:H5"/>
    <mergeCell ref="F6:H6"/>
    <mergeCell ref="B5:D5"/>
    <mergeCell ref="B6:D6"/>
    <mergeCell ref="B3:D3"/>
    <mergeCell ref="B4:D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>
    <tabColor rgb="FF92D050"/>
  </sheetPr>
  <dimension ref="B3:H41"/>
  <sheetViews>
    <sheetView topLeftCell="B1" workbookViewId="0">
      <selection activeCell="D9" sqref="D9"/>
    </sheetView>
  </sheetViews>
  <sheetFormatPr defaultRowHeight="14" x14ac:dyDescent="0.3"/>
  <cols>
    <col min="1" max="1" width="0" style="72" hidden="1" customWidth="1"/>
    <col min="2" max="2" width="45.6328125" style="72" bestFit="1" customWidth="1"/>
    <col min="3" max="3" width="7" style="72" bestFit="1" customWidth="1"/>
    <col min="4" max="4" width="18.90625" style="72" customWidth="1"/>
    <col min="5" max="5" width="16.90625" style="72" customWidth="1"/>
    <col min="6" max="6" width="18.90625" style="72" customWidth="1"/>
    <col min="7" max="7" width="16.90625" style="72" customWidth="1"/>
    <col min="8" max="8" width="18.90625" style="72" customWidth="1"/>
    <col min="9" max="16384" width="8.7265625" style="72"/>
  </cols>
  <sheetData>
    <row r="3" spans="2:8" ht="20" x14ac:dyDescent="0.3">
      <c r="B3" s="302" t="s">
        <v>153</v>
      </c>
      <c r="C3" s="302"/>
      <c r="D3" s="302"/>
      <c r="E3" s="302"/>
      <c r="F3" s="302"/>
      <c r="G3" s="302"/>
      <c r="H3" s="302"/>
    </row>
    <row r="4" spans="2:8" x14ac:dyDescent="0.3">
      <c r="B4" s="3"/>
      <c r="C4" s="3"/>
      <c r="D4" s="4"/>
      <c r="E4" s="3"/>
      <c r="F4" s="4"/>
      <c r="G4" s="3"/>
      <c r="H4" s="4"/>
    </row>
    <row r="5" spans="2:8" ht="14.5" customHeight="1" x14ac:dyDescent="0.3">
      <c r="B5" s="4" t="s">
        <v>128</v>
      </c>
      <c r="C5" s="4"/>
      <c r="D5" s="307"/>
      <c r="E5" s="307"/>
      <c r="F5" s="301"/>
      <c r="G5" s="301"/>
      <c r="H5" s="301"/>
    </row>
    <row r="6" spans="2:8" x14ac:dyDescent="0.3">
      <c r="B6" s="2" t="s">
        <v>129</v>
      </c>
      <c r="C6" s="4"/>
      <c r="D6" s="4"/>
      <c r="E6" s="4"/>
      <c r="F6" s="4"/>
      <c r="G6" s="4"/>
      <c r="H6" s="12" t="s">
        <v>191</v>
      </c>
    </row>
    <row r="7" spans="2:8" ht="14.5" customHeight="1" x14ac:dyDescent="0.3">
      <c r="C7" s="3"/>
      <c r="D7" s="4"/>
      <c r="E7" s="3"/>
      <c r="F7" s="4"/>
      <c r="G7" s="301" t="s">
        <v>124</v>
      </c>
      <c r="H7" s="301"/>
    </row>
    <row r="8" spans="2:8" ht="14.5" thickBot="1" x14ac:dyDescent="0.35">
      <c r="B8" s="4"/>
      <c r="C8" s="3"/>
      <c r="D8" s="4"/>
      <c r="E8" s="3"/>
      <c r="F8" s="4"/>
      <c r="G8" s="3"/>
      <c r="H8" s="4"/>
    </row>
    <row r="9" spans="2:8" ht="16" thickBot="1" x14ac:dyDescent="0.35">
      <c r="B9" s="71" t="s">
        <v>83</v>
      </c>
      <c r="C9" s="71" t="s">
        <v>84</v>
      </c>
      <c r="D9" s="175" t="s">
        <v>151</v>
      </c>
      <c r="E9" s="71" t="s">
        <v>24</v>
      </c>
      <c r="F9" s="175" t="s">
        <v>21</v>
      </c>
      <c r="G9" s="175" t="s">
        <v>22</v>
      </c>
      <c r="H9" s="351" t="s">
        <v>152</v>
      </c>
    </row>
    <row r="10" spans="2:8" x14ac:dyDescent="0.3">
      <c r="B10" s="176"/>
      <c r="C10" s="189"/>
      <c r="D10" s="191"/>
      <c r="E10" s="177"/>
      <c r="F10" s="177"/>
      <c r="G10" s="438"/>
      <c r="H10" s="379"/>
    </row>
    <row r="11" spans="2:8" x14ac:dyDescent="0.3">
      <c r="B11" s="179" t="s">
        <v>136</v>
      </c>
      <c r="C11" s="7">
        <v>22</v>
      </c>
      <c r="D11" s="192">
        <f>SUM('D.R TRI'!D11:G11)</f>
        <v>286175998.59999996</v>
      </c>
      <c r="E11" s="8">
        <v>0</v>
      </c>
      <c r="F11" s="8">
        <v>0</v>
      </c>
      <c r="G11" s="23">
        <v>0</v>
      </c>
      <c r="H11" s="207">
        <v>0</v>
      </c>
    </row>
    <row r="12" spans="2:8" x14ac:dyDescent="0.3">
      <c r="B12" s="181" t="s">
        <v>137</v>
      </c>
      <c r="C12" s="7">
        <v>23</v>
      </c>
      <c r="D12" s="192">
        <f>SUM('D.R TRI'!D12:G12)</f>
        <v>125441805.76000001</v>
      </c>
      <c r="E12" s="8">
        <v>0</v>
      </c>
      <c r="F12" s="8">
        <v>0</v>
      </c>
      <c r="G12" s="23">
        <v>0</v>
      </c>
      <c r="H12" s="207">
        <v>0</v>
      </c>
    </row>
    <row r="13" spans="2:8" x14ac:dyDescent="0.3">
      <c r="B13" s="213" t="s">
        <v>154</v>
      </c>
      <c r="C13" s="7"/>
      <c r="D13" s="212">
        <f>D11+D12</f>
        <v>411617804.35999995</v>
      </c>
      <c r="E13" s="212">
        <f t="shared" ref="E13:H13" si="0">E11+E12</f>
        <v>0</v>
      </c>
      <c r="F13" s="212">
        <f t="shared" si="0"/>
        <v>0</v>
      </c>
      <c r="G13" s="347">
        <f t="shared" si="0"/>
        <v>0</v>
      </c>
      <c r="H13" s="353">
        <f t="shared" si="0"/>
        <v>0</v>
      </c>
    </row>
    <row r="14" spans="2:8" ht="14.5" thickBot="1" x14ac:dyDescent="0.35">
      <c r="B14" s="179" t="s">
        <v>131</v>
      </c>
      <c r="C14" s="7">
        <v>24</v>
      </c>
      <c r="D14" s="192">
        <f>SUM('D.R TRI'!D14:G14)</f>
        <v>329902536.41000003</v>
      </c>
      <c r="E14" s="8">
        <v>0</v>
      </c>
      <c r="F14" s="8">
        <v>0</v>
      </c>
      <c r="G14" s="23">
        <v>0</v>
      </c>
      <c r="H14" s="207">
        <v>0</v>
      </c>
    </row>
    <row r="15" spans="2:8" ht="14.5" thickBot="1" x14ac:dyDescent="0.35">
      <c r="B15" s="182" t="s">
        <v>132</v>
      </c>
      <c r="C15" s="9"/>
      <c r="D15" s="195">
        <f>D13-D14</f>
        <v>81715267.949999928</v>
      </c>
      <c r="E15" s="195">
        <f t="shared" ref="E15:H15" si="1">E13-E14</f>
        <v>0</v>
      </c>
      <c r="F15" s="195">
        <f t="shared" si="1"/>
        <v>0</v>
      </c>
      <c r="G15" s="15">
        <f t="shared" si="1"/>
        <v>0</v>
      </c>
      <c r="H15" s="16">
        <f t="shared" si="1"/>
        <v>0</v>
      </c>
    </row>
    <row r="16" spans="2:8" x14ac:dyDescent="0.3">
      <c r="B16" s="19"/>
      <c r="C16" s="176"/>
      <c r="D16" s="196"/>
      <c r="E16" s="205"/>
      <c r="F16" s="178"/>
      <c r="G16" s="14"/>
      <c r="H16" s="208"/>
    </row>
    <row r="17" spans="2:8" x14ac:dyDescent="0.3">
      <c r="B17" s="181" t="s">
        <v>138</v>
      </c>
      <c r="C17" s="197" t="s">
        <v>23</v>
      </c>
      <c r="D17" s="192">
        <f>SUM('D.R TRI'!D17:G17)</f>
        <v>0</v>
      </c>
      <c r="E17" s="206" t="s">
        <v>23</v>
      </c>
      <c r="F17" s="190"/>
      <c r="G17" s="439" t="s">
        <v>23</v>
      </c>
      <c r="H17" s="206"/>
    </row>
    <row r="18" spans="2:8" x14ac:dyDescent="0.3">
      <c r="B18" s="179" t="s">
        <v>133</v>
      </c>
      <c r="C18" s="198"/>
      <c r="D18" s="192">
        <f>SUM('D.R TRI'!D18:G18)</f>
        <v>0</v>
      </c>
      <c r="E18" s="207">
        <v>0</v>
      </c>
      <c r="F18" s="184">
        <v>0</v>
      </c>
      <c r="G18" s="348">
        <v>0</v>
      </c>
      <c r="H18" s="207">
        <v>0</v>
      </c>
    </row>
    <row r="19" spans="2:8" x14ac:dyDescent="0.3">
      <c r="B19" s="179" t="s">
        <v>134</v>
      </c>
      <c r="C19" s="198"/>
      <c r="D19" s="192">
        <f>SUM('D.R TRI'!D19:G19)</f>
        <v>66985480.25</v>
      </c>
      <c r="E19" s="207">
        <v>0</v>
      </c>
      <c r="F19" s="184">
        <v>0</v>
      </c>
      <c r="G19" s="348">
        <v>0</v>
      </c>
      <c r="H19" s="207">
        <v>0</v>
      </c>
    </row>
    <row r="20" spans="2:8" ht="14.5" thickBot="1" x14ac:dyDescent="0.35">
      <c r="B20" s="179" t="s">
        <v>139</v>
      </c>
      <c r="C20" s="198"/>
      <c r="D20" s="192">
        <f>SUM('D.R TRI'!D20:G20)</f>
        <v>42281432.649999999</v>
      </c>
      <c r="E20" s="207">
        <v>0</v>
      </c>
      <c r="F20" s="184">
        <v>0</v>
      </c>
      <c r="G20" s="348">
        <v>0</v>
      </c>
      <c r="H20" s="207">
        <v>0</v>
      </c>
    </row>
    <row r="21" spans="2:8" ht="14.5" thickBot="1" x14ac:dyDescent="0.35">
      <c r="B21" s="185" t="s">
        <v>148</v>
      </c>
      <c r="C21" s="197" t="s">
        <v>23</v>
      </c>
      <c r="D21" s="15">
        <f>D15-SUM(D17:D20)</f>
        <v>-27551644.950000077</v>
      </c>
      <c r="E21" s="15">
        <f t="shared" ref="E21:H21" si="2">E15-SUM(E17:E20)</f>
        <v>0</v>
      </c>
      <c r="F21" s="15">
        <f t="shared" si="2"/>
        <v>0</v>
      </c>
      <c r="G21" s="15">
        <f t="shared" si="2"/>
        <v>0</v>
      </c>
      <c r="H21" s="16">
        <f t="shared" si="2"/>
        <v>0</v>
      </c>
    </row>
    <row r="22" spans="2:8" x14ac:dyDescent="0.3">
      <c r="B22" s="19"/>
      <c r="C22" s="19"/>
      <c r="D22" s="25"/>
      <c r="E22" s="208"/>
      <c r="F22" s="183"/>
      <c r="G22" s="14"/>
      <c r="H22" s="208"/>
    </row>
    <row r="23" spans="2:8" ht="14.5" thickBot="1" x14ac:dyDescent="0.35">
      <c r="B23" s="179" t="s">
        <v>140</v>
      </c>
      <c r="C23" s="199"/>
      <c r="D23" s="192">
        <f>SUM('D.R TRI'!D23:G23)</f>
        <v>2580961.46</v>
      </c>
      <c r="E23" s="207" t="s">
        <v>174</v>
      </c>
      <c r="F23" s="207">
        <v>0</v>
      </c>
      <c r="G23" s="202">
        <v>0</v>
      </c>
      <c r="H23" s="207">
        <v>0</v>
      </c>
    </row>
    <row r="24" spans="2:8" ht="14.5" thickBot="1" x14ac:dyDescent="0.35">
      <c r="B24" s="185" t="s">
        <v>149</v>
      </c>
      <c r="C24" s="19"/>
      <c r="D24" s="250">
        <f>D21-D23</f>
        <v>-30132606.410000078</v>
      </c>
      <c r="E24" s="250">
        <f t="shared" ref="E24:H24" si="3">E21-E23</f>
        <v>0</v>
      </c>
      <c r="F24" s="250">
        <f t="shared" si="3"/>
        <v>0</v>
      </c>
      <c r="G24" s="250">
        <f t="shared" si="3"/>
        <v>0</v>
      </c>
      <c r="H24" s="255">
        <f t="shared" si="3"/>
        <v>0</v>
      </c>
    </row>
    <row r="25" spans="2:8" x14ac:dyDescent="0.3">
      <c r="B25" s="19"/>
      <c r="C25" s="19"/>
      <c r="D25" s="25"/>
      <c r="E25" s="208"/>
      <c r="F25" s="183"/>
      <c r="G25" s="14"/>
      <c r="H25" s="208"/>
    </row>
    <row r="26" spans="2:8" x14ac:dyDescent="0.3">
      <c r="B26" s="179" t="s">
        <v>141</v>
      </c>
      <c r="C26" s="198">
        <v>31</v>
      </c>
      <c r="D26" s="192">
        <f>SUM('D.R TRI'!D26:G26)</f>
        <v>-3252781.23</v>
      </c>
      <c r="E26" s="207">
        <v>0</v>
      </c>
      <c r="F26" s="184">
        <v>0</v>
      </c>
      <c r="G26" s="348">
        <v>0</v>
      </c>
      <c r="H26" s="207">
        <v>0</v>
      </c>
    </row>
    <row r="27" spans="2:8" x14ac:dyDescent="0.3">
      <c r="B27" s="181" t="s">
        <v>143</v>
      </c>
      <c r="C27" s="198">
        <v>32</v>
      </c>
      <c r="D27" s="192">
        <f>SUM('D.R TRI'!D27:G27)</f>
        <v>0</v>
      </c>
      <c r="E27" s="207">
        <v>0</v>
      </c>
      <c r="F27" s="184">
        <v>0</v>
      </c>
      <c r="G27" s="348">
        <v>0</v>
      </c>
      <c r="H27" s="207">
        <v>0</v>
      </c>
    </row>
    <row r="28" spans="2:8" x14ac:dyDescent="0.3">
      <c r="B28" s="179" t="s">
        <v>142</v>
      </c>
      <c r="C28" s="198">
        <v>33</v>
      </c>
      <c r="D28" s="192">
        <f>SUM('D.R TRI'!D28:G28)</f>
        <v>-406162.44999999995</v>
      </c>
      <c r="E28" s="207">
        <v>0</v>
      </c>
      <c r="F28" s="184">
        <v>0</v>
      </c>
      <c r="G28" s="348">
        <v>0</v>
      </c>
      <c r="H28" s="207">
        <v>0</v>
      </c>
    </row>
    <row r="29" spans="2:8" ht="14.5" thickBot="1" x14ac:dyDescent="0.35">
      <c r="B29" s="19"/>
      <c r="C29" s="19"/>
      <c r="D29" s="25"/>
      <c r="E29" s="208"/>
      <c r="F29" s="183"/>
      <c r="G29" s="14"/>
      <c r="H29" s="208"/>
    </row>
    <row r="30" spans="2:8" ht="14.5" thickBot="1" x14ac:dyDescent="0.35">
      <c r="B30" s="186" t="s">
        <v>144</v>
      </c>
      <c r="C30" s="199"/>
      <c r="D30" s="15">
        <f>SUM(D26:D28)+D24</f>
        <v>-33791550.090000078</v>
      </c>
      <c r="E30" s="15">
        <f t="shared" ref="E30:H30" si="4">SUM(E26:E28)+E24</f>
        <v>0</v>
      </c>
      <c r="F30" s="15">
        <f t="shared" si="4"/>
        <v>0</v>
      </c>
      <c r="G30" s="15">
        <f t="shared" si="4"/>
        <v>0</v>
      </c>
      <c r="H30" s="16">
        <f t="shared" si="4"/>
        <v>0</v>
      </c>
    </row>
    <row r="31" spans="2:8" x14ac:dyDescent="0.3">
      <c r="B31" s="179"/>
      <c r="C31" s="199"/>
      <c r="D31" s="201" t="s">
        <v>23</v>
      </c>
      <c r="E31" s="206" t="s">
        <v>23</v>
      </c>
      <c r="F31" s="190" t="s">
        <v>23</v>
      </c>
      <c r="G31" s="439" t="s">
        <v>23</v>
      </c>
      <c r="H31" s="206" t="s">
        <v>23</v>
      </c>
    </row>
    <row r="32" spans="2:8" ht="14.5" thickBot="1" x14ac:dyDescent="0.35">
      <c r="B32" s="181" t="s">
        <v>150</v>
      </c>
      <c r="C32" s="198">
        <v>35</v>
      </c>
      <c r="D32" s="202">
        <v>0</v>
      </c>
      <c r="E32" s="207">
        <v>0</v>
      </c>
      <c r="F32" s="184">
        <v>0</v>
      </c>
      <c r="G32" s="348">
        <v>0</v>
      </c>
      <c r="H32" s="207">
        <v>0</v>
      </c>
    </row>
    <row r="33" spans="2:8" ht="14.5" thickBot="1" x14ac:dyDescent="0.35">
      <c r="B33" s="19"/>
      <c r="C33" s="19"/>
      <c r="D33" s="25"/>
      <c r="E33" s="208"/>
      <c r="F33" s="183"/>
      <c r="G33" s="14"/>
      <c r="H33" s="208"/>
    </row>
    <row r="34" spans="2:8" ht="14.5" thickBot="1" x14ac:dyDescent="0.35">
      <c r="B34" s="186" t="s">
        <v>135</v>
      </c>
      <c r="C34" s="199"/>
      <c r="D34" s="15">
        <f>D30-D32</f>
        <v>-33791550.090000078</v>
      </c>
      <c r="E34" s="15">
        <f t="shared" ref="E34:H34" si="5">E30-E32</f>
        <v>0</v>
      </c>
      <c r="F34" s="15">
        <f t="shared" si="5"/>
        <v>0</v>
      </c>
      <c r="G34" s="15">
        <f t="shared" si="5"/>
        <v>0</v>
      </c>
      <c r="H34" s="16">
        <f t="shared" si="5"/>
        <v>0</v>
      </c>
    </row>
    <row r="35" spans="2:8" x14ac:dyDescent="0.3">
      <c r="B35" s="19"/>
      <c r="C35" s="199"/>
      <c r="D35" s="201"/>
      <c r="E35" s="208"/>
      <c r="F35" s="190"/>
      <c r="G35" s="14"/>
      <c r="H35" s="206"/>
    </row>
    <row r="36" spans="2:8" x14ac:dyDescent="0.3">
      <c r="B36" s="181" t="s">
        <v>145</v>
      </c>
      <c r="C36" s="197" t="s">
        <v>130</v>
      </c>
      <c r="D36" s="202">
        <v>0</v>
      </c>
      <c r="E36" s="207">
        <v>0</v>
      </c>
      <c r="F36" s="184">
        <v>0</v>
      </c>
      <c r="G36" s="348">
        <v>0</v>
      </c>
      <c r="H36" s="207">
        <v>0</v>
      </c>
    </row>
    <row r="37" spans="2:8" x14ac:dyDescent="0.3">
      <c r="B37" s="181" t="s">
        <v>146</v>
      </c>
      <c r="C37" s="198">
        <v>35</v>
      </c>
      <c r="D37" s="202">
        <v>0</v>
      </c>
      <c r="E37" s="207">
        <v>0</v>
      </c>
      <c r="F37" s="184">
        <v>0</v>
      </c>
      <c r="G37" s="348">
        <v>0</v>
      </c>
      <c r="H37" s="207">
        <v>0</v>
      </c>
    </row>
    <row r="38" spans="2:8" ht="14.5" thickBot="1" x14ac:dyDescent="0.35">
      <c r="B38" s="19"/>
      <c r="C38" s="199"/>
      <c r="D38" s="25"/>
      <c r="E38" s="208"/>
      <c r="F38" s="183"/>
      <c r="G38" s="14"/>
      <c r="H38" s="208"/>
    </row>
    <row r="39" spans="2:8" ht="14.5" thickBot="1" x14ac:dyDescent="0.35">
      <c r="B39" s="193" t="s">
        <v>147</v>
      </c>
      <c r="C39" s="199"/>
      <c r="D39" s="15">
        <f>D34</f>
        <v>-33791550.090000078</v>
      </c>
      <c r="E39" s="15">
        <f t="shared" ref="E39:H39" si="6">E34</f>
        <v>0</v>
      </c>
      <c r="F39" s="15">
        <f t="shared" si="6"/>
        <v>0</v>
      </c>
      <c r="G39" s="15">
        <f t="shared" si="6"/>
        <v>0</v>
      </c>
      <c r="H39" s="16">
        <f t="shared" si="6"/>
        <v>0</v>
      </c>
    </row>
    <row r="40" spans="2:8" ht="15" thickBot="1" x14ac:dyDescent="0.35">
      <c r="B40" s="194" t="s">
        <v>23</v>
      </c>
      <c r="C40" s="200"/>
      <c r="D40" s="204" t="s">
        <v>23</v>
      </c>
      <c r="E40" s="211" t="s">
        <v>23</v>
      </c>
      <c r="F40" s="187" t="s">
        <v>23</v>
      </c>
      <c r="G40" s="440" t="s">
        <v>23</v>
      </c>
      <c r="H40" s="211" t="s">
        <v>23</v>
      </c>
    </row>
    <row r="41" spans="2:8" x14ac:dyDescent="0.3">
      <c r="B41" s="304" t="s">
        <v>118</v>
      </c>
      <c r="C41" s="304"/>
      <c r="D41" s="3"/>
      <c r="E41" s="12"/>
      <c r="F41" s="3"/>
      <c r="G41" s="304" t="s">
        <v>119</v>
      </c>
      <c r="H41" s="304"/>
    </row>
  </sheetData>
  <mergeCells count="6">
    <mergeCell ref="G41:H41"/>
    <mergeCell ref="B41:C41"/>
    <mergeCell ref="D5:E5"/>
    <mergeCell ref="B3:H3"/>
    <mergeCell ref="F5:H5"/>
    <mergeCell ref="G7:H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B3:G48"/>
  <sheetViews>
    <sheetView topLeftCell="B1" workbookViewId="0">
      <selection activeCell="I11" sqref="I11"/>
    </sheetView>
  </sheetViews>
  <sheetFormatPr defaultRowHeight="14" x14ac:dyDescent="0.3"/>
  <cols>
    <col min="1" max="1" width="0" style="72" hidden="1" customWidth="1"/>
    <col min="2" max="2" width="37" style="72" bestFit="1" customWidth="1"/>
    <col min="3" max="4" width="19" style="72" bestFit="1" customWidth="1"/>
    <col min="5" max="5" width="19" style="72" customWidth="1"/>
    <col min="6" max="6" width="19" style="72" bestFit="1" customWidth="1"/>
    <col min="7" max="7" width="19" style="72" customWidth="1"/>
    <col min="8" max="16384" width="8.7265625" style="72"/>
  </cols>
  <sheetData>
    <row r="3" spans="2:7" ht="25.5" thickBot="1" x14ac:dyDescent="0.55000000000000004">
      <c r="B3" s="80">
        <v>1</v>
      </c>
      <c r="C3" s="81"/>
      <c r="D3" s="82"/>
      <c r="E3" s="82"/>
      <c r="F3" s="82"/>
      <c r="G3" s="82"/>
    </row>
    <row r="4" spans="2:7" ht="16" thickBot="1" x14ac:dyDescent="0.4">
      <c r="B4" s="427" t="s">
        <v>3</v>
      </c>
      <c r="C4" s="428">
        <v>2021</v>
      </c>
      <c r="D4" s="279">
        <v>2020</v>
      </c>
      <c r="E4" s="279">
        <v>2019</v>
      </c>
      <c r="F4" s="279">
        <v>2019</v>
      </c>
      <c r="G4" s="429">
        <v>2017</v>
      </c>
    </row>
    <row r="5" spans="2:7" ht="15.5" x14ac:dyDescent="0.35">
      <c r="B5" s="380" t="s">
        <v>1</v>
      </c>
      <c r="C5" s="430">
        <f>'Balanço ANUAL'!D17</f>
        <v>6474167.6399999997</v>
      </c>
      <c r="D5" s="84">
        <f>'Balanço ANUAL'!E17</f>
        <v>0</v>
      </c>
      <c r="E5" s="84">
        <f>'Balanço ANUAL'!F17</f>
        <v>1575465.49</v>
      </c>
      <c r="F5" s="84">
        <f>'Balanço ANUAL'!G17</f>
        <v>0</v>
      </c>
      <c r="G5" s="431">
        <f>'Balanço ANUAL'!H17</f>
        <v>1575465.49</v>
      </c>
    </row>
    <row r="6" spans="2:7" ht="15.5" x14ac:dyDescent="0.35">
      <c r="B6" s="381" t="s">
        <v>2</v>
      </c>
      <c r="C6" s="386">
        <f>'Balanço ANUAL'!D55</f>
        <v>305849779.83999991</v>
      </c>
      <c r="D6" s="85">
        <f>'Balanço ANUAL'!E55</f>
        <v>0</v>
      </c>
      <c r="E6" s="85">
        <f>'Balanço ANUAL'!F55</f>
        <v>2355049.21</v>
      </c>
      <c r="F6" s="85">
        <f>'Balanço ANUAL'!G55</f>
        <v>0</v>
      </c>
      <c r="G6" s="387">
        <f>'Balanço ANUAL'!H55</f>
        <v>2355049.21</v>
      </c>
    </row>
    <row r="7" spans="2:7" ht="15.5" x14ac:dyDescent="0.35">
      <c r="B7" s="381" t="s">
        <v>4</v>
      </c>
      <c r="C7" s="386">
        <f>'D.R ANUAL'!D13</f>
        <v>411617804.35999995</v>
      </c>
      <c r="D7" s="85">
        <f>'D.R ANUAL'!E13</f>
        <v>0</v>
      </c>
      <c r="E7" s="85">
        <f>'D.R ANUAL'!F13</f>
        <v>0</v>
      </c>
      <c r="F7" s="85">
        <f>'D.R ANUAL'!G13</f>
        <v>0</v>
      </c>
      <c r="G7" s="387">
        <f>'D.R ANUAL'!H13</f>
        <v>0</v>
      </c>
    </row>
    <row r="8" spans="2:7" ht="16" thickBot="1" x14ac:dyDescent="0.4">
      <c r="B8" s="393" t="s">
        <v>5</v>
      </c>
      <c r="C8" s="388">
        <f>'D.R ANUAL'!D39</f>
        <v>-33791550.090000078</v>
      </c>
      <c r="D8" s="86">
        <f>'D.R ANUAL'!E39</f>
        <v>0</v>
      </c>
      <c r="E8" s="86">
        <f>'D.R ANUAL'!F39</f>
        <v>0</v>
      </c>
      <c r="F8" s="86">
        <f>'D.R ANUAL'!G39</f>
        <v>0</v>
      </c>
      <c r="G8" s="389">
        <f>'D.R ANUAL'!H39</f>
        <v>0</v>
      </c>
    </row>
    <row r="9" spans="2:7" ht="16" thickBot="1" x14ac:dyDescent="0.4">
      <c r="B9" s="293" t="s">
        <v>181</v>
      </c>
      <c r="C9" s="295">
        <f>'Balanço ANUAL'!D22</f>
        <v>100945221.19</v>
      </c>
      <c r="D9" s="295">
        <f>'Balanço ANUAL'!E22</f>
        <v>0</v>
      </c>
      <c r="E9" s="295">
        <f>'Balanço ANUAL'!F22</f>
        <v>147578.37</v>
      </c>
      <c r="F9" s="295">
        <f>'Balanço ANUAL'!G22</f>
        <v>0</v>
      </c>
      <c r="G9" s="432">
        <f>'Balanço ANUAL'!H22</f>
        <v>147578.37</v>
      </c>
    </row>
    <row r="12" spans="2:7" ht="25.5" thickBot="1" x14ac:dyDescent="0.55000000000000004">
      <c r="B12" s="80">
        <v>2</v>
      </c>
      <c r="C12" s="87"/>
      <c r="D12" s="88"/>
      <c r="E12" s="294"/>
      <c r="F12" s="88"/>
      <c r="G12" s="88"/>
    </row>
    <row r="13" spans="2:7" ht="16" thickBot="1" x14ac:dyDescent="0.4">
      <c r="B13" s="414" t="s">
        <v>0</v>
      </c>
      <c r="C13" s="415">
        <v>2020</v>
      </c>
      <c r="D13" s="416">
        <v>2020</v>
      </c>
      <c r="E13" s="417">
        <v>2019</v>
      </c>
      <c r="F13" s="418">
        <v>2018</v>
      </c>
      <c r="G13" s="419">
        <v>2017</v>
      </c>
    </row>
    <row r="14" spans="2:7" ht="15.5" x14ac:dyDescent="0.35">
      <c r="B14" s="391" t="s">
        <v>6</v>
      </c>
      <c r="C14" s="420">
        <f>'Balanço ANUAL'!D38/'Balanço ANUAL'!D26</f>
        <v>7.8709249300729922E-2</v>
      </c>
      <c r="D14" s="90" t="e">
        <f>'Balanço ANUAL'!E38/'Balanço ANUAL'!E26</f>
        <v>#DIV/0!</v>
      </c>
      <c r="E14" s="90">
        <f>'Balanço ANUAL'!F38/'Balanço ANUAL'!F26</f>
        <v>-7.1747095254964977E-2</v>
      </c>
      <c r="F14" s="90" t="e">
        <f>'Balanço ANUAL'!G38/'Balanço ANUAL'!G26</f>
        <v>#DIV/0!</v>
      </c>
      <c r="G14" s="421">
        <f>'Balanço ANUAL'!H38/'Balanço ANUAL'!H26</f>
        <v>-7.1747095254964977E-2</v>
      </c>
    </row>
    <row r="15" spans="2:7" ht="15.5" x14ac:dyDescent="0.35">
      <c r="B15" s="381" t="s">
        <v>7</v>
      </c>
      <c r="C15" s="397">
        <f>'Balanço ANUAL'!D38/('Balanço ANUAL'!D46+'Balanço ANUAL'!D53)</f>
        <v>8.5433669274318377E-2</v>
      </c>
      <c r="D15" s="93" t="e">
        <f>'Balanço ANUAL'!E38/('Balanço ANUAL'!E46+'Balanço ANUAL'!E53)</f>
        <v>#DIV/0!</v>
      </c>
      <c r="E15" s="93">
        <f>'Balanço ANUAL'!F38/('Balanço ANUAL'!F46+'Balanço ANUAL'!F53)</f>
        <v>-6.6944053846860752E-2</v>
      </c>
      <c r="F15" s="93" t="e">
        <f>'Balanço ANUAL'!G38/('Balanço ANUAL'!G46+'Balanço ANUAL'!G53)</f>
        <v>#DIV/0!</v>
      </c>
      <c r="G15" s="398">
        <f>'Balanço ANUAL'!H38/('Balanço ANUAL'!H46+'Balanço ANUAL'!H53)</f>
        <v>-6.6944053846860752E-2</v>
      </c>
    </row>
    <row r="16" spans="2:7" ht="15.5" x14ac:dyDescent="0.35">
      <c r="B16" s="392" t="s">
        <v>8</v>
      </c>
      <c r="C16" s="399">
        <f>('Balanço ANUAL'!D46+'Balanço ANUAL'!D53)/'Balanço ANUAL'!D26</f>
        <v>0.9212907506992698</v>
      </c>
      <c r="D16" s="91" t="e">
        <f>('Balanço ANUAL'!E46+'Balanço ANUAL'!E53)/'Balanço ANUAL'!E26</f>
        <v>#DIV/0!</v>
      </c>
      <c r="E16" s="91">
        <f>('Balanço ANUAL'!F46+'Balanço ANUAL'!F53)/'Balanço ANUAL'!F26</f>
        <v>1.071747095254965</v>
      </c>
      <c r="F16" s="91" t="e">
        <f>('Balanço ANUAL'!G46+'Balanço ANUAL'!G53)/'Balanço ANUAL'!G26</f>
        <v>#DIV/0!</v>
      </c>
      <c r="G16" s="400">
        <f>('Balanço ANUAL'!H46+'Balanço ANUAL'!H53)/'Balanço ANUAL'!H26</f>
        <v>1.071747095254965</v>
      </c>
    </row>
    <row r="17" spans="2:7" ht="16" thickBot="1" x14ac:dyDescent="0.4">
      <c r="B17" s="393" t="s">
        <v>9</v>
      </c>
      <c r="C17" s="401">
        <f>'Balanço ANUAL'!D53/('Balanço ANUAL'!D46+'Balanço ANUAL'!D53)</f>
        <v>1</v>
      </c>
      <c r="D17" s="96" t="e">
        <f>'Balanço ANUAL'!E53/('Balanço ANUAL'!E46+'Balanço ANUAL'!E53)</f>
        <v>#DIV/0!</v>
      </c>
      <c r="E17" s="96">
        <f>'Balanço ANUAL'!F53/('Balanço ANUAL'!F46+'Balanço ANUAL'!F53)</f>
        <v>1</v>
      </c>
      <c r="F17" s="96" t="e">
        <f>'Balanço ANUAL'!G53/('Balanço ANUAL'!G46+'Balanço ANUAL'!G53)</f>
        <v>#DIV/0!</v>
      </c>
      <c r="G17" s="402">
        <f>'Balanço ANUAL'!H53/('Balanço ANUAL'!H46+'Balanço ANUAL'!H53)</f>
        <v>1</v>
      </c>
    </row>
    <row r="20" spans="2:7" ht="25.5" thickBot="1" x14ac:dyDescent="0.55000000000000004">
      <c r="B20" s="80">
        <v>3</v>
      </c>
      <c r="C20" s="87"/>
      <c r="D20" s="88"/>
      <c r="E20" s="88"/>
      <c r="F20" s="88"/>
      <c r="G20" s="88"/>
    </row>
    <row r="21" spans="2:7" ht="16" thickBot="1" x14ac:dyDescent="0.4">
      <c r="B21" s="267" t="s">
        <v>10</v>
      </c>
      <c r="C21" s="423" t="s">
        <v>24</v>
      </c>
      <c r="D21" s="424" t="s">
        <v>21</v>
      </c>
      <c r="E21" s="425" t="s">
        <v>22</v>
      </c>
      <c r="F21" s="424" t="s">
        <v>21</v>
      </c>
      <c r="G21" s="426" t="s">
        <v>22</v>
      </c>
    </row>
    <row r="22" spans="2:7" ht="15.5" x14ac:dyDescent="0.35">
      <c r="B22" s="392" t="s">
        <v>18</v>
      </c>
      <c r="C22" s="407">
        <f>'Balanço ANUAL'!D24/'Balanço ANUAL'!D53</f>
        <v>1.0624574240710085</v>
      </c>
      <c r="D22" s="408" t="e">
        <f>'Balanço ANUAL'!E24/'Balanço ANUAL'!E53</f>
        <v>#DIV/0!</v>
      </c>
      <c r="E22" s="408">
        <f>'Balanço ANUAL'!F24/'Balanço ANUAL'!F53</f>
        <v>0.30886625314728944</v>
      </c>
      <c r="F22" s="408" t="e">
        <f>'Balanço ANUAL'!G24/'Balanço ANUAL'!G53</f>
        <v>#DIV/0!</v>
      </c>
      <c r="G22" s="409">
        <f>'Balanço ANUAL'!H24/'Balanço ANUAL'!H53</f>
        <v>0.30886625314728944</v>
      </c>
    </row>
    <row r="23" spans="2:7" ht="15.5" x14ac:dyDescent="0.35">
      <c r="B23" s="381" t="s">
        <v>19</v>
      </c>
      <c r="C23" s="397">
        <f>('Balanço ANUAL'!D24-'Balanço ANUAL'!D20)/'Balanço ANUAL'!D53</f>
        <v>1.0624574240710085</v>
      </c>
      <c r="D23" s="93" t="e">
        <f>('Balanço ANUAL'!E24-'Balanço ANUAL'!E20)/'Balanço ANUAL'!E53</f>
        <v>#DIV/0!</v>
      </c>
      <c r="E23" s="93">
        <f>('Balanço ANUAL'!F24-'Balanço ANUAL'!F20)/'Balanço ANUAL'!F53</f>
        <v>0.30886625314728944</v>
      </c>
      <c r="F23" s="93" t="e">
        <f>('Balanço ANUAL'!G24-'Balanço ANUAL'!G20)/'Balanço ANUAL'!G53</f>
        <v>#DIV/0!</v>
      </c>
      <c r="G23" s="398">
        <f>('Balanço ANUAL'!H24-'Balanço ANUAL'!H20)/'Balanço ANUAL'!H53</f>
        <v>0.30886625314728944</v>
      </c>
    </row>
    <row r="24" spans="2:7" ht="16" thickBot="1" x14ac:dyDescent="0.4">
      <c r="B24" s="422" t="s">
        <v>20</v>
      </c>
      <c r="C24" s="410">
        <f>'Balanço ANUAL'!D22/'Balanço ANUAL'!D53</f>
        <v>0.35824561289299833</v>
      </c>
      <c r="D24" s="101" t="e">
        <f>'Balanço ANUAL'!E22/'Balanço ANUAL'!E53</f>
        <v>#DIV/0!</v>
      </c>
      <c r="E24" s="101">
        <f>'Balanço ANUAL'!F22/'Balanço ANUAL'!F53</f>
        <v>5.8469638369929459E-2</v>
      </c>
      <c r="F24" s="101" t="e">
        <f>'Balanço ANUAL'!G22/'Balanço ANUAL'!G53</f>
        <v>#DIV/0!</v>
      </c>
      <c r="G24" s="411">
        <f>'Balanço ANUAL'!H22/'Balanço ANUAL'!H53</f>
        <v>5.8469638369929459E-2</v>
      </c>
    </row>
    <row r="27" spans="2:7" ht="25.5" thickBot="1" x14ac:dyDescent="0.55000000000000004">
      <c r="B27" s="80">
        <v>4</v>
      </c>
      <c r="C27" s="87"/>
      <c r="D27" s="88"/>
      <c r="E27" s="88"/>
      <c r="F27" s="88"/>
      <c r="G27" s="88"/>
    </row>
    <row r="28" spans="2:7" ht="15.5" x14ac:dyDescent="0.35">
      <c r="B28" s="98" t="s">
        <v>10</v>
      </c>
      <c r="C28" s="99">
        <v>2020</v>
      </c>
      <c r="D28" s="173">
        <v>2019</v>
      </c>
      <c r="E28" s="174">
        <v>2018</v>
      </c>
      <c r="F28" s="173">
        <v>2019</v>
      </c>
      <c r="G28" s="174">
        <v>2018</v>
      </c>
    </row>
    <row r="29" spans="2:7" ht="15.5" x14ac:dyDescent="0.35">
      <c r="B29" s="94" t="s">
        <v>29</v>
      </c>
      <c r="C29" s="91">
        <f>'Balanço ANUAL'!D37/'Balanço ANUAL'!D38</f>
        <v>-1.4036995857507069</v>
      </c>
      <c r="D29" s="91" t="e">
        <f>'Balanço ANUAL'!E37/'Balanço ANUAL'!E38</f>
        <v>#DIV/0!</v>
      </c>
      <c r="E29" s="91">
        <f>'Balanço ANUAL'!F37/'Balanço ANUAL'!F38</f>
        <v>1.5918282486014803</v>
      </c>
      <c r="F29" s="91" t="e">
        <f>'Balanço ANUAL'!G37/'Balanço ANUAL'!G38</f>
        <v>#DIV/0!</v>
      </c>
      <c r="G29" s="91">
        <f>'Balanço ANUAL'!H37/'Balanço ANUAL'!H38</f>
        <v>1.5918282486014803</v>
      </c>
    </row>
    <row r="30" spans="2:7" ht="15.5" x14ac:dyDescent="0.35">
      <c r="B30" s="92" t="s">
        <v>16</v>
      </c>
      <c r="C30" s="93">
        <f>'D.R ANUAL'!D24/'Balanço ANUAL'!D26</f>
        <v>-9.8520935427069564E-2</v>
      </c>
      <c r="D30" s="93" t="e">
        <f>'D.R ANUAL'!E24/'Balanço ANUAL'!E26</f>
        <v>#DIV/0!</v>
      </c>
      <c r="E30" s="93">
        <f>'D.R ANUAL'!F24/'Balanço ANUAL'!F26</f>
        <v>0</v>
      </c>
      <c r="F30" s="93" t="e">
        <f>'D.R ANUAL'!G24/'Balanço ANUAL'!G26</f>
        <v>#DIV/0!</v>
      </c>
      <c r="G30" s="93">
        <f>'D.R ANUAL'!H24/'Balanço ANUAL'!H26</f>
        <v>0</v>
      </c>
    </row>
    <row r="31" spans="2:7" ht="16" thickBot="1" x14ac:dyDescent="0.4">
      <c r="B31" s="100" t="s">
        <v>17</v>
      </c>
      <c r="C31" s="101">
        <f>'D.R ANUAL'!D24/'D.R ANUAL'!D13</f>
        <v>-7.3205303781383985E-2</v>
      </c>
      <c r="D31" s="101" t="e">
        <f>'D.R ANUAL'!E24/'D.R ANUAL'!E13</f>
        <v>#DIV/0!</v>
      </c>
      <c r="E31" s="101" t="e">
        <f>'D.R ANUAL'!F24/'D.R ANUAL'!F13</f>
        <v>#DIV/0!</v>
      </c>
      <c r="F31" s="101" t="e">
        <f>'D.R ANUAL'!G24/'D.R ANUAL'!G13</f>
        <v>#DIV/0!</v>
      </c>
      <c r="G31" s="101" t="e">
        <f>'D.R ANUAL'!H24/'D.R ANUAL'!H13</f>
        <v>#DIV/0!</v>
      </c>
    </row>
    <row r="34" spans="2:7" ht="25.5" thickBot="1" x14ac:dyDescent="0.55000000000000004">
      <c r="B34" s="80">
        <v>5</v>
      </c>
      <c r="C34" s="87"/>
      <c r="D34" s="102"/>
      <c r="E34" s="102"/>
      <c r="F34" s="102"/>
      <c r="G34" s="102"/>
    </row>
    <row r="35" spans="2:7" ht="16" thickBot="1" x14ac:dyDescent="0.4">
      <c r="B35" s="268" t="s">
        <v>10</v>
      </c>
      <c r="C35" s="269" t="s">
        <v>24</v>
      </c>
      <c r="D35" s="270" t="s">
        <v>21</v>
      </c>
      <c r="E35" s="271" t="s">
        <v>22</v>
      </c>
      <c r="F35" s="273" t="s">
        <v>21</v>
      </c>
      <c r="G35" s="274" t="s">
        <v>22</v>
      </c>
    </row>
    <row r="36" spans="2:7" ht="15.5" x14ac:dyDescent="0.35">
      <c r="B36" s="92" t="s">
        <v>11</v>
      </c>
      <c r="C36" s="85">
        <f>(M29/C24)*365</f>
        <v>0</v>
      </c>
      <c r="D36" s="105" t="e">
        <f>(N29/D24)*365</f>
        <v>#DIV/0!</v>
      </c>
      <c r="E36" s="105">
        <v>100.9</v>
      </c>
      <c r="F36" s="275" t="e">
        <f>(P29/F24)*365</f>
        <v>#DIV/0!</v>
      </c>
      <c r="G36" s="276">
        <v>100.9</v>
      </c>
    </row>
    <row r="37" spans="2:7" ht="15.5" x14ac:dyDescent="0.35">
      <c r="B37" s="92" t="s">
        <v>12</v>
      </c>
      <c r="C37" s="85" t="e">
        <f>(M32/M33)*365</f>
        <v>#DIV/0!</v>
      </c>
      <c r="D37" s="105" t="e">
        <f>(N32/N33)*365</f>
        <v>#DIV/0!</v>
      </c>
      <c r="E37" s="105">
        <v>176.1</v>
      </c>
      <c r="F37" s="105" t="e">
        <f>(P32/P33)*365</f>
        <v>#DIV/0!</v>
      </c>
      <c r="G37" s="272">
        <v>176.1</v>
      </c>
    </row>
    <row r="38" spans="2:7" ht="15.5" x14ac:dyDescent="0.35">
      <c r="B38" s="92" t="s">
        <v>13</v>
      </c>
      <c r="C38" s="85" t="e">
        <f>(M21/M34)*365</f>
        <v>#DIV/0!</v>
      </c>
      <c r="D38" s="105" t="e">
        <f>(N21/N34)*365</f>
        <v>#DIV/0!</v>
      </c>
      <c r="E38" s="105">
        <v>430.9</v>
      </c>
      <c r="F38" s="275" t="e">
        <f>(P21/P34)*365</f>
        <v>#DIV/0!</v>
      </c>
      <c r="G38" s="276">
        <v>430.9</v>
      </c>
    </row>
    <row r="39" spans="2:7" ht="15.5" x14ac:dyDescent="0.35">
      <c r="B39" s="92" t="s">
        <v>14</v>
      </c>
      <c r="C39" s="85" t="e">
        <f>(M34/M21)*365</f>
        <v>#DIV/0!</v>
      </c>
      <c r="D39" s="105" t="e">
        <f>(N34/N21)</f>
        <v>#DIV/0!</v>
      </c>
      <c r="E39" s="105">
        <v>309.2</v>
      </c>
      <c r="F39" s="105" t="e">
        <f>(P34/P21)</f>
        <v>#DIV/0!</v>
      </c>
      <c r="G39" s="272">
        <v>309.2</v>
      </c>
    </row>
    <row r="40" spans="2:7" ht="16" thickBot="1" x14ac:dyDescent="0.4">
      <c r="B40" s="95" t="s">
        <v>15</v>
      </c>
      <c r="C40" s="106" t="e">
        <f>C24/M22</f>
        <v>#DIV/0!</v>
      </c>
      <c r="D40" s="107" t="e">
        <f>D24/N22</f>
        <v>#DIV/0!</v>
      </c>
      <c r="E40" s="107">
        <v>23.5</v>
      </c>
      <c r="F40" s="277" t="e">
        <f>F24/P22</f>
        <v>#DIV/0!</v>
      </c>
      <c r="G40" s="278">
        <v>23.5</v>
      </c>
    </row>
    <row r="43" spans="2:7" ht="25.5" thickBot="1" x14ac:dyDescent="0.55000000000000004">
      <c r="B43" s="80">
        <v>6</v>
      </c>
      <c r="C43" s="81"/>
      <c r="D43" s="82"/>
      <c r="E43" s="82"/>
      <c r="F43" s="82"/>
      <c r="G43" s="82"/>
    </row>
    <row r="44" spans="2:7" ht="16" thickBot="1" x14ac:dyDescent="0.4">
      <c r="B44" s="108" t="s">
        <v>10</v>
      </c>
      <c r="C44" s="283">
        <v>2020</v>
      </c>
      <c r="D44" s="284">
        <v>2019</v>
      </c>
      <c r="E44" s="285">
        <v>2018</v>
      </c>
      <c r="F44" s="284">
        <v>2019</v>
      </c>
      <c r="G44" s="285">
        <v>2018</v>
      </c>
    </row>
    <row r="45" spans="2:7" ht="15.5" x14ac:dyDescent="0.35">
      <c r="B45" s="280" t="s">
        <v>25</v>
      </c>
      <c r="C45" s="286">
        <f>'Balanço ANUAL'!D38</f>
        <v>24073206.569999918</v>
      </c>
      <c r="D45" s="286">
        <f>'Balanço ANUAL'!E38</f>
        <v>0</v>
      </c>
      <c r="E45" s="286">
        <f>'Balanço ANUAL'!F38</f>
        <v>-168967.94</v>
      </c>
      <c r="F45" s="286">
        <f>'Balanço ANUAL'!G38</f>
        <v>0</v>
      </c>
      <c r="G45" s="286">
        <f>'Balanço ANUAL'!H38</f>
        <v>-168967.94</v>
      </c>
    </row>
    <row r="46" spans="2:7" ht="15.5" x14ac:dyDescent="0.35">
      <c r="B46" s="280" t="s">
        <v>27</v>
      </c>
      <c r="C46" s="287">
        <f>'Balanço ANUAL'!D46+'Balanço ANUAL'!D53-'Balanço ANUAL'!D22</f>
        <v>180831352.07999998</v>
      </c>
      <c r="D46" s="287">
        <f>'Balanço ANUAL'!E46+'Balanço ANUAL'!E53-'Balanço ANUAL'!E22</f>
        <v>0</v>
      </c>
      <c r="E46" s="287">
        <f>'Balanço ANUAL'!F46+'Balanço ANUAL'!F53-'Balanço ANUAL'!F22</f>
        <v>2376438.7799999998</v>
      </c>
      <c r="F46" s="287">
        <f>'Balanço ANUAL'!G46+'Balanço ANUAL'!G53-'Balanço ANUAL'!G22</f>
        <v>0</v>
      </c>
      <c r="G46" s="287">
        <f>'Balanço ANUAL'!H46+'Balanço ANUAL'!H53-'Balanço ANUAL'!H22</f>
        <v>2376438.7799999998</v>
      </c>
    </row>
    <row r="47" spans="2:7" ht="15.5" x14ac:dyDescent="0.35">
      <c r="B47" s="281" t="s">
        <v>26</v>
      </c>
      <c r="C47" s="288">
        <f>C8/Balancete!B2</f>
        <v>-33.791550090000079</v>
      </c>
      <c r="D47" s="288">
        <f>D8/Balancete!B2</f>
        <v>0</v>
      </c>
      <c r="E47" s="288">
        <f>E8/Balancete!B2</f>
        <v>0</v>
      </c>
      <c r="F47" s="288">
        <f>F8/Balancete!B2</f>
        <v>0</v>
      </c>
      <c r="G47" s="288">
        <f>G8/Balancete!B2</f>
        <v>0</v>
      </c>
    </row>
    <row r="48" spans="2:7" ht="16" thickBot="1" x14ac:dyDescent="0.4">
      <c r="B48" s="282" t="s">
        <v>28</v>
      </c>
      <c r="C48" s="289">
        <f>C45/Balancete!B2</f>
        <v>24.073206569999918</v>
      </c>
      <c r="D48" s="289">
        <f>D45/Balancete!B2</f>
        <v>0</v>
      </c>
      <c r="E48" s="289">
        <f>E45/Balancete!B2</f>
        <v>-0.16896794000000001</v>
      </c>
      <c r="F48" s="289">
        <f>F45/Balancete!B2</f>
        <v>0</v>
      </c>
      <c r="G48" s="289">
        <f>G45/Balancete!B2</f>
        <v>-0.16896794000000001</v>
      </c>
    </row>
  </sheetData>
  <sheetProtection password="CC6B" sheet="1" objects="1" scenarios="1"/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B2:AH2"/>
  <sheetViews>
    <sheetView topLeftCell="B1" zoomScale="60" zoomScaleNormal="60" workbookViewId="0">
      <selection activeCell="X28" sqref="X28"/>
    </sheetView>
  </sheetViews>
  <sheetFormatPr defaultRowHeight="14.5" x14ac:dyDescent="0.35"/>
  <sheetData>
    <row r="2" spans="2:34" ht="20" x14ac:dyDescent="0.4">
      <c r="B2" s="308" t="s">
        <v>175</v>
      </c>
      <c r="C2" s="308"/>
      <c r="D2" s="308"/>
      <c r="E2" s="308"/>
      <c r="F2" s="308"/>
      <c r="G2" s="308"/>
      <c r="H2" s="308"/>
      <c r="I2" s="308"/>
      <c r="J2" s="308"/>
      <c r="K2" s="308"/>
      <c r="L2" s="308"/>
      <c r="N2" s="308" t="s">
        <v>179</v>
      </c>
      <c r="O2" s="308"/>
      <c r="P2" s="308"/>
      <c r="Q2" s="308"/>
      <c r="R2" s="308"/>
      <c r="S2" s="308"/>
      <c r="T2" s="308"/>
      <c r="U2" s="308"/>
      <c r="V2" s="308"/>
      <c r="W2" s="308"/>
      <c r="Y2" s="308" t="s">
        <v>180</v>
      </c>
      <c r="Z2" s="308"/>
      <c r="AA2" s="308"/>
      <c r="AB2" s="308"/>
      <c r="AC2" s="308"/>
      <c r="AD2" s="308"/>
      <c r="AE2" s="308"/>
      <c r="AF2" s="308"/>
      <c r="AG2" s="308"/>
      <c r="AH2" s="308"/>
    </row>
  </sheetData>
  <sheetProtection password="CC6B" sheet="1" objects="1" scenarios="1"/>
  <mergeCells count="3">
    <mergeCell ref="B2:L2"/>
    <mergeCell ref="N2:W2"/>
    <mergeCell ref="Y2:A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/>
  <dimension ref="B1:O58"/>
  <sheetViews>
    <sheetView zoomScaleNormal="100" workbookViewId="0">
      <pane xSplit="2" topLeftCell="C1" activePane="topRight" state="frozen"/>
      <selection pane="topRight" activeCell="C43" sqref="C43"/>
    </sheetView>
  </sheetViews>
  <sheetFormatPr defaultRowHeight="14" x14ac:dyDescent="0.3"/>
  <cols>
    <col min="1" max="1" width="0" style="72" hidden="1" customWidth="1"/>
    <col min="2" max="2" width="51.36328125" style="72" customWidth="1"/>
    <col min="3" max="13" width="14.54296875" style="72" bestFit="1" customWidth="1"/>
    <col min="14" max="14" width="15.1796875" style="72" bestFit="1" customWidth="1"/>
    <col min="15" max="15" width="5.1796875" style="72" bestFit="1" customWidth="1"/>
    <col min="16" max="16384" width="8.7265625" style="72"/>
  </cols>
  <sheetData>
    <row r="1" spans="2:15" ht="14.5" thickBot="1" x14ac:dyDescent="0.35">
      <c r="B1" s="291" t="s">
        <v>178</v>
      </c>
      <c r="C1" s="290" t="s">
        <v>176</v>
      </c>
    </row>
    <row r="2" spans="2:15" ht="14.5" thickBot="1" x14ac:dyDescent="0.35">
      <c r="B2" s="292">
        <v>1000000</v>
      </c>
      <c r="C2" s="300" t="s">
        <v>177</v>
      </c>
      <c r="D2" s="300"/>
    </row>
    <row r="3" spans="2:15" ht="16.5" x14ac:dyDescent="0.35">
      <c r="B3" s="74" t="s">
        <v>30</v>
      </c>
      <c r="C3" s="73" t="s">
        <v>67</v>
      </c>
      <c r="D3" s="73" t="s">
        <v>68</v>
      </c>
      <c r="E3" s="73" t="s">
        <v>69</v>
      </c>
      <c r="F3" s="73" t="s">
        <v>70</v>
      </c>
      <c r="G3" s="73" t="s">
        <v>71</v>
      </c>
      <c r="H3" s="73" t="s">
        <v>72</v>
      </c>
      <c r="I3" s="73" t="s">
        <v>73</v>
      </c>
      <c r="J3" s="73" t="s">
        <v>74</v>
      </c>
      <c r="K3" s="73" t="s">
        <v>75</v>
      </c>
      <c r="L3" s="73" t="s">
        <v>76</v>
      </c>
      <c r="M3" s="73" t="s">
        <v>77</v>
      </c>
      <c r="N3" s="73" t="s">
        <v>78</v>
      </c>
      <c r="O3" s="73" t="s">
        <v>125</v>
      </c>
    </row>
    <row r="4" spans="2:15" ht="15.5" x14ac:dyDescent="0.35">
      <c r="B4" s="75" t="s">
        <v>31</v>
      </c>
      <c r="C4" s="215">
        <v>10029229.199999999</v>
      </c>
      <c r="D4" s="215">
        <v>10177474.810000001</v>
      </c>
      <c r="E4" s="215">
        <v>10177474.810000001</v>
      </c>
      <c r="F4" s="215">
        <v>10257821.279999999</v>
      </c>
      <c r="G4" s="215">
        <v>10507821.279999999</v>
      </c>
      <c r="H4" s="215">
        <v>10507821.279999999</v>
      </c>
      <c r="I4" s="215">
        <v>12048099.460000001</v>
      </c>
      <c r="J4" s="215">
        <v>12177232.24</v>
      </c>
      <c r="K4" s="215">
        <v>12177232.24</v>
      </c>
      <c r="L4" s="215">
        <v>12177232.24</v>
      </c>
      <c r="M4" s="215">
        <v>12177232.24</v>
      </c>
      <c r="N4" s="215">
        <v>12206004.17</v>
      </c>
      <c r="O4" s="215"/>
    </row>
    <row r="5" spans="2:15" ht="15.5" x14ac:dyDescent="0.35">
      <c r="B5" s="75" t="s">
        <v>65</v>
      </c>
      <c r="C5" s="215">
        <v>0</v>
      </c>
      <c r="D5" s="215">
        <v>0</v>
      </c>
      <c r="E5" s="215"/>
      <c r="F5" s="215">
        <v>0</v>
      </c>
      <c r="G5" s="215">
        <v>0</v>
      </c>
      <c r="H5" s="215">
        <v>0</v>
      </c>
      <c r="I5" s="215">
        <v>0</v>
      </c>
      <c r="J5" s="215">
        <v>0</v>
      </c>
      <c r="K5" s="215">
        <v>0</v>
      </c>
      <c r="L5" s="215">
        <v>0</v>
      </c>
      <c r="M5" s="215">
        <v>0</v>
      </c>
      <c r="N5" s="215">
        <v>0</v>
      </c>
      <c r="O5" s="215"/>
    </row>
    <row r="6" spans="2:15" ht="15.5" x14ac:dyDescent="0.35">
      <c r="B6" s="75" t="s">
        <v>156</v>
      </c>
      <c r="C6" s="215">
        <v>0</v>
      </c>
      <c r="D6" s="215">
        <v>0</v>
      </c>
      <c r="E6" s="215"/>
      <c r="F6" s="215">
        <v>0</v>
      </c>
      <c r="G6" s="215">
        <v>0</v>
      </c>
      <c r="H6" s="215">
        <v>0</v>
      </c>
      <c r="I6" s="215">
        <v>0</v>
      </c>
      <c r="J6" s="215">
        <v>0</v>
      </c>
      <c r="K6" s="215">
        <v>0</v>
      </c>
      <c r="L6" s="215">
        <v>0</v>
      </c>
      <c r="M6" s="215">
        <v>0</v>
      </c>
      <c r="N6" s="215">
        <v>0</v>
      </c>
      <c r="O6" s="215"/>
    </row>
    <row r="7" spans="2:15" ht="15.5" x14ac:dyDescent="0.35">
      <c r="B7" s="75" t="s">
        <v>155</v>
      </c>
      <c r="C7" s="215">
        <v>0</v>
      </c>
      <c r="D7" s="215">
        <v>0</v>
      </c>
      <c r="E7" s="215"/>
      <c r="F7" s="215">
        <v>0</v>
      </c>
      <c r="G7" s="215">
        <v>0</v>
      </c>
      <c r="H7" s="215">
        <v>0</v>
      </c>
      <c r="I7" s="215">
        <v>0</v>
      </c>
      <c r="J7" s="215">
        <v>0</v>
      </c>
      <c r="K7" s="215">
        <v>0</v>
      </c>
      <c r="L7" s="215">
        <v>0</v>
      </c>
      <c r="M7" s="215">
        <v>0</v>
      </c>
      <c r="N7" s="215">
        <v>0</v>
      </c>
      <c r="O7" s="215"/>
    </row>
    <row r="8" spans="2:15" ht="15.5" x14ac:dyDescent="0.35">
      <c r="B8" s="75" t="s">
        <v>32</v>
      </c>
      <c r="C8" s="215">
        <v>0</v>
      </c>
      <c r="D8" s="215">
        <v>0</v>
      </c>
      <c r="E8" s="215"/>
      <c r="F8" s="215">
        <v>0</v>
      </c>
      <c r="G8" s="215">
        <v>0</v>
      </c>
      <c r="H8" s="215">
        <v>0</v>
      </c>
      <c r="I8" s="215">
        <v>0</v>
      </c>
      <c r="J8" s="215">
        <v>0</v>
      </c>
      <c r="K8" s="215">
        <v>0</v>
      </c>
      <c r="L8" s="215">
        <v>0</v>
      </c>
      <c r="M8" s="215">
        <v>2137500</v>
      </c>
      <c r="N8" s="215">
        <v>2137500</v>
      </c>
      <c r="O8" s="215"/>
    </row>
    <row r="9" spans="2:15" ht="15.5" x14ac:dyDescent="0.35">
      <c r="B9" s="75" t="s">
        <v>33</v>
      </c>
      <c r="C9" s="215">
        <v>5288375.07</v>
      </c>
      <c r="D9" s="215">
        <v>5288375.07</v>
      </c>
      <c r="E9" s="215">
        <v>5288375.07</v>
      </c>
      <c r="F9" s="215">
        <v>5288375.07</v>
      </c>
      <c r="G9" s="215">
        <v>5288375.07</v>
      </c>
      <c r="H9" s="215">
        <v>5288375.07</v>
      </c>
      <c r="I9" s="215">
        <v>5288375.07</v>
      </c>
      <c r="J9" s="215">
        <v>5288375.07</v>
      </c>
      <c r="K9" s="215">
        <v>5288375.07</v>
      </c>
      <c r="L9" s="215">
        <v>5288375.07</v>
      </c>
      <c r="M9" s="215">
        <v>5288375.07</v>
      </c>
      <c r="N9" s="215">
        <v>7869336.5300000003</v>
      </c>
      <c r="O9" s="215"/>
    </row>
    <row r="10" spans="2:15" ht="16.5" x14ac:dyDescent="0.35">
      <c r="B10" s="74" t="s">
        <v>34</v>
      </c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</row>
    <row r="11" spans="2:15" ht="15.5" x14ac:dyDescent="0.35">
      <c r="B11" s="75" t="s">
        <v>35</v>
      </c>
      <c r="C11" s="215">
        <v>76746462.260000005</v>
      </c>
      <c r="D11" s="215">
        <v>89318593.790000007</v>
      </c>
      <c r="E11" s="215">
        <v>94628310.450000003</v>
      </c>
      <c r="F11" s="215">
        <v>106729473.22</v>
      </c>
      <c r="G11" s="215">
        <v>121737200.8</v>
      </c>
      <c r="H11" s="215">
        <v>139771027.97999999</v>
      </c>
      <c r="I11" s="215">
        <v>164533004.53</v>
      </c>
      <c r="J11" s="215">
        <v>178143378.22</v>
      </c>
      <c r="K11" s="215">
        <v>255391212.43000001</v>
      </c>
      <c r="L11" s="215">
        <v>267211466.55000001</v>
      </c>
      <c r="M11" s="215">
        <v>281464291.50999999</v>
      </c>
      <c r="N11" s="215">
        <v>0</v>
      </c>
      <c r="O11" s="215"/>
    </row>
    <row r="12" spans="2:15" ht="15.5" x14ac:dyDescent="0.35">
      <c r="B12" s="75" t="s">
        <v>36</v>
      </c>
      <c r="C12" s="215">
        <v>29866317.32</v>
      </c>
      <c r="D12" s="215">
        <v>29866317.32</v>
      </c>
      <c r="E12" s="215">
        <v>29866317.32</v>
      </c>
      <c r="F12" s="215">
        <v>29866317.32</v>
      </c>
      <c r="G12" s="215">
        <v>29866317.32</v>
      </c>
      <c r="H12" s="215">
        <v>29866317.32</v>
      </c>
      <c r="I12" s="215">
        <v>29866317.32</v>
      </c>
      <c r="J12" s="215">
        <v>29866317.32</v>
      </c>
      <c r="K12" s="215">
        <v>29866317.32</v>
      </c>
      <c r="L12" s="215">
        <v>29866317.32</v>
      </c>
      <c r="M12" s="215">
        <v>29866317.32</v>
      </c>
      <c r="N12" s="215">
        <v>0</v>
      </c>
      <c r="O12" s="215"/>
    </row>
    <row r="13" spans="2:15" ht="16.5" x14ac:dyDescent="0.35">
      <c r="B13" s="74" t="s">
        <v>37</v>
      </c>
      <c r="C13" s="215"/>
      <c r="D13" s="215"/>
      <c r="E13" s="215"/>
      <c r="F13" s="215"/>
      <c r="G13" s="215"/>
      <c r="H13" s="215"/>
      <c r="I13" s="215"/>
      <c r="J13" s="215"/>
      <c r="K13" s="215"/>
      <c r="L13" s="215"/>
      <c r="M13" s="215"/>
      <c r="N13" s="215"/>
      <c r="O13" s="215"/>
    </row>
    <row r="14" spans="2:15" ht="15.5" x14ac:dyDescent="0.35">
      <c r="B14" s="75" t="s">
        <v>162</v>
      </c>
      <c r="C14" s="215">
        <v>30660612.02</v>
      </c>
      <c r="D14" s="215">
        <v>29983439.170000002</v>
      </c>
      <c r="E14" s="215">
        <v>37790804.189999998</v>
      </c>
      <c r="F14" s="215">
        <v>32011926.940000001</v>
      </c>
      <c r="G14" s="215">
        <v>39152571.390000001</v>
      </c>
      <c r="H14" s="215">
        <v>33594007.439999998</v>
      </c>
      <c r="I14" s="215">
        <v>38321158.560000002</v>
      </c>
      <c r="J14" s="215">
        <v>40585537.240000002</v>
      </c>
      <c r="K14" s="215">
        <v>36694188.369999997</v>
      </c>
      <c r="L14" s="215">
        <v>34799240.689999998</v>
      </c>
      <c r="M14" s="215">
        <v>64654161.710000001</v>
      </c>
      <c r="N14" s="215">
        <v>55746804.359999999</v>
      </c>
      <c r="O14" s="215"/>
    </row>
    <row r="15" spans="2:15" ht="15.5" x14ac:dyDescent="0.35">
      <c r="B15" s="75" t="s">
        <v>163</v>
      </c>
      <c r="C15" s="215">
        <v>941628.83</v>
      </c>
      <c r="D15" s="215">
        <v>1556686.22</v>
      </c>
      <c r="E15" s="215">
        <v>1497862.69</v>
      </c>
      <c r="F15" s="215">
        <v>1857386.22</v>
      </c>
      <c r="G15" s="215">
        <v>2467714.2799999998</v>
      </c>
      <c r="H15" s="215">
        <v>2788211</v>
      </c>
      <c r="I15" s="215">
        <v>7992451.7999999998</v>
      </c>
      <c r="J15" s="215">
        <v>5028315.22</v>
      </c>
      <c r="K15" s="215">
        <v>6393341.5899999999</v>
      </c>
      <c r="L15" s="215">
        <v>8222169.9100000001</v>
      </c>
      <c r="M15" s="215">
        <v>16164420.189999999</v>
      </c>
      <c r="N15" s="215">
        <v>6749000.2300000004</v>
      </c>
      <c r="O15" s="215"/>
    </row>
    <row r="16" spans="2:15" ht="15.5" x14ac:dyDescent="0.35">
      <c r="B16" s="75" t="s">
        <v>164</v>
      </c>
      <c r="C16" s="215">
        <v>92438422.310000002</v>
      </c>
      <c r="D16" s="215">
        <v>88652796.920000002</v>
      </c>
      <c r="E16" s="215">
        <v>88972944.709999993</v>
      </c>
      <c r="F16" s="215">
        <v>91625181.189999998</v>
      </c>
      <c r="G16" s="215">
        <v>96728467.25</v>
      </c>
      <c r="H16" s="215">
        <v>103872528.95999999</v>
      </c>
      <c r="I16" s="215">
        <v>106367369.7</v>
      </c>
      <c r="J16" s="215">
        <v>101984376.14</v>
      </c>
      <c r="K16" s="215">
        <v>106594240.04000001</v>
      </c>
      <c r="L16" s="215">
        <v>107940776.72</v>
      </c>
      <c r="M16" s="215">
        <v>110918479.94</v>
      </c>
      <c r="N16" s="215">
        <v>110131856.72</v>
      </c>
      <c r="O16" s="215"/>
    </row>
    <row r="17" spans="2:15" ht="15.5" x14ac:dyDescent="0.35">
      <c r="B17" s="75" t="s">
        <v>173</v>
      </c>
      <c r="C17" s="215">
        <v>4620029.4000000004</v>
      </c>
      <c r="D17" s="215">
        <v>6165253.8200000003</v>
      </c>
      <c r="E17" s="215">
        <v>6385759.4699999997</v>
      </c>
      <c r="F17" s="215">
        <v>12844262.16</v>
      </c>
      <c r="G17" s="215">
        <v>4860413.49</v>
      </c>
      <c r="H17" s="215">
        <v>7492251.0300000003</v>
      </c>
      <c r="I17" s="215">
        <v>7362102.1900000004</v>
      </c>
      <c r="J17" s="215">
        <v>5824502.96</v>
      </c>
      <c r="K17" s="215">
        <v>15524705.32</v>
      </c>
      <c r="L17" s="215">
        <v>7003170</v>
      </c>
      <c r="M17" s="215">
        <v>2343786.0099999998</v>
      </c>
      <c r="N17" s="215">
        <v>3049372.91</v>
      </c>
      <c r="O17" s="215"/>
    </row>
    <row r="18" spans="2:15" ht="15.5" x14ac:dyDescent="0.35">
      <c r="B18" s="75" t="s">
        <v>165</v>
      </c>
      <c r="C18" s="215">
        <v>5592493.7400000002</v>
      </c>
      <c r="D18" s="215">
        <v>6200144.8799999999</v>
      </c>
      <c r="E18" s="215">
        <v>8397398.0600000005</v>
      </c>
      <c r="F18" s="215">
        <v>8777454.6500000004</v>
      </c>
      <c r="G18" s="215">
        <v>8980407.1899999995</v>
      </c>
      <c r="H18" s="215">
        <v>9605892.7100000009</v>
      </c>
      <c r="I18" s="215">
        <v>10997306.359999999</v>
      </c>
      <c r="J18" s="215">
        <v>11213102.9</v>
      </c>
      <c r="K18" s="215">
        <v>11443764.109999999</v>
      </c>
      <c r="L18" s="215">
        <v>12220060.33</v>
      </c>
      <c r="M18" s="215">
        <v>12621152.27</v>
      </c>
      <c r="N18" s="215">
        <v>10151253.470000001</v>
      </c>
      <c r="O18" s="215"/>
    </row>
    <row r="19" spans="2:15" ht="15.5" x14ac:dyDescent="0.35">
      <c r="B19" s="75" t="s">
        <v>166</v>
      </c>
      <c r="C19" s="215">
        <v>1900545.06</v>
      </c>
      <c r="D19" s="215">
        <v>1727252.88</v>
      </c>
      <c r="E19" s="215">
        <v>3152839.57</v>
      </c>
      <c r="F19" s="215">
        <v>3828713.73</v>
      </c>
      <c r="G19" s="215">
        <v>3923786.4</v>
      </c>
      <c r="H19" s="215">
        <v>8301519.5099999998</v>
      </c>
      <c r="I19" s="215">
        <v>8477463.2699999996</v>
      </c>
      <c r="J19" s="215">
        <v>9104389.0600000005</v>
      </c>
      <c r="K19" s="215">
        <v>11250966.59</v>
      </c>
      <c r="L19" s="215">
        <v>11717169.689999999</v>
      </c>
      <c r="M19" s="215">
        <v>11776363.65</v>
      </c>
      <c r="N19" s="215">
        <v>12404060.390000001</v>
      </c>
      <c r="O19" s="215"/>
    </row>
    <row r="20" spans="2:15" ht="15.5" x14ac:dyDescent="0.35">
      <c r="B20" s="75" t="s">
        <v>171</v>
      </c>
      <c r="C20" s="215">
        <v>0</v>
      </c>
      <c r="D20" s="215">
        <v>0</v>
      </c>
      <c r="E20" s="215">
        <v>0</v>
      </c>
      <c r="F20" s="215">
        <v>0</v>
      </c>
      <c r="G20" s="215">
        <v>0</v>
      </c>
      <c r="H20" s="215">
        <v>0</v>
      </c>
      <c r="I20" s="215">
        <v>2394150</v>
      </c>
      <c r="J20" s="215">
        <v>2394150</v>
      </c>
      <c r="K20" s="215">
        <v>2394150</v>
      </c>
      <c r="L20" s="215">
        <v>2394150</v>
      </c>
      <c r="M20" s="215">
        <v>2394150</v>
      </c>
      <c r="N20" s="215">
        <v>2394150</v>
      </c>
      <c r="O20" s="215"/>
    </row>
    <row r="21" spans="2:15" ht="15.5" x14ac:dyDescent="0.35">
      <c r="B21" s="75" t="s">
        <v>172</v>
      </c>
      <c r="C21" s="215">
        <v>169400</v>
      </c>
      <c r="D21" s="215">
        <v>169400</v>
      </c>
      <c r="E21" s="215">
        <v>169400</v>
      </c>
      <c r="F21" s="215">
        <v>169400</v>
      </c>
      <c r="G21" s="215">
        <v>169400</v>
      </c>
      <c r="H21" s="215">
        <v>169400</v>
      </c>
      <c r="I21" s="215">
        <v>0</v>
      </c>
      <c r="J21" s="215">
        <v>0</v>
      </c>
      <c r="K21" s="215">
        <v>0</v>
      </c>
      <c r="L21" s="215">
        <v>0</v>
      </c>
      <c r="M21" s="215">
        <v>0</v>
      </c>
      <c r="N21" s="215">
        <v>0</v>
      </c>
      <c r="O21" s="215"/>
    </row>
    <row r="22" spans="2:15" ht="15.5" x14ac:dyDescent="0.35">
      <c r="B22" s="75" t="s">
        <v>167</v>
      </c>
      <c r="C22" s="215">
        <v>1361205.77</v>
      </c>
      <c r="D22" s="215">
        <v>1167589.1000000001</v>
      </c>
      <c r="E22" s="215">
        <v>1449990.91</v>
      </c>
      <c r="F22" s="215">
        <v>2757126.79</v>
      </c>
      <c r="G22" s="215">
        <v>960715.92</v>
      </c>
      <c r="H22" s="215">
        <v>1138617.8400000001</v>
      </c>
      <c r="I22" s="215">
        <v>1144097.47</v>
      </c>
      <c r="J22" s="215">
        <v>1184096.6399999999</v>
      </c>
      <c r="K22" s="215">
        <v>1226053.02</v>
      </c>
      <c r="L22" s="215">
        <v>2272259.83</v>
      </c>
      <c r="M22" s="215">
        <v>1304375.1599999999</v>
      </c>
      <c r="N22" s="215">
        <v>1236003.71</v>
      </c>
      <c r="O22" s="215"/>
    </row>
    <row r="23" spans="2:15" ht="15.5" x14ac:dyDescent="0.35">
      <c r="B23" s="75" t="s">
        <v>168</v>
      </c>
      <c r="C23" s="215">
        <v>2586658.4</v>
      </c>
      <c r="D23" s="215">
        <v>2629041.98</v>
      </c>
      <c r="E23" s="215">
        <v>3295547.18</v>
      </c>
      <c r="F23" s="215">
        <v>2612720.4700000002</v>
      </c>
      <c r="G23" s="215">
        <v>3433271.13</v>
      </c>
      <c r="H23" s="215">
        <v>3333621.58</v>
      </c>
      <c r="I23" s="215">
        <v>6585100.8399999999</v>
      </c>
      <c r="J23" s="215">
        <v>6522636.5800000001</v>
      </c>
      <c r="K23" s="215">
        <v>6866919.4199999999</v>
      </c>
      <c r="L23" s="215">
        <v>4616719.74</v>
      </c>
      <c r="M23" s="215">
        <v>6169071.5499999998</v>
      </c>
      <c r="N23" s="215">
        <v>6105182.8899999997</v>
      </c>
      <c r="O23" s="215"/>
    </row>
    <row r="24" spans="2:15" ht="15.5" x14ac:dyDescent="0.35">
      <c r="B24" s="75" t="s">
        <v>170</v>
      </c>
      <c r="C24" s="215">
        <v>107626195.90000001</v>
      </c>
      <c r="D24" s="215">
        <v>107558972.08</v>
      </c>
      <c r="E24" s="215">
        <v>108715472.08</v>
      </c>
      <c r="F24" s="215">
        <v>108715472.08</v>
      </c>
      <c r="G24" s="215">
        <v>110336794.17</v>
      </c>
      <c r="H24" s="215">
        <v>119179360.3</v>
      </c>
      <c r="I24" s="215">
        <v>115501539.84</v>
      </c>
      <c r="J24" s="215">
        <v>115238812.08</v>
      </c>
      <c r="K24" s="215">
        <v>112603406.68000001</v>
      </c>
      <c r="L24" s="215">
        <v>116860965.2</v>
      </c>
      <c r="M24" s="215">
        <v>116712598.3</v>
      </c>
      <c r="N24" s="215">
        <v>120983627.38</v>
      </c>
      <c r="O24" s="215"/>
    </row>
    <row r="25" spans="2:15" ht="15.5" x14ac:dyDescent="0.35">
      <c r="B25" s="75" t="s">
        <v>169</v>
      </c>
      <c r="C25" s="215">
        <v>143794295.18000001</v>
      </c>
      <c r="D25" s="215">
        <v>144097426.75999999</v>
      </c>
      <c r="E25" s="215">
        <v>145012778.34</v>
      </c>
      <c r="F25" s="215">
        <v>148295646.08000001</v>
      </c>
      <c r="G25" s="215">
        <v>145847494.97</v>
      </c>
      <c r="H25" s="215">
        <v>149283808.33000001</v>
      </c>
      <c r="I25" s="215">
        <v>146385153.40000001</v>
      </c>
      <c r="J25" s="215">
        <v>146826119.99000001</v>
      </c>
      <c r="K25" s="215">
        <v>145997274.80000001</v>
      </c>
      <c r="L25" s="215">
        <v>149335500.87</v>
      </c>
      <c r="M25" s="215">
        <v>149654355.80000001</v>
      </c>
      <c r="N25" s="215">
        <v>151255652.22</v>
      </c>
      <c r="O25" s="215"/>
    </row>
    <row r="26" spans="2:15" ht="16.5" x14ac:dyDescent="0.35">
      <c r="B26" s="74" t="s">
        <v>38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</row>
    <row r="27" spans="2:15" ht="15.5" x14ac:dyDescent="0.35">
      <c r="B27" s="75" t="s">
        <v>39</v>
      </c>
      <c r="C27" s="215">
        <v>25131123.539999999</v>
      </c>
      <c r="D27" s="215">
        <v>25137840.449999999</v>
      </c>
      <c r="E27" s="215">
        <v>3145035.99</v>
      </c>
      <c r="F27" s="215">
        <v>3152015.38</v>
      </c>
      <c r="G27" s="215">
        <v>65159243.420000002</v>
      </c>
      <c r="H27" s="215">
        <v>3166254.35</v>
      </c>
      <c r="I27" s="215">
        <v>3173515.05</v>
      </c>
      <c r="J27" s="215">
        <v>3180792.4</v>
      </c>
      <c r="K27" s="215">
        <v>3187851.14</v>
      </c>
      <c r="L27" s="215">
        <v>3195161.36</v>
      </c>
      <c r="M27" s="215">
        <v>3202251.99</v>
      </c>
      <c r="N27" s="215">
        <v>3209595.23</v>
      </c>
      <c r="O27" s="215"/>
    </row>
    <row r="28" spans="2:15" ht="15.5" x14ac:dyDescent="0.35">
      <c r="B28" s="75" t="s">
        <v>40</v>
      </c>
      <c r="C28" s="215">
        <v>28539299.219999999</v>
      </c>
      <c r="D28" s="215">
        <v>29239331.629999999</v>
      </c>
      <c r="E28" s="215">
        <v>80347037.859999999</v>
      </c>
      <c r="F28" s="215">
        <v>146926685.47</v>
      </c>
      <c r="G28" s="215">
        <v>96423194.329999998</v>
      </c>
      <c r="H28" s="215">
        <v>162342908.68000001</v>
      </c>
      <c r="I28" s="215">
        <v>165627772.84</v>
      </c>
      <c r="J28" s="215">
        <v>155908385.71000001</v>
      </c>
      <c r="K28" s="215">
        <v>91697673</v>
      </c>
      <c r="L28" s="215">
        <v>101435135.22</v>
      </c>
      <c r="M28" s="215">
        <v>100160239.13</v>
      </c>
      <c r="N28" s="215">
        <v>97735625.959999993</v>
      </c>
      <c r="O28" s="215"/>
    </row>
    <row r="29" spans="2:15" ht="15.5" x14ac:dyDescent="0.35">
      <c r="B29" s="75" t="s">
        <v>41</v>
      </c>
      <c r="C29" s="215">
        <v>0</v>
      </c>
      <c r="D29" s="215">
        <v>0</v>
      </c>
      <c r="E29" s="215">
        <v>0</v>
      </c>
      <c r="F29" s="215">
        <v>0</v>
      </c>
      <c r="G29" s="215">
        <v>0</v>
      </c>
      <c r="H29" s="215">
        <v>0</v>
      </c>
      <c r="I29" s="215">
        <v>0</v>
      </c>
      <c r="J29" s="215">
        <v>0</v>
      </c>
      <c r="K29" s="215">
        <v>0</v>
      </c>
      <c r="L29" s="215">
        <v>0</v>
      </c>
      <c r="M29" s="215">
        <v>0</v>
      </c>
      <c r="N29" s="215">
        <v>0</v>
      </c>
      <c r="O29" s="215"/>
    </row>
    <row r="30" spans="2:15" ht="15.5" x14ac:dyDescent="0.35">
      <c r="B30" s="75" t="s">
        <v>42</v>
      </c>
      <c r="C30" s="215">
        <v>0</v>
      </c>
      <c r="D30" s="215">
        <v>1715700</v>
      </c>
      <c r="E30" s="215">
        <v>0</v>
      </c>
      <c r="F30" s="215">
        <v>3585282.89</v>
      </c>
      <c r="G30" s="215">
        <v>-1091282</v>
      </c>
      <c r="H30" s="215">
        <v>0</v>
      </c>
      <c r="I30" s="215">
        <v>0</v>
      </c>
      <c r="J30" s="215">
        <v>0</v>
      </c>
      <c r="K30" s="215">
        <v>0</v>
      </c>
      <c r="L30" s="215">
        <v>0</v>
      </c>
      <c r="M30" s="215">
        <v>2000000</v>
      </c>
      <c r="N30" s="215">
        <v>0</v>
      </c>
      <c r="O30" s="215"/>
    </row>
    <row r="31" spans="2:15" ht="16.5" x14ac:dyDescent="0.35">
      <c r="B31" s="74" t="s">
        <v>43</v>
      </c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5"/>
    </row>
    <row r="32" spans="2:15" ht="15.5" x14ac:dyDescent="0.35">
      <c r="B32" s="75" t="s">
        <v>44</v>
      </c>
      <c r="C32" s="215">
        <v>1000000</v>
      </c>
      <c r="D32" s="215">
        <v>1000000</v>
      </c>
      <c r="E32" s="215">
        <v>1000000</v>
      </c>
      <c r="F32" s="215">
        <v>1000000</v>
      </c>
      <c r="G32" s="215">
        <v>1000000</v>
      </c>
      <c r="H32" s="215">
        <v>1000000</v>
      </c>
      <c r="I32" s="215">
        <v>1000000</v>
      </c>
      <c r="J32" s="215">
        <v>1000000</v>
      </c>
      <c r="K32" s="215">
        <v>1000000</v>
      </c>
      <c r="L32" s="215">
        <v>1000000</v>
      </c>
      <c r="M32" s="215">
        <v>1000000</v>
      </c>
      <c r="N32" s="215">
        <v>1000000</v>
      </c>
      <c r="O32" s="215"/>
    </row>
    <row r="33" spans="2:15" ht="15.5" x14ac:dyDescent="0.35">
      <c r="B33" s="75" t="s">
        <v>157</v>
      </c>
      <c r="C33" s="215">
        <v>0</v>
      </c>
      <c r="D33" s="215">
        <v>0</v>
      </c>
      <c r="E33" s="215">
        <v>0</v>
      </c>
      <c r="F33" s="215">
        <v>0</v>
      </c>
      <c r="G33" s="215">
        <v>0</v>
      </c>
      <c r="H33" s="215">
        <v>0</v>
      </c>
      <c r="I33" s="215">
        <v>0</v>
      </c>
      <c r="J33" s="215">
        <v>0</v>
      </c>
      <c r="K33" s="215">
        <v>0</v>
      </c>
      <c r="L33" s="215">
        <v>0</v>
      </c>
      <c r="M33" s="215">
        <v>0</v>
      </c>
      <c r="N33" s="215">
        <v>0</v>
      </c>
      <c r="O33" s="215"/>
    </row>
    <row r="34" spans="2:15" ht="15.5" x14ac:dyDescent="0.35">
      <c r="B34" s="75" t="s">
        <v>158</v>
      </c>
      <c r="C34" s="215">
        <v>0</v>
      </c>
      <c r="D34" s="215">
        <v>0</v>
      </c>
      <c r="E34" s="215">
        <v>0</v>
      </c>
      <c r="F34" s="215">
        <v>0</v>
      </c>
      <c r="G34" s="215">
        <v>0</v>
      </c>
      <c r="H34" s="215">
        <v>0</v>
      </c>
      <c r="I34" s="215">
        <v>0</v>
      </c>
      <c r="J34" s="215">
        <v>0</v>
      </c>
      <c r="K34" s="215">
        <v>0</v>
      </c>
      <c r="L34" s="215">
        <v>0</v>
      </c>
      <c r="M34" s="215">
        <v>0</v>
      </c>
      <c r="N34" s="215">
        <v>0</v>
      </c>
      <c r="O34" s="215"/>
    </row>
    <row r="35" spans="2:15" ht="15.5" x14ac:dyDescent="0.35">
      <c r="B35" s="75" t="s">
        <v>159</v>
      </c>
      <c r="C35" s="215">
        <v>0</v>
      </c>
      <c r="D35" s="215">
        <v>0</v>
      </c>
      <c r="E35" s="215">
        <v>0</v>
      </c>
      <c r="F35" s="215">
        <v>0</v>
      </c>
      <c r="G35" s="215">
        <v>0</v>
      </c>
      <c r="H35" s="215">
        <v>0</v>
      </c>
      <c r="I35" s="215">
        <v>0</v>
      </c>
      <c r="J35" s="215">
        <v>0</v>
      </c>
      <c r="K35" s="215">
        <v>0</v>
      </c>
      <c r="L35" s="215">
        <v>0</v>
      </c>
      <c r="M35" s="215">
        <v>0</v>
      </c>
      <c r="N35" s="215">
        <v>0</v>
      </c>
      <c r="O35" s="215"/>
    </row>
    <row r="36" spans="2:15" ht="16.5" x14ac:dyDescent="0.35">
      <c r="B36" s="74" t="s">
        <v>45</v>
      </c>
      <c r="C36" s="215"/>
      <c r="D36" s="215"/>
      <c r="E36" s="215"/>
      <c r="F36" s="215"/>
      <c r="G36" s="215"/>
      <c r="H36" s="215"/>
      <c r="I36" s="215"/>
      <c r="J36" s="215"/>
      <c r="K36" s="215"/>
      <c r="L36" s="215"/>
      <c r="M36" s="215"/>
      <c r="N36" s="215"/>
      <c r="O36" s="215"/>
    </row>
    <row r="37" spans="2:15" ht="15.5" x14ac:dyDescent="0.35">
      <c r="B37" s="75" t="s">
        <v>46</v>
      </c>
      <c r="C37" s="215">
        <v>24461174.670000002</v>
      </c>
      <c r="D37" s="215">
        <v>13598702.59</v>
      </c>
      <c r="E37" s="215">
        <v>17084469.280000001</v>
      </c>
      <c r="F37" s="215">
        <v>77089437.780000001</v>
      </c>
      <c r="G37" s="215">
        <v>22780620.079999998</v>
      </c>
      <c r="H37" s="215">
        <v>14884936.67</v>
      </c>
      <c r="I37" s="215">
        <v>33335501.359999999</v>
      </c>
      <c r="J37" s="215">
        <v>24127743.789999999</v>
      </c>
      <c r="K37" s="215">
        <v>14513920.560000001</v>
      </c>
      <c r="L37" s="215">
        <v>13606870.220000001</v>
      </c>
      <c r="M37" s="215">
        <v>8165894.4500000002</v>
      </c>
      <c r="N37" s="215">
        <v>22526727.149999999</v>
      </c>
      <c r="O37" s="215"/>
    </row>
    <row r="38" spans="2:15" ht="15.5" x14ac:dyDescent="0.35">
      <c r="B38" s="75" t="s">
        <v>47</v>
      </c>
      <c r="C38" s="215">
        <v>11303794.85</v>
      </c>
      <c r="D38" s="215">
        <v>11514577.5</v>
      </c>
      <c r="E38" s="215">
        <v>32550452.02</v>
      </c>
      <c r="F38" s="215">
        <v>2051226.88</v>
      </c>
      <c r="G38" s="215">
        <v>5083914.54</v>
      </c>
      <c r="H38" s="215">
        <v>13591209.550000001</v>
      </c>
      <c r="I38" s="215">
        <v>5808854.7400000002</v>
      </c>
      <c r="J38" s="215">
        <v>-5182065.3</v>
      </c>
      <c r="K38" s="215">
        <v>3350643.73</v>
      </c>
      <c r="L38" s="215">
        <v>4461636.99</v>
      </c>
      <c r="M38" s="215">
        <v>33654092.909999996</v>
      </c>
      <c r="N38" s="215">
        <v>7253467.3499999996</v>
      </c>
      <c r="O38" s="215"/>
    </row>
    <row r="39" spans="2:15" ht="15.5" x14ac:dyDescent="0.35">
      <c r="B39" s="75" t="s">
        <v>161</v>
      </c>
      <c r="C39" s="215">
        <v>0</v>
      </c>
      <c r="D39" s="215">
        <v>0</v>
      </c>
      <c r="E39" s="215">
        <v>0</v>
      </c>
      <c r="F39" s="215">
        <v>0</v>
      </c>
      <c r="G39" s="215">
        <v>0</v>
      </c>
      <c r="H39" s="215">
        <v>0</v>
      </c>
      <c r="I39" s="215">
        <v>0</v>
      </c>
      <c r="J39" s="215">
        <v>0</v>
      </c>
      <c r="K39" s="215">
        <v>0</v>
      </c>
      <c r="L39" s="215">
        <v>0</v>
      </c>
      <c r="M39" s="215">
        <v>0</v>
      </c>
      <c r="N39" s="215">
        <v>0</v>
      </c>
      <c r="O39" s="215"/>
    </row>
    <row r="40" spans="2:15" ht="15.5" x14ac:dyDescent="0.35">
      <c r="B40" s="75" t="s">
        <v>48</v>
      </c>
      <c r="C40" s="215">
        <v>218153.96</v>
      </c>
      <c r="D40" s="215">
        <v>198641.63</v>
      </c>
      <c r="E40" s="215">
        <v>199798.36</v>
      </c>
      <c r="F40" s="215">
        <v>7754.88</v>
      </c>
      <c r="G40" s="215">
        <v>8031.16</v>
      </c>
      <c r="H40" s="215">
        <v>221498.33</v>
      </c>
      <c r="I40" s="215">
        <v>656090.23</v>
      </c>
      <c r="J40" s="215">
        <v>8085.94</v>
      </c>
      <c r="K40" s="215">
        <v>409584.9</v>
      </c>
      <c r="L40" s="215">
        <v>8150.47</v>
      </c>
      <c r="M40" s="215">
        <v>7878.48</v>
      </c>
      <c r="N40" s="215">
        <v>391446.41</v>
      </c>
      <c r="O40" s="215"/>
    </row>
    <row r="41" spans="2:15" ht="15.5" x14ac:dyDescent="0.35">
      <c r="B41" s="75" t="s">
        <v>49</v>
      </c>
      <c r="C41" s="215">
        <v>2365.36</v>
      </c>
      <c r="D41" s="215">
        <v>0.59</v>
      </c>
      <c r="E41" s="215">
        <v>0.94</v>
      </c>
      <c r="F41" s="215">
        <v>0</v>
      </c>
      <c r="G41" s="215">
        <v>13619.67</v>
      </c>
      <c r="H41" s="215">
        <v>534.6</v>
      </c>
      <c r="I41" s="215">
        <v>0.26</v>
      </c>
      <c r="J41" s="215">
        <v>9</v>
      </c>
      <c r="K41" s="215">
        <v>3.61</v>
      </c>
      <c r="L41" s="215">
        <v>1.86</v>
      </c>
      <c r="M41" s="215">
        <v>9.6199999999999992</v>
      </c>
      <c r="N41" s="215">
        <v>574.85</v>
      </c>
      <c r="O41" s="215"/>
    </row>
    <row r="42" spans="2:15" ht="16.5" x14ac:dyDescent="0.35">
      <c r="B42" s="74" t="s">
        <v>50</v>
      </c>
      <c r="C42" s="215"/>
      <c r="D42" s="215"/>
      <c r="E42" s="215"/>
      <c r="F42" s="215"/>
      <c r="G42" s="215"/>
      <c r="H42" s="215"/>
      <c r="I42" s="215"/>
      <c r="J42" s="215"/>
      <c r="K42" s="215"/>
      <c r="L42" s="215"/>
      <c r="M42" s="215"/>
      <c r="N42" s="215"/>
      <c r="O42" s="215"/>
    </row>
    <row r="43" spans="2:15" ht="15.5" x14ac:dyDescent="0.35">
      <c r="B43" s="75" t="s">
        <v>51</v>
      </c>
      <c r="C43" s="215">
        <v>0</v>
      </c>
      <c r="D43" s="215">
        <v>0</v>
      </c>
      <c r="E43" s="215">
        <v>0</v>
      </c>
      <c r="F43" s="215">
        <v>0</v>
      </c>
      <c r="G43" s="215">
        <v>0</v>
      </c>
      <c r="H43" s="215">
        <v>0</v>
      </c>
      <c r="I43" s="215">
        <v>0</v>
      </c>
      <c r="J43" s="215">
        <v>0</v>
      </c>
      <c r="K43" s="215">
        <v>0</v>
      </c>
      <c r="L43" s="215">
        <v>0</v>
      </c>
      <c r="M43" s="215">
        <v>0</v>
      </c>
      <c r="N43" s="215">
        <v>329902536.41000003</v>
      </c>
      <c r="O43" s="215"/>
    </row>
    <row r="44" spans="2:15" ht="15.5" x14ac:dyDescent="0.35">
      <c r="B44" s="75" t="s">
        <v>52</v>
      </c>
      <c r="C44" s="215">
        <v>8003788.7400000002</v>
      </c>
      <c r="D44" s="215">
        <v>3755407.7</v>
      </c>
      <c r="E44" s="215">
        <v>3759556.63</v>
      </c>
      <c r="F44" s="215">
        <v>2978560.61</v>
      </c>
      <c r="G44" s="215">
        <v>3733545.89</v>
      </c>
      <c r="H44" s="215">
        <v>6164907.3799999999</v>
      </c>
      <c r="I44" s="215">
        <v>5435565.9400000004</v>
      </c>
      <c r="J44" s="215">
        <v>5283256.2699999996</v>
      </c>
      <c r="K44" s="215">
        <v>5188763.66</v>
      </c>
      <c r="L44" s="215">
        <v>9643930.8800000008</v>
      </c>
      <c r="M44" s="215">
        <v>6623705.9100000001</v>
      </c>
      <c r="N44" s="215">
        <v>6414490.6399999997</v>
      </c>
      <c r="O44" s="215"/>
    </row>
    <row r="45" spans="2:15" ht="15.5" x14ac:dyDescent="0.35">
      <c r="B45" s="75" t="s">
        <v>53</v>
      </c>
      <c r="C45" s="215">
        <v>0</v>
      </c>
      <c r="D45" s="215">
        <v>0</v>
      </c>
      <c r="E45" s="215">
        <v>0</v>
      </c>
      <c r="F45" s="215">
        <v>0</v>
      </c>
      <c r="G45" s="215">
        <v>0</v>
      </c>
      <c r="H45" s="215">
        <v>0</v>
      </c>
      <c r="I45" s="215">
        <v>0</v>
      </c>
      <c r="J45" s="215">
        <v>0</v>
      </c>
      <c r="K45" s="215">
        <v>0</v>
      </c>
      <c r="L45" s="215">
        <v>0</v>
      </c>
      <c r="M45" s="215">
        <v>0</v>
      </c>
      <c r="N45" s="215">
        <v>2580961.46</v>
      </c>
      <c r="O45" s="215"/>
    </row>
    <row r="46" spans="2:15" ht="15.5" x14ac:dyDescent="0.35">
      <c r="B46" s="75" t="s">
        <v>54</v>
      </c>
      <c r="C46" s="215">
        <v>7335235.8099999996</v>
      </c>
      <c r="D46" s="215">
        <v>1564202.94</v>
      </c>
      <c r="E46" s="215">
        <v>4102903.37</v>
      </c>
      <c r="F46" s="215">
        <v>990530.55</v>
      </c>
      <c r="G46" s="215">
        <v>1796887.92</v>
      </c>
      <c r="H46" s="215">
        <v>8371844.9400000004</v>
      </c>
      <c r="I46" s="215">
        <v>1214226.1299999999</v>
      </c>
      <c r="J46" s="215">
        <v>2607214.98</v>
      </c>
      <c r="K46" s="215">
        <v>3072154.33</v>
      </c>
      <c r="L46" s="215">
        <v>2500734.29</v>
      </c>
      <c r="M46" s="215">
        <v>1068446.26</v>
      </c>
      <c r="N46" s="215">
        <v>7657051.1299999999</v>
      </c>
      <c r="O46" s="215"/>
    </row>
    <row r="47" spans="2:15" ht="15.5" x14ac:dyDescent="0.35">
      <c r="B47" s="75" t="s">
        <v>55</v>
      </c>
      <c r="C47" s="215">
        <v>3006090.2</v>
      </c>
      <c r="D47" s="215">
        <v>164275.85999999999</v>
      </c>
      <c r="E47" s="215">
        <v>97911.58</v>
      </c>
      <c r="F47" s="215">
        <v>726691.72</v>
      </c>
      <c r="G47" s="215">
        <v>32305.96</v>
      </c>
      <c r="H47" s="215">
        <v>102545.88</v>
      </c>
      <c r="I47" s="215">
        <v>384511.88</v>
      </c>
      <c r="J47" s="215">
        <v>178014.87</v>
      </c>
      <c r="K47" s="215">
        <v>555241.14</v>
      </c>
      <c r="L47" s="215">
        <v>27960.959999999999</v>
      </c>
      <c r="M47" s="215">
        <v>40257.51</v>
      </c>
      <c r="N47" s="215">
        <v>272088.42</v>
      </c>
      <c r="O47" s="215"/>
    </row>
    <row r="48" spans="2:15" ht="15.5" x14ac:dyDescent="0.35">
      <c r="B48" s="75" t="s">
        <v>56</v>
      </c>
      <c r="C48" s="215">
        <v>581.97</v>
      </c>
      <c r="D48" s="215">
        <v>1.61</v>
      </c>
      <c r="E48" s="215">
        <v>1965.88</v>
      </c>
      <c r="F48" s="215">
        <v>0</v>
      </c>
      <c r="G48" s="215">
        <v>1049.83</v>
      </c>
      <c r="H48" s="215">
        <v>21877.62</v>
      </c>
      <c r="I48" s="215">
        <v>27988.32</v>
      </c>
      <c r="J48" s="215">
        <v>1268.06</v>
      </c>
      <c r="K48" s="215">
        <v>0.28000000000000003</v>
      </c>
      <c r="L48" s="215">
        <v>-2164.23</v>
      </c>
      <c r="M48" s="215">
        <v>302450.12</v>
      </c>
      <c r="N48" s="215">
        <v>68263.350000000006</v>
      </c>
      <c r="O48" s="215"/>
    </row>
    <row r="49" spans="2:15" ht="16.5" x14ac:dyDescent="0.35">
      <c r="B49" s="74" t="s">
        <v>57</v>
      </c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  <c r="N49" s="215"/>
      <c r="O49" s="215"/>
    </row>
    <row r="50" spans="2:15" ht="15.5" x14ac:dyDescent="0.35">
      <c r="B50" s="75" t="s">
        <v>58</v>
      </c>
      <c r="C50" s="215"/>
      <c r="D50" s="215"/>
      <c r="E50" s="215"/>
      <c r="F50" s="215"/>
      <c r="G50" s="215"/>
      <c r="H50" s="215"/>
      <c r="I50" s="215"/>
      <c r="J50" s="215"/>
      <c r="K50" s="215"/>
      <c r="L50" s="215"/>
      <c r="M50" s="215"/>
      <c r="N50" s="215"/>
      <c r="O50" s="215"/>
    </row>
    <row r="51" spans="2:15" s="214" customFormat="1" ht="15.5" x14ac:dyDescent="0.35">
      <c r="B51" s="313" t="s">
        <v>59</v>
      </c>
      <c r="C51" s="314">
        <v>19814739.329999998</v>
      </c>
      <c r="D51" s="309">
        <f>C51+C57</f>
        <v>37454531.450000003</v>
      </c>
      <c r="E51" s="309">
        <f t="shared" ref="E51:N51" si="0">D51+D57</f>
        <v>57282565.650000006</v>
      </c>
      <c r="F51" s="309">
        <f t="shared" si="0"/>
        <v>99154948.790000007</v>
      </c>
      <c r="G51" s="309">
        <f t="shared" si="0"/>
        <v>173607585.44999999</v>
      </c>
      <c r="H51" s="309">
        <f t="shared" si="0"/>
        <v>195929981.29999998</v>
      </c>
      <c r="I51" s="309">
        <f t="shared" si="0"/>
        <v>209966984.63</v>
      </c>
      <c r="J51" s="309">
        <f t="shared" si="0"/>
        <v>242705138.94999999</v>
      </c>
      <c r="K51" s="309">
        <f t="shared" si="0"/>
        <v>253589158.19999999</v>
      </c>
      <c r="L51" s="309">
        <f t="shared" si="0"/>
        <v>263047151.58999997</v>
      </c>
      <c r="M51" s="309">
        <f t="shared" si="0"/>
        <v>268953349.22999996</v>
      </c>
      <c r="N51" s="309">
        <f t="shared" si="0"/>
        <v>302746364.88999999</v>
      </c>
      <c r="O51" s="314"/>
    </row>
    <row r="52" spans="2:15" ht="15.5" x14ac:dyDescent="0.35">
      <c r="B52" s="76" t="s">
        <v>66</v>
      </c>
      <c r="C52" s="215">
        <v>37050017.329999998</v>
      </c>
      <c r="D52" s="215">
        <v>37050017.329999998</v>
      </c>
      <c r="E52" s="215">
        <v>37050017.329999998</v>
      </c>
      <c r="F52" s="215">
        <v>37050017.329999998</v>
      </c>
      <c r="G52" s="215">
        <v>37050017.329999998</v>
      </c>
      <c r="H52" s="215">
        <v>37050017.329999998</v>
      </c>
      <c r="I52" s="215">
        <v>37050017.329999998</v>
      </c>
      <c r="J52" s="215">
        <v>37050017.329999998</v>
      </c>
      <c r="K52" s="215">
        <v>37050017.329999998</v>
      </c>
      <c r="L52" s="215">
        <v>37050017.329999998</v>
      </c>
      <c r="M52" s="215">
        <v>37050017.329999998</v>
      </c>
      <c r="N52" s="215">
        <v>37050017.329999998</v>
      </c>
      <c r="O52" s="215"/>
    </row>
    <row r="53" spans="2:15" s="312" customFormat="1" ht="15.5" x14ac:dyDescent="0.35">
      <c r="B53" s="310" t="s">
        <v>60</v>
      </c>
      <c r="C53" s="315">
        <f>C37+C38+C39-C43-C44-C45-C46</f>
        <v>20425944.970000003</v>
      </c>
      <c r="D53" s="315">
        <f t="shared" ref="D53:N53" si="1">D37+D38+D39-D43-D44-D45-D46</f>
        <v>19793669.449999999</v>
      </c>
      <c r="E53" s="315">
        <f t="shared" si="1"/>
        <v>41772461.299999997</v>
      </c>
      <c r="F53" s="315">
        <f t="shared" si="1"/>
        <v>75171573.5</v>
      </c>
      <c r="G53" s="315">
        <f t="shared" si="1"/>
        <v>22334100.809999995</v>
      </c>
      <c r="H53" s="315">
        <f t="shared" si="1"/>
        <v>13939393.899999999</v>
      </c>
      <c r="I53" s="315">
        <f t="shared" si="1"/>
        <v>32494564.030000005</v>
      </c>
      <c r="J53" s="315">
        <f t="shared" si="1"/>
        <v>11055207.239999998</v>
      </c>
      <c r="K53" s="315">
        <f t="shared" si="1"/>
        <v>9603646.2999999989</v>
      </c>
      <c r="L53" s="315">
        <f t="shared" si="1"/>
        <v>5923842.04</v>
      </c>
      <c r="M53" s="315">
        <f t="shared" si="1"/>
        <v>34127835.190000005</v>
      </c>
      <c r="N53" s="315">
        <f t="shared" si="1"/>
        <v>-316774845.13999999</v>
      </c>
      <c r="O53" s="311"/>
    </row>
    <row r="54" spans="2:15" s="312" customFormat="1" ht="15.5" x14ac:dyDescent="0.35">
      <c r="B54" s="310" t="s">
        <v>61</v>
      </c>
      <c r="C54" s="315">
        <f>C40-C47</f>
        <v>-2787936.24</v>
      </c>
      <c r="D54" s="315">
        <f t="shared" ref="D54:N54" si="2">D40-D47</f>
        <v>34365.770000000019</v>
      </c>
      <c r="E54" s="315">
        <f t="shared" si="2"/>
        <v>101886.77999999998</v>
      </c>
      <c r="F54" s="315">
        <f t="shared" si="2"/>
        <v>-718936.84</v>
      </c>
      <c r="G54" s="315">
        <f t="shared" si="2"/>
        <v>-24274.799999999999</v>
      </c>
      <c r="H54" s="315">
        <f t="shared" si="2"/>
        <v>118952.44999999998</v>
      </c>
      <c r="I54" s="315">
        <f t="shared" si="2"/>
        <v>271578.34999999998</v>
      </c>
      <c r="J54" s="315">
        <f t="shared" si="2"/>
        <v>-169928.93</v>
      </c>
      <c r="K54" s="315">
        <f t="shared" si="2"/>
        <v>-145656.24</v>
      </c>
      <c r="L54" s="315">
        <f t="shared" si="2"/>
        <v>-19810.489999999998</v>
      </c>
      <c r="M54" s="315">
        <f t="shared" si="2"/>
        <v>-32379.030000000002</v>
      </c>
      <c r="N54" s="315">
        <f t="shared" si="2"/>
        <v>119357.98999999999</v>
      </c>
      <c r="O54" s="311"/>
    </row>
    <row r="55" spans="2:15" s="312" customFormat="1" ht="15.5" x14ac:dyDescent="0.35">
      <c r="B55" s="310" t="s">
        <v>62</v>
      </c>
      <c r="C55" s="315">
        <f>C41-C48</f>
        <v>1783.39</v>
      </c>
      <c r="D55" s="315">
        <f t="shared" ref="D55:N55" si="3">D41-D48</f>
        <v>-1.02</v>
      </c>
      <c r="E55" s="315">
        <f t="shared" si="3"/>
        <v>-1964.94</v>
      </c>
      <c r="F55" s="315">
        <f t="shared" si="3"/>
        <v>0</v>
      </c>
      <c r="G55" s="315">
        <f t="shared" si="3"/>
        <v>12569.84</v>
      </c>
      <c r="H55" s="315">
        <f t="shared" si="3"/>
        <v>-21343.02</v>
      </c>
      <c r="I55" s="315">
        <f t="shared" si="3"/>
        <v>-27988.06</v>
      </c>
      <c r="J55" s="315">
        <f t="shared" si="3"/>
        <v>-1259.06</v>
      </c>
      <c r="K55" s="315">
        <f t="shared" si="3"/>
        <v>3.33</v>
      </c>
      <c r="L55" s="315">
        <f t="shared" si="3"/>
        <v>2166.09</v>
      </c>
      <c r="M55" s="315">
        <f t="shared" si="3"/>
        <v>-302440.5</v>
      </c>
      <c r="N55" s="315">
        <f t="shared" si="3"/>
        <v>-67688.5</v>
      </c>
      <c r="O55" s="311"/>
    </row>
    <row r="56" spans="2:15" s="312" customFormat="1" ht="15.5" x14ac:dyDescent="0.35">
      <c r="B56" s="310" t="s">
        <v>160</v>
      </c>
      <c r="C56" s="315"/>
      <c r="D56" s="315"/>
      <c r="E56" s="315"/>
      <c r="F56" s="315"/>
      <c r="G56" s="315"/>
      <c r="H56" s="315"/>
      <c r="I56" s="315"/>
      <c r="J56" s="315"/>
      <c r="K56" s="315"/>
      <c r="L56" s="315"/>
      <c r="M56" s="315"/>
      <c r="N56" s="315"/>
      <c r="O56" s="311"/>
    </row>
    <row r="57" spans="2:15" s="312" customFormat="1" ht="15.5" x14ac:dyDescent="0.35">
      <c r="B57" s="310" t="s">
        <v>63</v>
      </c>
      <c r="C57" s="315">
        <f>C53+C54+C55-C56</f>
        <v>17639792.120000005</v>
      </c>
      <c r="D57" s="315">
        <f t="shared" ref="D57:N57" si="4">D53+D54+D55-D56</f>
        <v>19828034.199999999</v>
      </c>
      <c r="E57" s="315">
        <f t="shared" si="4"/>
        <v>41872383.140000001</v>
      </c>
      <c r="F57" s="315">
        <f t="shared" si="4"/>
        <v>74452636.659999996</v>
      </c>
      <c r="G57" s="315">
        <f t="shared" si="4"/>
        <v>22322395.849999994</v>
      </c>
      <c r="H57" s="315">
        <f t="shared" si="4"/>
        <v>14037003.329999998</v>
      </c>
      <c r="I57" s="315">
        <f t="shared" si="4"/>
        <v>32738154.320000008</v>
      </c>
      <c r="J57" s="315">
        <f t="shared" si="4"/>
        <v>10884019.249999998</v>
      </c>
      <c r="K57" s="315">
        <f t="shared" si="4"/>
        <v>9457993.3899999987</v>
      </c>
      <c r="L57" s="315">
        <f t="shared" si="4"/>
        <v>5906197.6399999997</v>
      </c>
      <c r="M57" s="315">
        <f t="shared" si="4"/>
        <v>33793015.660000004</v>
      </c>
      <c r="N57" s="315">
        <f t="shared" si="4"/>
        <v>-316723175.64999998</v>
      </c>
      <c r="O57" s="311"/>
    </row>
    <row r="58" spans="2:15" ht="16.5" x14ac:dyDescent="0.35">
      <c r="B58" s="74" t="s">
        <v>64</v>
      </c>
    </row>
  </sheetData>
  <sheetProtection formatCells="0"/>
  <mergeCells count="1">
    <mergeCell ref="C2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tabColor rgb="FF92D050"/>
  </sheetPr>
  <dimension ref="A3:Q57"/>
  <sheetViews>
    <sheetView topLeftCell="B1" zoomScale="60" zoomScaleNormal="60" workbookViewId="0">
      <pane xSplit="1" topLeftCell="D1" activePane="topRight" state="frozen"/>
      <selection activeCell="B1" sqref="B1"/>
      <selection pane="topRight" activeCell="Q51" sqref="Q51"/>
    </sheetView>
  </sheetViews>
  <sheetFormatPr defaultRowHeight="14" x14ac:dyDescent="0.3"/>
  <cols>
    <col min="1" max="1" width="8.7265625" style="72"/>
    <col min="2" max="2" width="44.81640625" style="72" customWidth="1"/>
    <col min="3" max="3" width="9.81640625" style="72" customWidth="1"/>
    <col min="4" max="7" width="18.81640625" style="72" customWidth="1"/>
    <col min="8" max="8" width="22.36328125" style="72" bestFit="1" customWidth="1"/>
    <col min="9" max="12" width="18.81640625" style="72" customWidth="1"/>
    <col min="13" max="13" width="22.36328125" style="72" bestFit="1" customWidth="1"/>
    <col min="14" max="14" width="18.81640625" style="72" customWidth="1"/>
    <col min="15" max="15" width="22.36328125" style="72" bestFit="1" customWidth="1"/>
    <col min="16" max="16384" width="8.7265625" style="72"/>
  </cols>
  <sheetData>
    <row r="3" spans="2:17" ht="20" x14ac:dyDescent="0.3">
      <c r="B3" s="302" t="s">
        <v>79</v>
      </c>
      <c r="C3" s="302"/>
      <c r="D3" s="302"/>
      <c r="E3" s="302"/>
      <c r="F3" s="302"/>
      <c r="G3" s="302"/>
      <c r="H3" s="302"/>
    </row>
    <row r="4" spans="2:17" x14ac:dyDescent="0.3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2:17" ht="14.5" customHeight="1" x14ac:dyDescent="0.3">
      <c r="B5" s="4" t="s">
        <v>80</v>
      </c>
      <c r="F5" s="301"/>
      <c r="G5" s="301"/>
      <c r="H5" s="301"/>
      <c r="K5" s="77"/>
      <c r="L5" s="77"/>
      <c r="M5" s="301"/>
      <c r="N5" s="301"/>
      <c r="O5" s="301"/>
      <c r="P5" s="77"/>
      <c r="Q5" s="77"/>
    </row>
    <row r="6" spans="2:17" x14ac:dyDescent="0.3">
      <c r="B6" s="4" t="s">
        <v>81</v>
      </c>
      <c r="D6" s="4"/>
      <c r="E6" s="4"/>
      <c r="F6" s="4"/>
      <c r="G6" s="4"/>
      <c r="H6" s="12" t="s">
        <v>191</v>
      </c>
      <c r="I6" s="4"/>
      <c r="J6" s="4"/>
      <c r="K6" s="4"/>
      <c r="L6" s="4"/>
      <c r="M6" s="12"/>
      <c r="N6" s="4"/>
      <c r="O6" s="12" t="s">
        <v>191</v>
      </c>
    </row>
    <row r="7" spans="2:17" ht="14.5" thickBot="1" x14ac:dyDescent="0.35">
      <c r="B7" s="4"/>
      <c r="C7" s="4"/>
      <c r="D7" s="78"/>
      <c r="E7" s="78"/>
      <c r="F7" s="78"/>
      <c r="G7" s="301" t="s">
        <v>126</v>
      </c>
      <c r="H7" s="301"/>
      <c r="I7" s="78"/>
      <c r="J7" s="78"/>
      <c r="K7" s="78"/>
      <c r="L7" s="301"/>
      <c r="M7" s="301"/>
      <c r="N7" s="301" t="s">
        <v>126</v>
      </c>
      <c r="O7" s="301"/>
    </row>
    <row r="8" spans="2:17" x14ac:dyDescent="0.3">
      <c r="B8" s="54" t="s">
        <v>83</v>
      </c>
      <c r="C8" s="54" t="s">
        <v>84</v>
      </c>
      <c r="D8" s="55"/>
      <c r="E8" s="56"/>
      <c r="F8" s="55"/>
      <c r="G8" s="56"/>
      <c r="H8" s="55"/>
      <c r="I8" s="55"/>
      <c r="J8" s="56"/>
      <c r="K8" s="55"/>
      <c r="L8" s="355"/>
      <c r="M8" s="356"/>
      <c r="N8" s="357"/>
      <c r="O8" s="358"/>
    </row>
    <row r="9" spans="2:17" ht="14.5" thickBot="1" x14ac:dyDescent="0.35">
      <c r="B9" s="57"/>
      <c r="C9" s="17"/>
      <c r="D9" s="79" t="s">
        <v>67</v>
      </c>
      <c r="E9" s="79" t="s">
        <v>68</v>
      </c>
      <c r="F9" s="79" t="s">
        <v>69</v>
      </c>
      <c r="G9" s="79" t="s">
        <v>70</v>
      </c>
      <c r="H9" s="79" t="s">
        <v>71</v>
      </c>
      <c r="I9" s="79" t="s">
        <v>72</v>
      </c>
      <c r="J9" s="79" t="s">
        <v>73</v>
      </c>
      <c r="K9" s="79" t="s">
        <v>74</v>
      </c>
      <c r="L9" s="359" t="s">
        <v>127</v>
      </c>
      <c r="M9" s="79" t="s">
        <v>76</v>
      </c>
      <c r="N9" s="79" t="s">
        <v>77</v>
      </c>
      <c r="O9" s="360" t="s">
        <v>78</v>
      </c>
    </row>
    <row r="10" spans="2:17" ht="14.5" thickBot="1" x14ac:dyDescent="0.35">
      <c r="B10" s="58" t="s">
        <v>85</v>
      </c>
      <c r="C10" s="18"/>
      <c r="D10" s="59"/>
      <c r="E10" s="60"/>
      <c r="F10" s="59"/>
      <c r="G10" s="60"/>
      <c r="H10" s="59"/>
      <c r="I10" s="59"/>
      <c r="J10" s="60"/>
      <c r="K10" s="59"/>
      <c r="L10" s="361"/>
      <c r="M10" s="59"/>
      <c r="N10" s="60"/>
      <c r="O10" s="362"/>
    </row>
    <row r="11" spans="2:17" x14ac:dyDescent="0.3">
      <c r="B11" s="19"/>
      <c r="C11" s="5"/>
      <c r="D11" s="19"/>
      <c r="E11" s="20"/>
      <c r="F11" s="19"/>
      <c r="G11" s="20"/>
      <c r="H11" s="19"/>
      <c r="I11" s="19"/>
      <c r="J11" s="20"/>
      <c r="K11" s="19"/>
      <c r="L11" s="363"/>
      <c r="M11" s="19"/>
      <c r="N11" s="5"/>
      <c r="O11" s="334"/>
    </row>
    <row r="12" spans="2:17" x14ac:dyDescent="0.3">
      <c r="B12" s="21" t="s">
        <v>86</v>
      </c>
      <c r="C12" s="22">
        <v>4</v>
      </c>
      <c r="D12" s="23">
        <f>Balancete!C4+Balancete!C8-Balancete!C9</f>
        <v>4740854.129999999</v>
      </c>
      <c r="E12" s="23">
        <f>Balancete!D4+Balancete!D8-Balancete!D9</f>
        <v>4889099.74</v>
      </c>
      <c r="F12" s="23">
        <f>Balancete!E4+Balancete!E8-Balancete!E9</f>
        <v>4889099.74</v>
      </c>
      <c r="G12" s="23">
        <f>Balancete!F4+Balancete!F8-Balancete!F9</f>
        <v>4969446.209999999</v>
      </c>
      <c r="H12" s="23">
        <f>Balancete!G4+Balancete!G8-Balancete!G9</f>
        <v>5219446.209999999</v>
      </c>
      <c r="I12" s="23">
        <f>Balancete!H4+Balancete!H8-Balancete!H9</f>
        <v>5219446.209999999</v>
      </c>
      <c r="J12" s="23">
        <f>Balancete!I4+Balancete!I8-Balancete!I9</f>
        <v>6759724.3900000006</v>
      </c>
      <c r="K12" s="23">
        <f>Balancete!J4+Balancete!J8-Balancete!J9</f>
        <v>6888857.1699999999</v>
      </c>
      <c r="L12" s="202">
        <f>Balancete!K4+Balancete!K8-Balancete!K9</f>
        <v>6888857.1699999999</v>
      </c>
      <c r="M12" s="23">
        <f>Balancete!L4+Balancete!L8-Balancete!L9</f>
        <v>6888857.1699999999</v>
      </c>
      <c r="N12" s="23">
        <f>Balancete!M4+Balancete!M8-Balancete!M9</f>
        <v>9026357.1699999999</v>
      </c>
      <c r="O12" s="180">
        <f>Balancete!N4+Balancete!N8-Balancete!N9</f>
        <v>6474167.6399999997</v>
      </c>
    </row>
    <row r="13" spans="2:17" x14ac:dyDescent="0.3">
      <c r="B13" s="21" t="s">
        <v>87</v>
      </c>
      <c r="C13" s="22">
        <v>5</v>
      </c>
      <c r="D13" s="23">
        <f>Balancete!C5</f>
        <v>0</v>
      </c>
      <c r="E13" s="23">
        <f>Balancete!D5</f>
        <v>0</v>
      </c>
      <c r="F13" s="23">
        <f>Balancete!E5</f>
        <v>0</v>
      </c>
      <c r="G13" s="23">
        <f>Balancete!F5</f>
        <v>0</v>
      </c>
      <c r="H13" s="23">
        <f>Balancete!G5</f>
        <v>0</v>
      </c>
      <c r="I13" s="23">
        <f>Balancete!H5</f>
        <v>0</v>
      </c>
      <c r="J13" s="23">
        <f>Balancete!I5</f>
        <v>0</v>
      </c>
      <c r="K13" s="23">
        <f>Balancete!J5</f>
        <v>0</v>
      </c>
      <c r="L13" s="202">
        <f>Balancete!K5</f>
        <v>0</v>
      </c>
      <c r="M13" s="23">
        <f>Balancete!L5</f>
        <v>0</v>
      </c>
      <c r="N13" s="23">
        <f>Balancete!M5</f>
        <v>0</v>
      </c>
      <c r="O13" s="180">
        <f>Balancete!N5</f>
        <v>0</v>
      </c>
    </row>
    <row r="14" spans="2:17" x14ac:dyDescent="0.3">
      <c r="B14" s="21" t="s">
        <v>88</v>
      </c>
      <c r="C14" s="22">
        <v>6</v>
      </c>
      <c r="D14" s="23">
        <f>Balancete!C6</f>
        <v>0</v>
      </c>
      <c r="E14" s="23">
        <f>Balancete!D6</f>
        <v>0</v>
      </c>
      <c r="F14" s="23">
        <f>Balancete!E6</f>
        <v>0</v>
      </c>
      <c r="G14" s="23">
        <f>Balancete!F6</f>
        <v>0</v>
      </c>
      <c r="H14" s="23">
        <f>Balancete!G6</f>
        <v>0</v>
      </c>
      <c r="I14" s="23">
        <f>Balancete!H6</f>
        <v>0</v>
      </c>
      <c r="J14" s="23">
        <f>Balancete!I6</f>
        <v>0</v>
      </c>
      <c r="K14" s="23">
        <f>Balancete!J6</f>
        <v>0</v>
      </c>
      <c r="L14" s="202">
        <f>Balancete!K6</f>
        <v>0</v>
      </c>
      <c r="M14" s="23">
        <f>Balancete!L6</f>
        <v>0</v>
      </c>
      <c r="N14" s="23">
        <f>Balancete!M6</f>
        <v>0</v>
      </c>
      <c r="O14" s="180">
        <f>Balancete!N6</f>
        <v>0</v>
      </c>
    </row>
    <row r="15" spans="2:17" x14ac:dyDescent="0.3">
      <c r="B15" s="21" t="s">
        <v>89</v>
      </c>
      <c r="C15" s="22">
        <v>7</v>
      </c>
      <c r="D15" s="23">
        <f>Balancete!C7</f>
        <v>0</v>
      </c>
      <c r="E15" s="23">
        <f>Balancete!D7</f>
        <v>0</v>
      </c>
      <c r="F15" s="23">
        <f>Balancete!E7</f>
        <v>0</v>
      </c>
      <c r="G15" s="23">
        <f>Balancete!F7</f>
        <v>0</v>
      </c>
      <c r="H15" s="23">
        <f>Balancete!G7</f>
        <v>0</v>
      </c>
      <c r="I15" s="23">
        <f>Balancete!H7</f>
        <v>0</v>
      </c>
      <c r="J15" s="23">
        <f>Balancete!I7</f>
        <v>0</v>
      </c>
      <c r="K15" s="23">
        <f>Balancete!J7</f>
        <v>0</v>
      </c>
      <c r="L15" s="202">
        <f>Balancete!K7</f>
        <v>0</v>
      </c>
      <c r="M15" s="23">
        <f>Balancete!L7</f>
        <v>0</v>
      </c>
      <c r="N15" s="23">
        <f>Balancete!M7</f>
        <v>0</v>
      </c>
      <c r="O15" s="180">
        <f>Balancete!N7</f>
        <v>0</v>
      </c>
    </row>
    <row r="16" spans="2:17" x14ac:dyDescent="0.3">
      <c r="B16" s="21" t="s">
        <v>90</v>
      </c>
      <c r="C16" s="22">
        <v>9</v>
      </c>
      <c r="D16" s="23">
        <v>0</v>
      </c>
      <c r="E16" s="8">
        <v>0</v>
      </c>
      <c r="F16" s="23">
        <v>0</v>
      </c>
      <c r="G16" s="8">
        <v>0</v>
      </c>
      <c r="H16" s="23">
        <v>0</v>
      </c>
      <c r="I16" s="23">
        <v>0</v>
      </c>
      <c r="J16" s="8">
        <v>0</v>
      </c>
      <c r="K16" s="23">
        <v>0</v>
      </c>
      <c r="L16" s="192">
        <v>0</v>
      </c>
      <c r="M16" s="23">
        <v>0</v>
      </c>
      <c r="N16" s="23">
        <v>0</v>
      </c>
      <c r="O16" s="207">
        <v>0</v>
      </c>
    </row>
    <row r="17" spans="1:15" ht="14.5" thickBot="1" x14ac:dyDescent="0.35">
      <c r="B17" s="19"/>
      <c r="C17" s="5"/>
      <c r="D17" s="61">
        <f>SUM(D$12:D$16)</f>
        <v>4740854.129999999</v>
      </c>
      <c r="E17" s="61">
        <f t="shared" ref="E17:O17" si="0">SUM(E$12:E$16)</f>
        <v>4889099.74</v>
      </c>
      <c r="F17" s="61">
        <f t="shared" si="0"/>
        <v>4889099.74</v>
      </c>
      <c r="G17" s="61">
        <f t="shared" si="0"/>
        <v>4969446.209999999</v>
      </c>
      <c r="H17" s="61">
        <f t="shared" si="0"/>
        <v>5219446.209999999</v>
      </c>
      <c r="I17" s="61">
        <f t="shared" si="0"/>
        <v>5219446.209999999</v>
      </c>
      <c r="J17" s="61">
        <f t="shared" si="0"/>
        <v>6759724.3900000006</v>
      </c>
      <c r="K17" s="61">
        <f t="shared" si="0"/>
        <v>6888857.1699999999</v>
      </c>
      <c r="L17" s="61">
        <f t="shared" si="0"/>
        <v>6888857.1699999999</v>
      </c>
      <c r="M17" s="61">
        <f t="shared" si="0"/>
        <v>6888857.1699999999</v>
      </c>
      <c r="N17" s="61">
        <f t="shared" si="0"/>
        <v>9026357.1699999999</v>
      </c>
      <c r="O17" s="210">
        <f t="shared" si="0"/>
        <v>6474167.6399999997</v>
      </c>
    </row>
    <row r="18" spans="1:15" ht="14.5" thickBot="1" x14ac:dyDescent="0.35">
      <c r="B18" s="58" t="s">
        <v>91</v>
      </c>
      <c r="C18" s="24"/>
      <c r="D18" s="62"/>
      <c r="E18" s="63"/>
      <c r="F18" s="62"/>
      <c r="G18" s="63"/>
      <c r="H18" s="62"/>
      <c r="I18" s="62"/>
      <c r="J18" s="63"/>
      <c r="K18" s="354"/>
      <c r="L18" s="364"/>
      <c r="M18" s="365"/>
      <c r="N18" s="328"/>
      <c r="O18" s="335"/>
    </row>
    <row r="19" spans="1:15" x14ac:dyDescent="0.3">
      <c r="B19" s="19"/>
      <c r="C19" s="5"/>
      <c r="D19" s="25"/>
      <c r="E19" s="11"/>
      <c r="F19" s="25"/>
      <c r="G19" s="11"/>
      <c r="H19" s="25"/>
      <c r="I19" s="25"/>
      <c r="J19" s="11"/>
      <c r="K19" s="25"/>
      <c r="L19" s="366"/>
      <c r="M19" s="25"/>
      <c r="N19" s="27"/>
      <c r="O19" s="208"/>
    </row>
    <row r="20" spans="1:15" x14ac:dyDescent="0.3">
      <c r="B20" s="21" t="s">
        <v>92</v>
      </c>
      <c r="C20" s="7">
        <v>8</v>
      </c>
      <c r="D20" s="23">
        <f>Balancete!C11+Balancete!C12</f>
        <v>106612779.58000001</v>
      </c>
      <c r="E20" s="23">
        <f>Balancete!D11+Balancete!D12</f>
        <v>119184911.11000001</v>
      </c>
      <c r="F20" s="23">
        <f>Balancete!E11+Balancete!E12</f>
        <v>124494627.77000001</v>
      </c>
      <c r="G20" s="23">
        <f>Balancete!F11+Balancete!F12</f>
        <v>136595790.53999999</v>
      </c>
      <c r="H20" s="23">
        <f>Balancete!G11+Balancete!G12</f>
        <v>151603518.12</v>
      </c>
      <c r="I20" s="23">
        <f>Balancete!H11+Balancete!H12</f>
        <v>169637345.29999998</v>
      </c>
      <c r="J20" s="23">
        <f>Balancete!I11+Balancete!I12</f>
        <v>194399321.84999999</v>
      </c>
      <c r="K20" s="23">
        <f>Balancete!J11+Balancete!J12</f>
        <v>208009695.53999999</v>
      </c>
      <c r="L20" s="202">
        <f>Balancete!K11+Balancete!K12</f>
        <v>285257529.75</v>
      </c>
      <c r="M20" s="23">
        <f>Balancete!L11+Balancete!L12</f>
        <v>297077783.87</v>
      </c>
      <c r="N20" s="23">
        <f>Balancete!M11+Balancete!M12</f>
        <v>311330608.82999998</v>
      </c>
      <c r="O20" s="180">
        <f>Balancete!N11+Balancete!N12</f>
        <v>0</v>
      </c>
    </row>
    <row r="21" spans="1:15" x14ac:dyDescent="0.3">
      <c r="A21" s="214"/>
      <c r="B21" s="21" t="s">
        <v>93</v>
      </c>
      <c r="C21" s="22">
        <v>9</v>
      </c>
      <c r="D21" s="23">
        <f>Balancete!C14+Balancete!C17+Balancete!C18+Balancete!C20+Balancete!C23+Balancete!C24</f>
        <v>151085989.46000001</v>
      </c>
      <c r="E21" s="23">
        <f>Balancete!D14+Balancete!D17+Balancete!D18+Balancete!D20+Balancete!D23+Balancete!D24</f>
        <v>152536851.93000001</v>
      </c>
      <c r="F21" s="23">
        <f>Balancete!E14+Balancete!E17+Balancete!E18+Balancete!E20+Balancete!E23+Balancete!E24</f>
        <v>164584980.97999999</v>
      </c>
      <c r="G21" s="23">
        <f>Balancete!F14+Balancete!F17+Balancete!F18+Balancete!F20+Balancete!F23+Balancete!F24</f>
        <v>164961836.30000001</v>
      </c>
      <c r="H21" s="23">
        <f>Balancete!G14+Balancete!G17+Balancete!G18+Balancete!G20+Balancete!G23+Balancete!G24</f>
        <v>166763457.37</v>
      </c>
      <c r="I21" s="23">
        <f>Balancete!H14+Balancete!H17+Balancete!H18+Balancete!H20+Balancete!H23+Balancete!H24</f>
        <v>173205133.06</v>
      </c>
      <c r="J21" s="23">
        <f>Balancete!I14+Balancete!I17+Balancete!I18+Balancete!I20+Balancete!I23+Balancete!I24</f>
        <v>181161357.79000002</v>
      </c>
      <c r="K21" s="23">
        <f>Balancete!J14+Balancete!J17+Balancete!J18+Balancete!J20+Balancete!J23+Balancete!J24</f>
        <v>181778741.75999999</v>
      </c>
      <c r="L21" s="202">
        <f>Balancete!K14+Balancete!K17+Balancete!K18+Balancete!K20+Balancete!K23+Balancete!K24</f>
        <v>185527133.90000001</v>
      </c>
      <c r="M21" s="23">
        <f>Balancete!L14+Balancete!L17+Balancete!L18+Balancete!L20+Balancete!L23+Balancete!L24</f>
        <v>177894305.96000001</v>
      </c>
      <c r="N21" s="23">
        <f>Balancete!M14+Balancete!M17+Balancete!M18+Balancete!M20+Balancete!M23+Balancete!M24</f>
        <v>204894919.83999997</v>
      </c>
      <c r="O21" s="180">
        <f>Balancete!N14+Balancete!N17+Balancete!N18+Balancete!N20+Balancete!N23+Balancete!N24</f>
        <v>198430391.00999999</v>
      </c>
    </row>
    <row r="22" spans="1:15" x14ac:dyDescent="0.3">
      <c r="B22" s="21" t="s">
        <v>94</v>
      </c>
      <c r="C22" s="22">
        <v>10</v>
      </c>
      <c r="D22" s="23">
        <f>Balancete!C27+Balancete!C28+Balancete!C29+Balancete!C30</f>
        <v>53670422.759999998</v>
      </c>
      <c r="E22" s="23">
        <f>Balancete!D27+Balancete!D28+Balancete!D29+Balancete!D30</f>
        <v>56092872.079999998</v>
      </c>
      <c r="F22" s="23">
        <f>Balancete!E27+Balancete!E28+Balancete!E29+Balancete!E30</f>
        <v>83492073.849999994</v>
      </c>
      <c r="G22" s="23">
        <f>Balancete!F27+Balancete!F28+Balancete!F29+Balancete!F30</f>
        <v>153663983.73999998</v>
      </c>
      <c r="H22" s="23">
        <f>Balancete!G27+Balancete!G28+Balancete!G29+Balancete!G30</f>
        <v>160491155.75</v>
      </c>
      <c r="I22" s="23">
        <f>Balancete!H27+Balancete!H28+Balancete!H29+Balancete!H30</f>
        <v>165509163.03</v>
      </c>
      <c r="J22" s="23">
        <f>Balancete!I27+Balancete!I28+Balancete!I29+Balancete!I30</f>
        <v>168801287.89000002</v>
      </c>
      <c r="K22" s="23">
        <f>Balancete!J27+Balancete!J28+Balancete!J29+Balancete!J30</f>
        <v>159089178.11000001</v>
      </c>
      <c r="L22" s="202">
        <f>Balancete!K27+Balancete!K28+Balancete!K29+Balancete!K30</f>
        <v>94885524.140000001</v>
      </c>
      <c r="M22" s="23">
        <f>Balancete!L27+Balancete!L28+Balancete!L29+Balancete!L30</f>
        <v>104630296.58</v>
      </c>
      <c r="N22" s="23">
        <f>Balancete!M27+Balancete!M28+Balancete!M29+Balancete!M30</f>
        <v>105362491.11999999</v>
      </c>
      <c r="O22" s="180">
        <f>Balancete!N27+Balancete!N28+Balancete!N29+Balancete!N30</f>
        <v>100945221.19</v>
      </c>
    </row>
    <row r="23" spans="1:15" x14ac:dyDescent="0.3">
      <c r="B23" s="21" t="s">
        <v>95</v>
      </c>
      <c r="C23" s="22">
        <v>11</v>
      </c>
      <c r="D23" s="23">
        <v>0</v>
      </c>
      <c r="E23" s="8">
        <v>0</v>
      </c>
      <c r="F23" s="23">
        <v>0</v>
      </c>
      <c r="G23" s="8">
        <v>0</v>
      </c>
      <c r="H23" s="23">
        <v>0</v>
      </c>
      <c r="I23" s="23">
        <v>0</v>
      </c>
      <c r="J23" s="8">
        <v>0</v>
      </c>
      <c r="K23" s="23">
        <v>0</v>
      </c>
      <c r="L23" s="192">
        <v>0</v>
      </c>
      <c r="M23" s="23">
        <v>0</v>
      </c>
      <c r="N23" s="23">
        <v>0</v>
      </c>
      <c r="O23" s="207">
        <v>0</v>
      </c>
    </row>
    <row r="24" spans="1:15" x14ac:dyDescent="0.3">
      <c r="B24" s="21"/>
      <c r="C24" s="26"/>
      <c r="D24" s="64">
        <f>SUM(D$20:D$23)</f>
        <v>311369191.80000001</v>
      </c>
      <c r="E24" s="64">
        <f t="shared" ref="E24:O24" si="1">SUM(E$20:E$23)</f>
        <v>327814635.12</v>
      </c>
      <c r="F24" s="64">
        <f t="shared" si="1"/>
        <v>372571682.60000002</v>
      </c>
      <c r="G24" s="64">
        <f t="shared" si="1"/>
        <v>455221610.58000004</v>
      </c>
      <c r="H24" s="64">
        <f t="shared" si="1"/>
        <v>478858131.24000001</v>
      </c>
      <c r="I24" s="64">
        <f t="shared" si="1"/>
        <v>508351641.38999999</v>
      </c>
      <c r="J24" s="64">
        <f t="shared" si="1"/>
        <v>544361967.52999997</v>
      </c>
      <c r="K24" s="64">
        <f t="shared" si="1"/>
        <v>548877615.40999997</v>
      </c>
      <c r="L24" s="61">
        <f t="shared" si="1"/>
        <v>565670187.78999996</v>
      </c>
      <c r="M24" s="64">
        <f t="shared" si="1"/>
        <v>579602386.41000009</v>
      </c>
      <c r="N24" s="64">
        <f t="shared" si="1"/>
        <v>621588019.78999996</v>
      </c>
      <c r="O24" s="210">
        <f t="shared" si="1"/>
        <v>299375612.19999999</v>
      </c>
    </row>
    <row r="25" spans="1:15" x14ac:dyDescent="0.3">
      <c r="B25" s="5"/>
      <c r="C25" s="5"/>
      <c r="D25" s="27"/>
      <c r="E25" s="11"/>
      <c r="F25" s="27"/>
      <c r="G25" s="11"/>
      <c r="H25" s="27"/>
      <c r="I25" s="27"/>
      <c r="J25" s="11"/>
      <c r="K25" s="27"/>
      <c r="L25" s="366"/>
      <c r="M25" s="27"/>
      <c r="N25" s="27"/>
      <c r="O25" s="208"/>
    </row>
    <row r="26" spans="1:15" x14ac:dyDescent="0.3">
      <c r="B26" s="65" t="s">
        <v>96</v>
      </c>
      <c r="C26" s="26"/>
      <c r="D26" s="64">
        <f>SUM(D$17+D$24)</f>
        <v>316110045.93000001</v>
      </c>
      <c r="E26" s="64">
        <f t="shared" ref="E26:O26" si="2">SUM(E$17+E$24)</f>
        <v>332703734.86000001</v>
      </c>
      <c r="F26" s="64">
        <f t="shared" si="2"/>
        <v>377460782.34000003</v>
      </c>
      <c r="G26" s="64">
        <f t="shared" si="2"/>
        <v>460191056.79000002</v>
      </c>
      <c r="H26" s="64">
        <f t="shared" si="2"/>
        <v>484077577.44999999</v>
      </c>
      <c r="I26" s="64">
        <f t="shared" si="2"/>
        <v>513571087.59999996</v>
      </c>
      <c r="J26" s="64">
        <f t="shared" si="2"/>
        <v>551121691.91999996</v>
      </c>
      <c r="K26" s="64">
        <f t="shared" si="2"/>
        <v>555766472.57999992</v>
      </c>
      <c r="L26" s="61">
        <f t="shared" si="2"/>
        <v>572559044.95999992</v>
      </c>
      <c r="M26" s="64">
        <f t="shared" si="2"/>
        <v>586491243.58000004</v>
      </c>
      <c r="N26" s="64">
        <f t="shared" si="2"/>
        <v>630614376.95999992</v>
      </c>
      <c r="O26" s="210">
        <f t="shared" si="2"/>
        <v>305849779.83999997</v>
      </c>
    </row>
    <row r="27" spans="1:15" ht="14.5" thickBot="1" x14ac:dyDescent="0.35">
      <c r="B27" s="20"/>
      <c r="C27" s="26"/>
      <c r="D27" s="27"/>
      <c r="E27" s="10"/>
      <c r="F27" s="27"/>
      <c r="G27" s="10"/>
      <c r="H27" s="27"/>
      <c r="I27" s="27"/>
      <c r="J27" s="10"/>
      <c r="K27" s="27"/>
      <c r="L27" s="367"/>
      <c r="M27" s="27"/>
      <c r="N27" s="49"/>
      <c r="O27" s="208"/>
    </row>
    <row r="28" spans="1:15" x14ac:dyDescent="0.3">
      <c r="B28" s="66" t="s">
        <v>97</v>
      </c>
      <c r="C28" s="28"/>
      <c r="D28" s="29"/>
      <c r="E28" s="30"/>
      <c r="F28" s="29"/>
      <c r="G28" s="30"/>
      <c r="H28" s="29"/>
      <c r="I28" s="29"/>
      <c r="J28" s="30"/>
      <c r="K28" s="329"/>
      <c r="L28" s="368"/>
      <c r="M28" s="329"/>
      <c r="N28" s="329"/>
      <c r="O28" s="336"/>
    </row>
    <row r="29" spans="1:15" x14ac:dyDescent="0.3">
      <c r="B29" s="57" t="s">
        <v>98</v>
      </c>
      <c r="C29" s="31"/>
      <c r="D29" s="32"/>
      <c r="E29" s="33"/>
      <c r="F29" s="32"/>
      <c r="G29" s="33"/>
      <c r="H29" s="32"/>
      <c r="I29" s="32"/>
      <c r="J29" s="33"/>
      <c r="K29" s="32"/>
      <c r="L29" s="369"/>
      <c r="M29" s="32"/>
      <c r="N29" s="330"/>
      <c r="O29" s="337"/>
    </row>
    <row r="30" spans="1:15" ht="14.5" thickBot="1" x14ac:dyDescent="0.35">
      <c r="B30" s="67" t="s">
        <v>99</v>
      </c>
      <c r="C30" s="31"/>
      <c r="D30" s="32"/>
      <c r="E30" s="34"/>
      <c r="F30" s="32"/>
      <c r="G30" s="34"/>
      <c r="H30" s="32"/>
      <c r="I30" s="32"/>
      <c r="J30" s="34"/>
      <c r="K30" s="32"/>
      <c r="L30" s="370"/>
      <c r="M30" s="32"/>
      <c r="N30" s="32"/>
      <c r="O30" s="337"/>
    </row>
    <row r="31" spans="1:15" ht="14.5" thickBot="1" x14ac:dyDescent="0.35">
      <c r="B31" s="35"/>
      <c r="C31" s="36"/>
      <c r="D31" s="37"/>
      <c r="E31" s="38"/>
      <c r="F31" s="37"/>
      <c r="G31" s="38"/>
      <c r="H31" s="37"/>
      <c r="I31" s="37"/>
      <c r="J31" s="38"/>
      <c r="K31" s="37"/>
      <c r="L31" s="371"/>
      <c r="M31" s="37"/>
      <c r="N31" s="37"/>
      <c r="O31" s="338"/>
    </row>
    <row r="32" spans="1:15" ht="14.5" thickBot="1" x14ac:dyDescent="0.35">
      <c r="B32" s="58" t="s">
        <v>100</v>
      </c>
      <c r="C32" s="36"/>
      <c r="D32" s="37"/>
      <c r="E32" s="38"/>
      <c r="F32" s="37"/>
      <c r="G32" s="38"/>
      <c r="H32" s="37"/>
      <c r="I32" s="37"/>
      <c r="J32" s="38"/>
      <c r="K32" s="37"/>
      <c r="L32" s="371"/>
      <c r="M32" s="37"/>
      <c r="N32" s="37"/>
      <c r="O32" s="338"/>
    </row>
    <row r="33" spans="1:15" x14ac:dyDescent="0.3">
      <c r="B33" s="39"/>
      <c r="C33" s="40"/>
      <c r="D33" s="41"/>
      <c r="E33" s="42"/>
      <c r="F33" s="41"/>
      <c r="G33" s="42"/>
      <c r="H33" s="41"/>
      <c r="I33" s="41"/>
      <c r="J33" s="42"/>
      <c r="K33" s="331"/>
      <c r="L33" s="372"/>
      <c r="M33" s="331"/>
      <c r="N33" s="331"/>
      <c r="O33" s="339"/>
    </row>
    <row r="34" spans="1:15" x14ac:dyDescent="0.3">
      <c r="B34" s="6" t="s">
        <v>101</v>
      </c>
      <c r="C34" s="7">
        <v>12</v>
      </c>
      <c r="D34" s="23">
        <f>Balancete!C32+Balancete!C33</f>
        <v>1000000</v>
      </c>
      <c r="E34" s="23">
        <f>Balancete!D32+Balancete!D33</f>
        <v>1000000</v>
      </c>
      <c r="F34" s="23">
        <f>Balancete!E32+Balancete!E33</f>
        <v>1000000</v>
      </c>
      <c r="G34" s="23">
        <f>Balancete!F32+Balancete!F33</f>
        <v>1000000</v>
      </c>
      <c r="H34" s="23">
        <f>Balancete!G32+Balancete!G33</f>
        <v>1000000</v>
      </c>
      <c r="I34" s="23">
        <f>Balancete!H32+Balancete!H33</f>
        <v>1000000</v>
      </c>
      <c r="J34" s="23">
        <f>Balancete!I32+Balancete!I33</f>
        <v>1000000</v>
      </c>
      <c r="K34" s="23">
        <f>Balancete!J32+Balancete!J33</f>
        <v>1000000</v>
      </c>
      <c r="L34" s="202">
        <f>Balancete!K32+Balancete!K33</f>
        <v>1000000</v>
      </c>
      <c r="M34" s="23">
        <f>Balancete!L32+Balancete!L33</f>
        <v>1000000</v>
      </c>
      <c r="N34" s="23">
        <f>Balancete!M32+Balancete!M33</f>
        <v>1000000</v>
      </c>
      <c r="O34" s="180">
        <f>Balancete!N32+Balancete!N33</f>
        <v>1000000</v>
      </c>
    </row>
    <row r="35" spans="1:15" x14ac:dyDescent="0.3">
      <c r="A35" s="214"/>
      <c r="B35" s="68" t="s">
        <v>102</v>
      </c>
      <c r="C35" s="22">
        <v>13</v>
      </c>
      <c r="D35" s="23">
        <f>Balancete!C34+Balancete!C35</f>
        <v>0</v>
      </c>
      <c r="E35" s="23">
        <f>Balancete!D34+Balancete!D35</f>
        <v>0</v>
      </c>
      <c r="F35" s="23">
        <f>Balancete!E34+Balancete!E35</f>
        <v>0</v>
      </c>
      <c r="G35" s="23">
        <f>Balancete!F34+Balancete!F35</f>
        <v>0</v>
      </c>
      <c r="H35" s="23">
        <f>Balancete!G34+Balancete!G35</f>
        <v>0</v>
      </c>
      <c r="I35" s="23">
        <f>Balancete!H34+Balancete!H35</f>
        <v>0</v>
      </c>
      <c r="J35" s="23">
        <f>Balancete!I34+Balancete!I35</f>
        <v>0</v>
      </c>
      <c r="K35" s="23">
        <f>Balancete!J34+Balancete!J35</f>
        <v>0</v>
      </c>
      <c r="L35" s="202">
        <f>Balancete!K34+Balancete!K35</f>
        <v>0</v>
      </c>
      <c r="M35" s="23">
        <f>Balancete!L34+Balancete!L35</f>
        <v>0</v>
      </c>
      <c r="N35" s="23">
        <f>Balancete!M34+Balancete!M35</f>
        <v>0</v>
      </c>
      <c r="O35" s="180">
        <f>Balancete!N34+Balancete!N35</f>
        <v>0</v>
      </c>
    </row>
    <row r="36" spans="1:15" x14ac:dyDescent="0.3">
      <c r="B36" s="21" t="s">
        <v>103</v>
      </c>
      <c r="C36" s="22">
        <v>14</v>
      </c>
      <c r="D36" s="23">
        <f>Balancete!C51+Balancete!C52</f>
        <v>56864756.659999996</v>
      </c>
      <c r="E36" s="23">
        <f>Balancete!D51+Balancete!D52</f>
        <v>74504548.780000001</v>
      </c>
      <c r="F36" s="23">
        <f>Balancete!E51+Balancete!E52</f>
        <v>94332582.980000004</v>
      </c>
      <c r="G36" s="23">
        <f>Balancete!F51+Balancete!F52</f>
        <v>136204966.12</v>
      </c>
      <c r="H36" s="23">
        <f>Balancete!G51+Balancete!G52</f>
        <v>210657602.77999997</v>
      </c>
      <c r="I36" s="23">
        <f>Balancete!H51+Balancete!H52</f>
        <v>232979998.63</v>
      </c>
      <c r="J36" s="23">
        <f>Balancete!I51+Balancete!I52</f>
        <v>247017001.95999998</v>
      </c>
      <c r="K36" s="23">
        <f>Balancete!J51+Balancete!J52</f>
        <v>279755156.27999997</v>
      </c>
      <c r="L36" s="202">
        <f>Balancete!K51+Balancete!K52</f>
        <v>290639175.52999997</v>
      </c>
      <c r="M36" s="23">
        <f>Balancete!L51+Balancete!L52</f>
        <v>300097168.91999996</v>
      </c>
      <c r="N36" s="23">
        <f>Balancete!M51+Balancete!M52</f>
        <v>306003366.55999994</v>
      </c>
      <c r="O36" s="180">
        <f>Balancete!N51+Balancete!N52</f>
        <v>339796382.21999997</v>
      </c>
    </row>
    <row r="37" spans="1:15" x14ac:dyDescent="0.3">
      <c r="B37" s="6" t="s">
        <v>104</v>
      </c>
      <c r="C37" s="6" t="s">
        <v>23</v>
      </c>
      <c r="D37" s="23">
        <f>'D.R MENSAL'!D39</f>
        <v>17639792.120000001</v>
      </c>
      <c r="E37" s="23">
        <f>'D.R MENSAL'!E39</f>
        <v>19828034.199999999</v>
      </c>
      <c r="F37" s="23">
        <f>'D.R MENSAL'!F39</f>
        <v>41872383.140000001</v>
      </c>
      <c r="G37" s="23">
        <f>'D.R MENSAL'!G39</f>
        <v>74452636.659999996</v>
      </c>
      <c r="H37" s="23">
        <f>'D.R MENSAL'!H39</f>
        <v>22322395.849999994</v>
      </c>
      <c r="I37" s="23">
        <f>'D.R MENSAL'!I39</f>
        <v>14037003.329999998</v>
      </c>
      <c r="J37" s="23">
        <f>'D.R MENSAL'!J39</f>
        <v>32738154.32</v>
      </c>
      <c r="K37" s="23">
        <f>'D.R MENSAL'!K39</f>
        <v>10884019.249999998</v>
      </c>
      <c r="L37" s="202">
        <f>'D.R MENSAL'!L39</f>
        <v>9457993.3899999987</v>
      </c>
      <c r="M37" s="23">
        <f>'D.R MENSAL'!M39</f>
        <v>5906197.6399999987</v>
      </c>
      <c r="N37" s="23">
        <f>'D.R MENSAL'!N39</f>
        <v>33793015.659999996</v>
      </c>
      <c r="O37" s="180">
        <f>'D.R MENSAL'!O39</f>
        <v>-316723175.64999998</v>
      </c>
    </row>
    <row r="38" spans="1:15" ht="14.5" thickBot="1" x14ac:dyDescent="0.35">
      <c r="B38" s="43" t="s">
        <v>105</v>
      </c>
      <c r="C38" s="44"/>
      <c r="D38" s="69">
        <f>SUM(D$34:D$37)</f>
        <v>75504548.780000001</v>
      </c>
      <c r="E38" s="69">
        <f t="shared" ref="E38:O38" si="3">SUM(E$34:E$37)</f>
        <v>95332582.980000004</v>
      </c>
      <c r="F38" s="69">
        <f t="shared" si="3"/>
        <v>137204966.12</v>
      </c>
      <c r="G38" s="69">
        <f t="shared" si="3"/>
        <v>211657602.78</v>
      </c>
      <c r="H38" s="69">
        <f t="shared" si="3"/>
        <v>233979998.62999997</v>
      </c>
      <c r="I38" s="69">
        <f t="shared" si="3"/>
        <v>248017001.95999998</v>
      </c>
      <c r="J38" s="69">
        <f t="shared" si="3"/>
        <v>280755156.27999997</v>
      </c>
      <c r="K38" s="69">
        <f t="shared" si="3"/>
        <v>291639175.52999997</v>
      </c>
      <c r="L38" s="373">
        <f t="shared" si="3"/>
        <v>301097168.91999996</v>
      </c>
      <c r="M38" s="69">
        <f t="shared" si="3"/>
        <v>307003366.55999994</v>
      </c>
      <c r="N38" s="69">
        <f t="shared" si="3"/>
        <v>340796382.21999991</v>
      </c>
      <c r="O38" s="340">
        <f t="shared" si="3"/>
        <v>24073206.569999993</v>
      </c>
    </row>
    <row r="39" spans="1:15" ht="14.5" thickBot="1" x14ac:dyDescent="0.35">
      <c r="B39" s="58" t="s">
        <v>106</v>
      </c>
      <c r="C39" s="45"/>
      <c r="D39" s="46"/>
      <c r="E39" s="47"/>
      <c r="F39" s="46"/>
      <c r="G39" s="47"/>
      <c r="H39" s="46"/>
      <c r="I39" s="46"/>
      <c r="J39" s="47"/>
      <c r="K39" s="332"/>
      <c r="L39" s="374"/>
      <c r="M39" s="332"/>
      <c r="N39" s="332"/>
      <c r="O39" s="341"/>
    </row>
    <row r="40" spans="1:15" x14ac:dyDescent="0.3">
      <c r="B40" s="48"/>
      <c r="C40" s="9"/>
      <c r="D40" s="49"/>
      <c r="E40" s="10"/>
      <c r="F40" s="49"/>
      <c r="G40" s="10"/>
      <c r="H40" s="49"/>
      <c r="I40" s="49"/>
      <c r="J40" s="10"/>
      <c r="K40" s="49"/>
      <c r="L40" s="367"/>
      <c r="M40" s="49"/>
      <c r="N40" s="49"/>
      <c r="O40" s="206"/>
    </row>
    <row r="41" spans="1:15" x14ac:dyDescent="0.3">
      <c r="B41" s="6" t="s">
        <v>107</v>
      </c>
      <c r="C41" s="7">
        <v>15</v>
      </c>
      <c r="D41" s="23">
        <v>0</v>
      </c>
      <c r="E41" s="8">
        <v>0</v>
      </c>
      <c r="F41" s="23">
        <v>0</v>
      </c>
      <c r="G41" s="8">
        <v>0</v>
      </c>
      <c r="H41" s="23">
        <v>0</v>
      </c>
      <c r="I41" s="23">
        <v>0</v>
      </c>
      <c r="J41" s="8">
        <v>0</v>
      </c>
      <c r="K41" s="23">
        <v>0</v>
      </c>
      <c r="L41" s="192">
        <v>0</v>
      </c>
      <c r="M41" s="23">
        <v>0</v>
      </c>
      <c r="N41" s="23">
        <v>0</v>
      </c>
      <c r="O41" s="207">
        <v>0</v>
      </c>
    </row>
    <row r="42" spans="1:15" x14ac:dyDescent="0.3">
      <c r="B42" s="6" t="s">
        <v>108</v>
      </c>
      <c r="C42" s="7">
        <v>16</v>
      </c>
      <c r="D42" s="23">
        <v>0</v>
      </c>
      <c r="E42" s="8">
        <v>0</v>
      </c>
      <c r="F42" s="23">
        <v>0</v>
      </c>
      <c r="G42" s="8">
        <v>0</v>
      </c>
      <c r="H42" s="23">
        <v>0</v>
      </c>
      <c r="I42" s="23">
        <v>0</v>
      </c>
      <c r="J42" s="8">
        <v>0</v>
      </c>
      <c r="K42" s="23">
        <v>0</v>
      </c>
      <c r="L42" s="192">
        <v>0</v>
      </c>
      <c r="M42" s="23">
        <v>0</v>
      </c>
      <c r="N42" s="23">
        <v>0</v>
      </c>
      <c r="O42" s="207">
        <v>0</v>
      </c>
    </row>
    <row r="43" spans="1:15" x14ac:dyDescent="0.3">
      <c r="B43" s="6" t="s">
        <v>109</v>
      </c>
      <c r="C43" s="7">
        <v>17</v>
      </c>
      <c r="D43" s="23">
        <v>0</v>
      </c>
      <c r="E43" s="8">
        <v>0</v>
      </c>
      <c r="F43" s="23">
        <v>0</v>
      </c>
      <c r="G43" s="8">
        <v>0</v>
      </c>
      <c r="H43" s="23">
        <v>0</v>
      </c>
      <c r="I43" s="23">
        <v>0</v>
      </c>
      <c r="J43" s="8">
        <v>0</v>
      </c>
      <c r="K43" s="23">
        <v>0</v>
      </c>
      <c r="L43" s="192">
        <v>0</v>
      </c>
      <c r="M43" s="23">
        <v>0</v>
      </c>
      <c r="N43" s="23">
        <v>0</v>
      </c>
      <c r="O43" s="207">
        <v>0</v>
      </c>
    </row>
    <row r="44" spans="1:15" x14ac:dyDescent="0.3">
      <c r="B44" s="6" t="s">
        <v>110</v>
      </c>
      <c r="C44" s="7">
        <v>18</v>
      </c>
      <c r="D44" s="23">
        <v>0</v>
      </c>
      <c r="E44" s="8">
        <v>0</v>
      </c>
      <c r="F44" s="23">
        <v>0</v>
      </c>
      <c r="G44" s="8">
        <v>0</v>
      </c>
      <c r="H44" s="23">
        <v>0</v>
      </c>
      <c r="I44" s="23">
        <v>0</v>
      </c>
      <c r="J44" s="8">
        <v>0</v>
      </c>
      <c r="K44" s="23">
        <v>0</v>
      </c>
      <c r="L44" s="192">
        <v>0</v>
      </c>
      <c r="M44" s="23">
        <v>0</v>
      </c>
      <c r="N44" s="23">
        <v>0</v>
      </c>
      <c r="O44" s="207">
        <v>0</v>
      </c>
    </row>
    <row r="45" spans="1:15" x14ac:dyDescent="0.3">
      <c r="B45" s="6" t="s">
        <v>111</v>
      </c>
      <c r="C45" s="7">
        <v>19</v>
      </c>
      <c r="D45" s="23">
        <v>0</v>
      </c>
      <c r="E45" s="8">
        <v>0</v>
      </c>
      <c r="F45" s="23">
        <v>0</v>
      </c>
      <c r="G45" s="8">
        <v>0</v>
      </c>
      <c r="H45" s="23">
        <v>0</v>
      </c>
      <c r="I45" s="23">
        <v>0</v>
      </c>
      <c r="J45" s="8">
        <v>0</v>
      </c>
      <c r="K45" s="23">
        <v>0</v>
      </c>
      <c r="L45" s="192">
        <v>0</v>
      </c>
      <c r="M45" s="23">
        <v>0</v>
      </c>
      <c r="N45" s="23">
        <v>0</v>
      </c>
      <c r="O45" s="207">
        <v>0</v>
      </c>
    </row>
    <row r="46" spans="1:15" ht="14.5" thickBot="1" x14ac:dyDescent="0.35">
      <c r="B46" s="43" t="s">
        <v>105</v>
      </c>
      <c r="C46" s="9"/>
      <c r="D46" s="64">
        <f>SUM(D$41:D$45)</f>
        <v>0</v>
      </c>
      <c r="E46" s="64">
        <f t="shared" ref="E46:O46" si="4">SUM(E$41:E$45)</f>
        <v>0</v>
      </c>
      <c r="F46" s="64">
        <f t="shared" si="4"/>
        <v>0</v>
      </c>
      <c r="G46" s="64">
        <f t="shared" si="4"/>
        <v>0</v>
      </c>
      <c r="H46" s="64">
        <f t="shared" si="4"/>
        <v>0</v>
      </c>
      <c r="I46" s="64">
        <f t="shared" si="4"/>
        <v>0</v>
      </c>
      <c r="J46" s="64">
        <f t="shared" si="4"/>
        <v>0</v>
      </c>
      <c r="K46" s="64">
        <f t="shared" si="4"/>
        <v>0</v>
      </c>
      <c r="L46" s="61">
        <f t="shared" si="4"/>
        <v>0</v>
      </c>
      <c r="M46" s="64">
        <f t="shared" si="4"/>
        <v>0</v>
      </c>
      <c r="N46" s="64">
        <f t="shared" si="4"/>
        <v>0</v>
      </c>
      <c r="O46" s="210">
        <f t="shared" si="4"/>
        <v>0</v>
      </c>
    </row>
    <row r="47" spans="1:15" ht="14.5" thickBot="1" x14ac:dyDescent="0.35">
      <c r="B47" s="58" t="s">
        <v>112</v>
      </c>
      <c r="C47" s="45"/>
      <c r="D47" s="50"/>
      <c r="E47" s="51"/>
      <c r="F47" s="50"/>
      <c r="G47" s="51"/>
      <c r="H47" s="50"/>
      <c r="I47" s="50"/>
      <c r="J47" s="51"/>
      <c r="K47" s="333"/>
      <c r="L47" s="375"/>
      <c r="M47" s="333"/>
      <c r="N47" s="333"/>
      <c r="O47" s="342"/>
    </row>
    <row r="48" spans="1:15" x14ac:dyDescent="0.3">
      <c r="B48" s="6"/>
      <c r="C48" s="9"/>
      <c r="D48" s="49"/>
      <c r="E48" s="10"/>
      <c r="F48" s="49"/>
      <c r="G48" s="10"/>
      <c r="H48" s="49"/>
      <c r="I48" s="49"/>
      <c r="J48" s="10"/>
      <c r="K48" s="49"/>
      <c r="L48" s="367"/>
      <c r="M48" s="49"/>
      <c r="N48" s="49"/>
      <c r="O48" s="206"/>
    </row>
    <row r="49" spans="1:15" x14ac:dyDescent="0.3">
      <c r="A49" s="214"/>
      <c r="B49" s="6" t="s">
        <v>113</v>
      </c>
      <c r="C49" s="7">
        <v>19</v>
      </c>
      <c r="D49" s="23">
        <f>Balancete!C15+Balancete!C16+Balancete!C19+Balancete!C21+Balancete!C22+Balancete!C25</f>
        <v>240605497.15000001</v>
      </c>
      <c r="E49" s="23">
        <f>Balancete!D15+Balancete!D16+Balancete!D19+Balancete!D21+Balancete!D22+Balancete!D25</f>
        <v>237371151.88</v>
      </c>
      <c r="F49" s="23">
        <f>Balancete!E15+Balancete!E16+Balancete!E19+Balancete!E21+Balancete!E22+Balancete!E25</f>
        <v>240255816.21999997</v>
      </c>
      <c r="G49" s="23">
        <f>Balancete!F15+Balancete!F16+Balancete!F19+Balancete!F21+Balancete!F22+Balancete!F25</f>
        <v>248533454.01000002</v>
      </c>
      <c r="H49" s="23">
        <f>Balancete!G15+Balancete!G16+Balancete!G19+Balancete!G21+Balancete!G22+Balancete!G25</f>
        <v>250097578.81999999</v>
      </c>
      <c r="I49" s="23">
        <f>Balancete!H15+Balancete!H16+Balancete!H19+Balancete!H21+Balancete!H22+Balancete!H25</f>
        <v>265554085.64000002</v>
      </c>
      <c r="J49" s="23">
        <f>Balancete!I15+Balancete!I16+Balancete!I19+Balancete!I21+Balancete!I22+Balancete!I25</f>
        <v>270366535.63999999</v>
      </c>
      <c r="K49" s="23">
        <f>Balancete!J15+Balancete!J16+Balancete!J19+Balancete!J21+Balancete!J22+Balancete!J25</f>
        <v>264127297.05000001</v>
      </c>
      <c r="L49" s="202">
        <f>Balancete!K15+Balancete!K16+Balancete!K19+Balancete!K21+Balancete!K22+Balancete!K25</f>
        <v>271461876.04000002</v>
      </c>
      <c r="M49" s="23">
        <f>Balancete!L15+Balancete!L16+Balancete!L19+Balancete!L21+Balancete!L22+Balancete!L25</f>
        <v>279487877.01999998</v>
      </c>
      <c r="N49" s="23">
        <f>Balancete!M15+Balancete!M16+Balancete!M19+Balancete!M21+Balancete!M22+Balancete!M25</f>
        <v>289817994.74000001</v>
      </c>
      <c r="O49" s="180">
        <f>Balancete!N15+Balancete!N16+Balancete!N19+Balancete!N21+Balancete!N22+Balancete!N25</f>
        <v>281776573.26999998</v>
      </c>
    </row>
    <row r="50" spans="1:15" x14ac:dyDescent="0.3">
      <c r="B50" s="6" t="s">
        <v>114</v>
      </c>
      <c r="C50" s="7">
        <v>20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02">
        <v>0</v>
      </c>
      <c r="M50" s="23">
        <v>0</v>
      </c>
      <c r="N50" s="23">
        <v>0</v>
      </c>
      <c r="O50" s="207">
        <v>0</v>
      </c>
    </row>
    <row r="51" spans="1:15" x14ac:dyDescent="0.3">
      <c r="B51" s="6" t="s">
        <v>115</v>
      </c>
      <c r="C51" s="7">
        <v>15</v>
      </c>
      <c r="D51" s="23">
        <v>0</v>
      </c>
      <c r="E51" s="8">
        <v>0</v>
      </c>
      <c r="F51" s="23">
        <v>0</v>
      </c>
      <c r="G51" s="8">
        <v>0</v>
      </c>
      <c r="H51" s="23">
        <v>0</v>
      </c>
      <c r="I51" s="23">
        <v>0</v>
      </c>
      <c r="J51" s="8">
        <v>0</v>
      </c>
      <c r="K51" s="23">
        <v>0</v>
      </c>
      <c r="L51" s="192">
        <v>0</v>
      </c>
      <c r="M51" s="23">
        <v>0</v>
      </c>
      <c r="N51" s="23">
        <v>0</v>
      </c>
      <c r="O51" s="207">
        <v>0</v>
      </c>
    </row>
    <row r="52" spans="1:15" x14ac:dyDescent="0.3">
      <c r="B52" s="6" t="s">
        <v>116</v>
      </c>
      <c r="C52" s="7">
        <v>21</v>
      </c>
      <c r="D52" s="23">
        <v>0</v>
      </c>
      <c r="E52" s="8">
        <v>0</v>
      </c>
      <c r="F52" s="23">
        <v>0</v>
      </c>
      <c r="G52" s="8">
        <v>0</v>
      </c>
      <c r="H52" s="23">
        <v>0</v>
      </c>
      <c r="I52" s="23">
        <v>0</v>
      </c>
      <c r="J52" s="8">
        <v>0</v>
      </c>
      <c r="K52" s="23">
        <v>0</v>
      </c>
      <c r="L52" s="192">
        <v>0</v>
      </c>
      <c r="M52" s="23">
        <v>0</v>
      </c>
      <c r="N52" s="23">
        <v>0</v>
      </c>
      <c r="O52" s="207">
        <v>0</v>
      </c>
    </row>
    <row r="53" spans="1:15" x14ac:dyDescent="0.3">
      <c r="B53" s="5"/>
      <c r="C53" s="9"/>
      <c r="D53" s="64">
        <f>SUM(D$49:D$52)</f>
        <v>240605497.15000001</v>
      </c>
      <c r="E53" s="64">
        <f t="shared" ref="E53:O53" si="5">SUM(E$49:E$52)</f>
        <v>237371151.88</v>
      </c>
      <c r="F53" s="64">
        <f t="shared" si="5"/>
        <v>240255816.21999997</v>
      </c>
      <c r="G53" s="64">
        <f t="shared" si="5"/>
        <v>248533454.01000002</v>
      </c>
      <c r="H53" s="64">
        <f t="shared" si="5"/>
        <v>250097578.81999999</v>
      </c>
      <c r="I53" s="64">
        <f t="shared" si="5"/>
        <v>265554085.64000002</v>
      </c>
      <c r="J53" s="64">
        <f t="shared" si="5"/>
        <v>270366535.63999999</v>
      </c>
      <c r="K53" s="64">
        <f t="shared" si="5"/>
        <v>264127297.05000001</v>
      </c>
      <c r="L53" s="61">
        <f t="shared" si="5"/>
        <v>271461876.04000002</v>
      </c>
      <c r="M53" s="64">
        <f t="shared" si="5"/>
        <v>279487877.01999998</v>
      </c>
      <c r="N53" s="64">
        <f t="shared" si="5"/>
        <v>289817994.74000001</v>
      </c>
      <c r="O53" s="210">
        <f t="shared" si="5"/>
        <v>281776573.26999998</v>
      </c>
    </row>
    <row r="54" spans="1:15" x14ac:dyDescent="0.3">
      <c r="B54" s="5"/>
      <c r="C54" s="5"/>
      <c r="D54" s="27"/>
      <c r="E54" s="20"/>
      <c r="F54" s="27"/>
      <c r="G54" s="20"/>
      <c r="H54" s="27"/>
      <c r="I54" s="27"/>
      <c r="J54" s="20"/>
      <c r="K54" s="27"/>
      <c r="L54" s="363"/>
      <c r="M54" s="27"/>
      <c r="N54" s="5"/>
      <c r="O54" s="208"/>
    </row>
    <row r="55" spans="1:15" x14ac:dyDescent="0.3">
      <c r="B55" s="13" t="s">
        <v>117</v>
      </c>
      <c r="C55" s="5"/>
      <c r="D55" s="64">
        <f>SUM(D$38+D$46+D$53)</f>
        <v>316110045.93000001</v>
      </c>
      <c r="E55" s="64">
        <f t="shared" ref="E55:O55" si="6">SUM(E$38+E$46+E$53)</f>
        <v>332703734.86000001</v>
      </c>
      <c r="F55" s="64">
        <f t="shared" si="6"/>
        <v>377460782.33999997</v>
      </c>
      <c r="G55" s="64">
        <f t="shared" si="6"/>
        <v>460191056.79000002</v>
      </c>
      <c r="H55" s="64">
        <f t="shared" si="6"/>
        <v>484077577.44999993</v>
      </c>
      <c r="I55" s="64">
        <f t="shared" si="6"/>
        <v>513571087.60000002</v>
      </c>
      <c r="J55" s="64">
        <f t="shared" si="6"/>
        <v>551121691.91999996</v>
      </c>
      <c r="K55" s="64">
        <f t="shared" si="6"/>
        <v>555766472.57999992</v>
      </c>
      <c r="L55" s="61">
        <f t="shared" si="6"/>
        <v>572559044.96000004</v>
      </c>
      <c r="M55" s="64">
        <f t="shared" si="6"/>
        <v>586491243.57999992</v>
      </c>
      <c r="N55" s="64">
        <f t="shared" si="6"/>
        <v>630614376.95999992</v>
      </c>
      <c r="O55" s="210">
        <f t="shared" si="6"/>
        <v>305849779.83999997</v>
      </c>
    </row>
    <row r="56" spans="1:15" ht="14.5" thickBot="1" x14ac:dyDescent="0.35">
      <c r="B56" s="70"/>
      <c r="C56" s="44"/>
      <c r="D56" s="52"/>
      <c r="E56" s="53"/>
      <c r="F56" s="52"/>
      <c r="G56" s="53"/>
      <c r="H56" s="52"/>
      <c r="I56" s="52"/>
      <c r="J56" s="53"/>
      <c r="K56" s="52"/>
      <c r="L56" s="376"/>
      <c r="M56" s="377"/>
      <c r="N56" s="378"/>
      <c r="O56" s="343"/>
    </row>
    <row r="57" spans="1:15" x14ac:dyDescent="0.3">
      <c r="B57" s="4" t="s">
        <v>118</v>
      </c>
      <c r="C57" s="3"/>
      <c r="D57" s="4"/>
      <c r="E57" s="12"/>
      <c r="F57" s="4"/>
      <c r="G57" s="12"/>
      <c r="H57" s="4"/>
      <c r="I57" s="4"/>
      <c r="J57" s="12"/>
      <c r="K57" s="4"/>
      <c r="L57" s="12"/>
      <c r="M57" s="4"/>
      <c r="N57" s="12" t="s">
        <v>119</v>
      </c>
      <c r="O57" s="4"/>
    </row>
  </sheetData>
  <sheetProtection password="CC6B" sheet="1" objects="1" scenarios="1"/>
  <mergeCells count="6">
    <mergeCell ref="L7:M7"/>
    <mergeCell ref="N7:O7"/>
    <mergeCell ref="M5:O5"/>
    <mergeCell ref="B3:H3"/>
    <mergeCell ref="F5:H5"/>
    <mergeCell ref="G7:H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tabColor theme="9"/>
  </sheetPr>
  <dimension ref="B3:O41"/>
  <sheetViews>
    <sheetView zoomScale="60" zoomScaleNormal="60" workbookViewId="0">
      <pane xSplit="2" topLeftCell="C1" activePane="topRight" state="frozen"/>
      <selection pane="topRight" activeCell="P29" sqref="P29"/>
    </sheetView>
  </sheetViews>
  <sheetFormatPr defaultRowHeight="14" x14ac:dyDescent="0.3"/>
  <cols>
    <col min="1" max="1" width="0" style="72" hidden="1" customWidth="1"/>
    <col min="2" max="2" width="45.6328125" style="72" bestFit="1" customWidth="1"/>
    <col min="3" max="3" width="7" style="72" bestFit="1" customWidth="1"/>
    <col min="4" max="4" width="18.90625" style="72" customWidth="1"/>
    <col min="5" max="5" width="16.90625" style="72" customWidth="1"/>
    <col min="6" max="6" width="18.90625" style="72" customWidth="1"/>
    <col min="7" max="7" width="23.7265625" style="72" bestFit="1" customWidth="1"/>
    <col min="8" max="8" width="18.90625" style="72" customWidth="1"/>
    <col min="9" max="9" width="16.90625" style="72" customWidth="1"/>
    <col min="10" max="10" width="18.90625" style="72" customWidth="1"/>
    <col min="11" max="11" width="16.1796875" style="72" bestFit="1" customWidth="1"/>
    <col min="12" max="12" width="18.90625" style="72" customWidth="1"/>
    <col min="13" max="13" width="16.90625" style="72" customWidth="1"/>
    <col min="14" max="14" width="18.90625" style="72" customWidth="1"/>
    <col min="15" max="15" width="18.453125" style="72" customWidth="1"/>
    <col min="16" max="16384" width="8.7265625" style="72"/>
  </cols>
  <sheetData>
    <row r="3" spans="2:15" ht="20" x14ac:dyDescent="0.3">
      <c r="B3" s="302" t="s">
        <v>153</v>
      </c>
      <c r="C3" s="302"/>
      <c r="D3" s="302"/>
      <c r="E3" s="302"/>
      <c r="F3" s="302"/>
      <c r="G3" s="302"/>
    </row>
    <row r="4" spans="2:15" x14ac:dyDescent="0.3">
      <c r="B4" s="3"/>
      <c r="C4" s="3"/>
      <c r="D4" s="4"/>
      <c r="E4" s="3"/>
      <c r="F4" s="4"/>
      <c r="G4" s="3"/>
      <c r="H4" s="4"/>
      <c r="I4" s="3"/>
      <c r="J4" s="4"/>
      <c r="K4" s="3"/>
      <c r="L4" s="4"/>
      <c r="M4" s="3"/>
      <c r="N4" s="4"/>
      <c r="O4" s="3"/>
    </row>
    <row r="5" spans="2:15" ht="14.5" customHeight="1" x14ac:dyDescent="0.3">
      <c r="B5" s="4" t="s">
        <v>128</v>
      </c>
      <c r="C5" s="4"/>
      <c r="D5" s="77"/>
      <c r="E5" s="301"/>
      <c r="F5" s="301"/>
      <c r="G5" s="301"/>
      <c r="H5" s="77"/>
      <c r="I5" s="305"/>
      <c r="J5" s="305"/>
      <c r="K5" s="305"/>
      <c r="L5" s="77"/>
      <c r="M5" s="301"/>
      <c r="N5" s="301"/>
      <c r="O5" s="301"/>
    </row>
    <row r="6" spans="2:15" x14ac:dyDescent="0.3">
      <c r="B6" s="2" t="s">
        <v>129</v>
      </c>
      <c r="C6" s="4"/>
      <c r="D6" s="4"/>
      <c r="E6" s="4"/>
      <c r="F6" s="4"/>
      <c r="G6" s="12" t="s">
        <v>191</v>
      </c>
      <c r="H6" s="4"/>
      <c r="I6" s="4"/>
      <c r="J6" s="4"/>
      <c r="K6" s="12"/>
      <c r="L6" s="4"/>
      <c r="M6" s="4"/>
      <c r="N6" s="4"/>
      <c r="O6" s="12" t="s">
        <v>191</v>
      </c>
    </row>
    <row r="7" spans="2:15" ht="14.5" customHeight="1" x14ac:dyDescent="0.3">
      <c r="C7" s="3"/>
      <c r="D7" s="4"/>
      <c r="E7" s="3"/>
      <c r="F7" s="4"/>
      <c r="G7" s="12" t="s">
        <v>124</v>
      </c>
      <c r="H7" s="4"/>
      <c r="I7" s="3"/>
      <c r="J7" s="4"/>
      <c r="K7" s="12"/>
      <c r="L7" s="4"/>
      <c r="M7" s="3"/>
      <c r="N7" s="4"/>
      <c r="O7" s="12" t="s">
        <v>124</v>
      </c>
    </row>
    <row r="8" spans="2:15" ht="14.5" thickBot="1" x14ac:dyDescent="0.35">
      <c r="B8" s="4"/>
      <c r="C8" s="3"/>
      <c r="D8" s="4"/>
      <c r="E8" s="3"/>
      <c r="F8" s="4"/>
      <c r="G8" s="3"/>
      <c r="H8" s="4"/>
      <c r="I8" s="3"/>
      <c r="J8" s="4"/>
      <c r="K8" s="3"/>
      <c r="L8" s="4"/>
      <c r="M8" s="3"/>
      <c r="N8" s="4"/>
      <c r="O8" s="3"/>
    </row>
    <row r="9" spans="2:15" ht="16" thickBot="1" x14ac:dyDescent="0.35">
      <c r="B9" s="71" t="s">
        <v>83</v>
      </c>
      <c r="C9" s="71" t="s">
        <v>84</v>
      </c>
      <c r="D9" s="175" t="s">
        <v>67</v>
      </c>
      <c r="E9" s="175" t="s">
        <v>68</v>
      </c>
      <c r="F9" s="175" t="s">
        <v>69</v>
      </c>
      <c r="G9" s="175" t="s">
        <v>70</v>
      </c>
      <c r="H9" s="175" t="s">
        <v>71</v>
      </c>
      <c r="I9" s="175" t="s">
        <v>72</v>
      </c>
      <c r="J9" s="175" t="s">
        <v>73</v>
      </c>
      <c r="K9" s="175" t="s">
        <v>74</v>
      </c>
      <c r="L9" s="175" t="s">
        <v>75</v>
      </c>
      <c r="M9" s="175" t="s">
        <v>76</v>
      </c>
      <c r="N9" s="345" t="s">
        <v>77</v>
      </c>
      <c r="O9" s="351" t="s">
        <v>78</v>
      </c>
    </row>
    <row r="10" spans="2:15" x14ac:dyDescent="0.3">
      <c r="B10" s="176"/>
      <c r="C10" s="189"/>
      <c r="D10" s="216"/>
      <c r="E10" s="217"/>
      <c r="F10" s="217"/>
      <c r="G10" s="218"/>
      <c r="H10" s="216"/>
      <c r="I10" s="217"/>
      <c r="J10" s="217"/>
      <c r="K10" s="218"/>
      <c r="L10" s="216"/>
      <c r="M10" s="217"/>
      <c r="N10" s="346"/>
      <c r="O10" s="352"/>
    </row>
    <row r="11" spans="2:15" x14ac:dyDescent="0.3">
      <c r="B11" s="179" t="s">
        <v>136</v>
      </c>
      <c r="C11" s="7">
        <v>22</v>
      </c>
      <c r="D11" s="192">
        <f>Balancete!C37</f>
        <v>24461174.670000002</v>
      </c>
      <c r="E11" s="192">
        <f>Balancete!D37</f>
        <v>13598702.59</v>
      </c>
      <c r="F11" s="192">
        <f>Balancete!E37</f>
        <v>17084469.280000001</v>
      </c>
      <c r="G11" s="192">
        <f>Balancete!F37</f>
        <v>77089437.780000001</v>
      </c>
      <c r="H11" s="192">
        <f>Balancete!G37</f>
        <v>22780620.079999998</v>
      </c>
      <c r="I11" s="192">
        <f>Balancete!H37</f>
        <v>14884936.67</v>
      </c>
      <c r="J11" s="192">
        <f>Balancete!I37</f>
        <v>33335501.359999999</v>
      </c>
      <c r="K11" s="192">
        <f>Balancete!J37</f>
        <v>24127743.789999999</v>
      </c>
      <c r="L11" s="192">
        <f>Balancete!K37</f>
        <v>14513920.560000001</v>
      </c>
      <c r="M11" s="192">
        <f>Balancete!L37</f>
        <v>13606870.220000001</v>
      </c>
      <c r="N11" s="202">
        <f>Balancete!M37</f>
        <v>8165894.4500000002</v>
      </c>
      <c r="O11" s="207">
        <f>Balancete!N37</f>
        <v>22526727.149999999</v>
      </c>
    </row>
    <row r="12" spans="2:15" x14ac:dyDescent="0.3">
      <c r="B12" s="181" t="s">
        <v>137</v>
      </c>
      <c r="C12" s="7">
        <v>23</v>
      </c>
      <c r="D12" s="192">
        <f>Balancete!C38</f>
        <v>11303794.85</v>
      </c>
      <c r="E12" s="192">
        <f>Balancete!D38</f>
        <v>11514577.5</v>
      </c>
      <c r="F12" s="192">
        <f>Balancete!E38</f>
        <v>32550452.02</v>
      </c>
      <c r="G12" s="192">
        <f>Balancete!F38</f>
        <v>2051226.88</v>
      </c>
      <c r="H12" s="192">
        <f>Balancete!G38</f>
        <v>5083914.54</v>
      </c>
      <c r="I12" s="192">
        <f>Balancete!H38</f>
        <v>13591209.550000001</v>
      </c>
      <c r="J12" s="192">
        <f>Balancete!I38</f>
        <v>5808854.7400000002</v>
      </c>
      <c r="K12" s="192">
        <f>Balancete!J38</f>
        <v>-5182065.3</v>
      </c>
      <c r="L12" s="192">
        <f>Balancete!K38</f>
        <v>3350643.73</v>
      </c>
      <c r="M12" s="192">
        <f>Balancete!L38</f>
        <v>4461636.99</v>
      </c>
      <c r="N12" s="202">
        <f>Balancete!M38</f>
        <v>33654092.909999996</v>
      </c>
      <c r="O12" s="207">
        <f>Balancete!N38</f>
        <v>7253467.3499999996</v>
      </c>
    </row>
    <row r="13" spans="2:15" x14ac:dyDescent="0.3">
      <c r="B13" s="213" t="s">
        <v>154</v>
      </c>
      <c r="C13" s="7"/>
      <c r="D13" s="212">
        <f>SUM(D11:D12)</f>
        <v>35764969.520000003</v>
      </c>
      <c r="E13" s="212">
        <f t="shared" ref="E13:O13" si="0">SUM(E11:E12)</f>
        <v>25113280.09</v>
      </c>
      <c r="F13" s="212">
        <f t="shared" si="0"/>
        <v>49634921.299999997</v>
      </c>
      <c r="G13" s="212">
        <f t="shared" si="0"/>
        <v>79140664.659999996</v>
      </c>
      <c r="H13" s="212">
        <f t="shared" si="0"/>
        <v>27864534.619999997</v>
      </c>
      <c r="I13" s="212">
        <f t="shared" si="0"/>
        <v>28476146.219999999</v>
      </c>
      <c r="J13" s="212">
        <f t="shared" si="0"/>
        <v>39144356.100000001</v>
      </c>
      <c r="K13" s="212">
        <f t="shared" si="0"/>
        <v>18945678.489999998</v>
      </c>
      <c r="L13" s="212">
        <f t="shared" si="0"/>
        <v>17864564.289999999</v>
      </c>
      <c r="M13" s="212">
        <f t="shared" si="0"/>
        <v>18068507.210000001</v>
      </c>
      <c r="N13" s="347">
        <f t="shared" si="0"/>
        <v>41819987.359999999</v>
      </c>
      <c r="O13" s="353">
        <f t="shared" si="0"/>
        <v>29780194.5</v>
      </c>
    </row>
    <row r="14" spans="2:15" ht="14.5" thickBot="1" x14ac:dyDescent="0.35">
      <c r="B14" s="179" t="s">
        <v>131</v>
      </c>
      <c r="C14" s="7">
        <v>24</v>
      </c>
      <c r="D14" s="192">
        <f>Balancete!C43</f>
        <v>0</v>
      </c>
      <c r="E14" s="192">
        <f>Balancete!D43</f>
        <v>0</v>
      </c>
      <c r="F14" s="192">
        <f>Balancete!E43</f>
        <v>0</v>
      </c>
      <c r="G14" s="192">
        <f>Balancete!F43</f>
        <v>0</v>
      </c>
      <c r="H14" s="192">
        <f>Balancete!G43</f>
        <v>0</v>
      </c>
      <c r="I14" s="192">
        <f>Balancete!H43</f>
        <v>0</v>
      </c>
      <c r="J14" s="192">
        <f>Balancete!I43</f>
        <v>0</v>
      </c>
      <c r="K14" s="192">
        <f>Balancete!J43</f>
        <v>0</v>
      </c>
      <c r="L14" s="192">
        <f>Balancete!K43</f>
        <v>0</v>
      </c>
      <c r="M14" s="192">
        <f>Balancete!L43</f>
        <v>0</v>
      </c>
      <c r="N14" s="202">
        <f>Balancete!M43</f>
        <v>0</v>
      </c>
      <c r="O14" s="207">
        <f>Balancete!N43</f>
        <v>329902536.41000003</v>
      </c>
    </row>
    <row r="15" spans="2:15" ht="14.5" thickBot="1" x14ac:dyDescent="0.35">
      <c r="B15" s="182" t="s">
        <v>132</v>
      </c>
      <c r="C15" s="9"/>
      <c r="D15" s="195">
        <f>D13-D14</f>
        <v>35764969.520000003</v>
      </c>
      <c r="E15" s="195">
        <f t="shared" ref="E15:O15" si="1">E13-E14</f>
        <v>25113280.09</v>
      </c>
      <c r="F15" s="195">
        <f t="shared" si="1"/>
        <v>49634921.299999997</v>
      </c>
      <c r="G15" s="16">
        <f t="shared" si="1"/>
        <v>79140664.659999996</v>
      </c>
      <c r="H15" s="195">
        <f t="shared" si="1"/>
        <v>27864534.619999997</v>
      </c>
      <c r="I15" s="195">
        <f t="shared" si="1"/>
        <v>28476146.219999999</v>
      </c>
      <c r="J15" s="195">
        <f t="shared" si="1"/>
        <v>39144356.100000001</v>
      </c>
      <c r="K15" s="15">
        <f t="shared" si="1"/>
        <v>18945678.489999998</v>
      </c>
      <c r="L15" s="15">
        <f t="shared" si="1"/>
        <v>17864564.289999999</v>
      </c>
      <c r="M15" s="15">
        <f t="shared" si="1"/>
        <v>18068507.210000001</v>
      </c>
      <c r="N15" s="15">
        <f t="shared" si="1"/>
        <v>41819987.359999999</v>
      </c>
      <c r="O15" s="16">
        <f t="shared" si="1"/>
        <v>-300122341.91000003</v>
      </c>
    </row>
    <row r="16" spans="2:15" x14ac:dyDescent="0.3">
      <c r="B16" s="19"/>
      <c r="C16" s="176"/>
      <c r="D16" s="219"/>
      <c r="E16" s="229"/>
      <c r="F16" s="218"/>
      <c r="G16" s="184"/>
      <c r="H16" s="219"/>
      <c r="I16" s="220"/>
      <c r="J16" s="218"/>
      <c r="K16" s="184"/>
      <c r="L16" s="202"/>
      <c r="M16" s="207"/>
      <c r="N16" s="348"/>
      <c r="O16" s="352"/>
    </row>
    <row r="17" spans="2:15" x14ac:dyDescent="0.3">
      <c r="B17" s="181" t="s">
        <v>138</v>
      </c>
      <c r="C17" s="197" t="s">
        <v>23</v>
      </c>
      <c r="D17" s="202">
        <f>Balancete!C39</f>
        <v>0</v>
      </c>
      <c r="E17" s="202">
        <f>Balancete!D39</f>
        <v>0</v>
      </c>
      <c r="F17" s="202">
        <f>Balancete!E39</f>
        <v>0</v>
      </c>
      <c r="G17" s="202">
        <f>Balancete!F39</f>
        <v>0</v>
      </c>
      <c r="H17" s="202">
        <f>Balancete!G39</f>
        <v>0</v>
      </c>
      <c r="I17" s="202">
        <f>Balancete!H39</f>
        <v>0</v>
      </c>
      <c r="J17" s="202">
        <f>Balancete!I39</f>
        <v>0</v>
      </c>
      <c r="K17" s="202">
        <f>Balancete!J39</f>
        <v>0</v>
      </c>
      <c r="L17" s="202">
        <f>Balancete!K39</f>
        <v>0</v>
      </c>
      <c r="M17" s="202">
        <f>Balancete!L39</f>
        <v>0</v>
      </c>
      <c r="N17" s="202">
        <f>Balancete!M39</f>
        <v>0</v>
      </c>
      <c r="O17" s="207">
        <f>Balancete!N39</f>
        <v>0</v>
      </c>
    </row>
    <row r="18" spans="2:15" x14ac:dyDescent="0.3">
      <c r="B18" s="179" t="s">
        <v>133</v>
      </c>
      <c r="C18" s="198"/>
      <c r="D18" s="202">
        <v>0</v>
      </c>
      <c r="E18" s="202">
        <v>0</v>
      </c>
      <c r="F18" s="202">
        <v>0</v>
      </c>
      <c r="G18" s="202">
        <v>0</v>
      </c>
      <c r="H18" s="202">
        <v>0</v>
      </c>
      <c r="I18" s="202">
        <v>0</v>
      </c>
      <c r="J18" s="202">
        <v>0</v>
      </c>
      <c r="K18" s="202">
        <v>0</v>
      </c>
      <c r="L18" s="202">
        <v>0</v>
      </c>
      <c r="M18" s="202">
        <v>0</v>
      </c>
      <c r="N18" s="202">
        <v>0</v>
      </c>
      <c r="O18" s="207">
        <v>0</v>
      </c>
    </row>
    <row r="19" spans="2:15" x14ac:dyDescent="0.3">
      <c r="B19" s="179" t="s">
        <v>134</v>
      </c>
      <c r="C19" s="198"/>
      <c r="D19" s="202">
        <f>Balancete!C44</f>
        <v>8003788.7400000002</v>
      </c>
      <c r="E19" s="202">
        <f>Balancete!D44</f>
        <v>3755407.7</v>
      </c>
      <c r="F19" s="202">
        <f>Balancete!E44</f>
        <v>3759556.63</v>
      </c>
      <c r="G19" s="202">
        <f>Balancete!F44</f>
        <v>2978560.61</v>
      </c>
      <c r="H19" s="202">
        <f>Balancete!G44</f>
        <v>3733545.89</v>
      </c>
      <c r="I19" s="202">
        <f>Balancete!H44</f>
        <v>6164907.3799999999</v>
      </c>
      <c r="J19" s="202">
        <f>Balancete!I44</f>
        <v>5435565.9400000004</v>
      </c>
      <c r="K19" s="202">
        <f>Balancete!J44</f>
        <v>5283256.2699999996</v>
      </c>
      <c r="L19" s="202">
        <f>Balancete!K44</f>
        <v>5188763.66</v>
      </c>
      <c r="M19" s="202">
        <f>Balancete!L44</f>
        <v>9643930.8800000008</v>
      </c>
      <c r="N19" s="202">
        <f>Balancete!M44</f>
        <v>6623705.9100000001</v>
      </c>
      <c r="O19" s="207">
        <f>Balancete!N44</f>
        <v>6414490.6399999997</v>
      </c>
    </row>
    <row r="20" spans="2:15" ht="14.5" thickBot="1" x14ac:dyDescent="0.35">
      <c r="B20" s="179" t="s">
        <v>139</v>
      </c>
      <c r="C20" s="198"/>
      <c r="D20" s="202">
        <f>Balancete!C46</f>
        <v>7335235.8099999996</v>
      </c>
      <c r="E20" s="202">
        <f>Balancete!D46</f>
        <v>1564202.94</v>
      </c>
      <c r="F20" s="202">
        <f>Balancete!E46</f>
        <v>4102903.37</v>
      </c>
      <c r="G20" s="202">
        <f>Balancete!F46</f>
        <v>990530.55</v>
      </c>
      <c r="H20" s="202">
        <f>Balancete!G46</f>
        <v>1796887.92</v>
      </c>
      <c r="I20" s="202">
        <f>Balancete!H46</f>
        <v>8371844.9400000004</v>
      </c>
      <c r="J20" s="202">
        <f>Balancete!I46</f>
        <v>1214226.1299999999</v>
      </c>
      <c r="K20" s="202">
        <f>Balancete!J46</f>
        <v>2607214.98</v>
      </c>
      <c r="L20" s="202">
        <f>Balancete!K46</f>
        <v>3072154.33</v>
      </c>
      <c r="M20" s="202">
        <f>Balancete!L46</f>
        <v>2500734.29</v>
      </c>
      <c r="N20" s="202">
        <f>Balancete!M46</f>
        <v>1068446.26</v>
      </c>
      <c r="O20" s="207">
        <f>Balancete!N46</f>
        <v>7657051.1299999999</v>
      </c>
    </row>
    <row r="21" spans="2:15" ht="14.5" thickBot="1" x14ac:dyDescent="0.35">
      <c r="B21" s="185" t="s">
        <v>148</v>
      </c>
      <c r="C21" s="197" t="s">
        <v>23</v>
      </c>
      <c r="D21" s="15">
        <f>D15-SUM(D17:D20)</f>
        <v>20425944.970000003</v>
      </c>
      <c r="E21" s="15">
        <f>E15-SUM(E17:E20)</f>
        <v>19793669.449999999</v>
      </c>
      <c r="F21" s="15">
        <f t="shared" ref="F21:O21" si="2">F15-SUM(F17:F20)</f>
        <v>41772461.299999997</v>
      </c>
      <c r="G21" s="15">
        <f t="shared" si="2"/>
        <v>75171573.5</v>
      </c>
      <c r="H21" s="15">
        <f t="shared" si="2"/>
        <v>22334100.809999995</v>
      </c>
      <c r="I21" s="15">
        <f t="shared" si="2"/>
        <v>13939393.899999999</v>
      </c>
      <c r="J21" s="15">
        <f t="shared" si="2"/>
        <v>32494564.030000001</v>
      </c>
      <c r="K21" s="15">
        <f t="shared" si="2"/>
        <v>11055207.239999998</v>
      </c>
      <c r="L21" s="15">
        <f t="shared" si="2"/>
        <v>9603646.2999999989</v>
      </c>
      <c r="M21" s="15">
        <f t="shared" si="2"/>
        <v>5923842.0399999991</v>
      </c>
      <c r="N21" s="15">
        <f t="shared" si="2"/>
        <v>34127835.189999998</v>
      </c>
      <c r="O21" s="16">
        <f t="shared" si="2"/>
        <v>-314193883.68000001</v>
      </c>
    </row>
    <row r="22" spans="2:15" x14ac:dyDescent="0.3">
      <c r="B22" s="19"/>
      <c r="C22" s="19"/>
      <c r="D22" s="202"/>
      <c r="E22" s="207"/>
      <c r="F22" s="184"/>
      <c r="G22" s="184"/>
      <c r="H22" s="202"/>
      <c r="I22" s="207"/>
      <c r="J22" s="184"/>
      <c r="K22" s="184"/>
      <c r="L22" s="202"/>
      <c r="M22" s="207"/>
      <c r="N22" s="348"/>
      <c r="O22" s="352"/>
    </row>
    <row r="23" spans="2:15" ht="14.5" thickBot="1" x14ac:dyDescent="0.35">
      <c r="B23" s="179" t="s">
        <v>140</v>
      </c>
      <c r="C23" s="199"/>
      <c r="D23" s="202">
        <f>Balancete!C45</f>
        <v>0</v>
      </c>
      <c r="E23" s="202">
        <f>Balancete!D45</f>
        <v>0</v>
      </c>
      <c r="F23" s="202">
        <f>Balancete!E45</f>
        <v>0</v>
      </c>
      <c r="G23" s="202">
        <f>Balancete!F45</f>
        <v>0</v>
      </c>
      <c r="H23" s="202">
        <f>Balancete!G45</f>
        <v>0</v>
      </c>
      <c r="I23" s="202">
        <f>Balancete!H45</f>
        <v>0</v>
      </c>
      <c r="J23" s="202">
        <f>Balancete!I45</f>
        <v>0</v>
      </c>
      <c r="K23" s="202">
        <f>Balancete!J45</f>
        <v>0</v>
      </c>
      <c r="L23" s="202">
        <f>Balancete!K45</f>
        <v>0</v>
      </c>
      <c r="M23" s="202">
        <f>Balancete!L45</f>
        <v>0</v>
      </c>
      <c r="N23" s="202">
        <f>Balancete!M45</f>
        <v>0</v>
      </c>
      <c r="O23" s="207">
        <f>Balancete!N45</f>
        <v>2580961.46</v>
      </c>
    </row>
    <row r="24" spans="2:15" ht="14.5" thickBot="1" x14ac:dyDescent="0.35">
      <c r="B24" s="185" t="s">
        <v>149</v>
      </c>
      <c r="C24" s="19"/>
      <c r="D24" s="221">
        <f>D21-D23</f>
        <v>20425944.970000003</v>
      </c>
      <c r="E24" s="221">
        <f t="shared" ref="E24:O24" si="3">E21-E23</f>
        <v>19793669.449999999</v>
      </c>
      <c r="F24" s="221">
        <f t="shared" si="3"/>
        <v>41772461.299999997</v>
      </c>
      <c r="G24" s="221">
        <f t="shared" si="3"/>
        <v>75171573.5</v>
      </c>
      <c r="H24" s="221">
        <f t="shared" si="3"/>
        <v>22334100.809999995</v>
      </c>
      <c r="I24" s="221">
        <f t="shared" si="3"/>
        <v>13939393.899999999</v>
      </c>
      <c r="J24" s="221">
        <f t="shared" si="3"/>
        <v>32494564.030000001</v>
      </c>
      <c r="K24" s="221">
        <f t="shared" si="3"/>
        <v>11055207.239999998</v>
      </c>
      <c r="L24" s="221">
        <f t="shared" si="3"/>
        <v>9603646.2999999989</v>
      </c>
      <c r="M24" s="221">
        <f t="shared" si="3"/>
        <v>5923842.0399999991</v>
      </c>
      <c r="N24" s="221">
        <f t="shared" si="3"/>
        <v>34127835.189999998</v>
      </c>
      <c r="O24" s="222">
        <f t="shared" si="3"/>
        <v>-316774845.13999999</v>
      </c>
    </row>
    <row r="25" spans="2:15" x14ac:dyDescent="0.3">
      <c r="B25" s="19"/>
      <c r="C25" s="19"/>
      <c r="D25" s="202"/>
      <c r="E25" s="207"/>
      <c r="F25" s="184"/>
      <c r="G25" s="184"/>
      <c r="H25" s="202"/>
      <c r="I25" s="207"/>
      <c r="J25" s="184"/>
      <c r="K25" s="184"/>
      <c r="L25" s="202"/>
      <c r="M25" s="207"/>
      <c r="N25" s="348"/>
      <c r="O25" s="352"/>
    </row>
    <row r="26" spans="2:15" x14ac:dyDescent="0.3">
      <c r="B26" s="179" t="s">
        <v>141</v>
      </c>
      <c r="C26" s="198">
        <v>31</v>
      </c>
      <c r="D26" s="202">
        <f>Balancete!C54</f>
        <v>-2787936.24</v>
      </c>
      <c r="E26" s="202">
        <f>Balancete!D54</f>
        <v>34365.770000000019</v>
      </c>
      <c r="F26" s="202">
        <f>Balancete!E54</f>
        <v>101886.77999999998</v>
      </c>
      <c r="G26" s="202">
        <f>Balancete!F54</f>
        <v>-718936.84</v>
      </c>
      <c r="H26" s="202">
        <f>Balancete!G54</f>
        <v>-24274.799999999999</v>
      </c>
      <c r="I26" s="202">
        <f>Balancete!H54</f>
        <v>118952.44999999998</v>
      </c>
      <c r="J26" s="202">
        <f>Balancete!I54</f>
        <v>271578.34999999998</v>
      </c>
      <c r="K26" s="202">
        <f>Balancete!J54</f>
        <v>-169928.93</v>
      </c>
      <c r="L26" s="202">
        <f>Balancete!K54</f>
        <v>-145656.24</v>
      </c>
      <c r="M26" s="202">
        <f>Balancete!L54</f>
        <v>-19810.489999999998</v>
      </c>
      <c r="N26" s="202">
        <f>Balancete!M54</f>
        <v>-32379.030000000002</v>
      </c>
      <c r="O26" s="207">
        <f>Balancete!N54</f>
        <v>119357.98999999999</v>
      </c>
    </row>
    <row r="27" spans="2:15" x14ac:dyDescent="0.3">
      <c r="B27" s="181" t="s">
        <v>143</v>
      </c>
      <c r="C27" s="198">
        <v>32</v>
      </c>
      <c r="D27" s="202">
        <v>0</v>
      </c>
      <c r="E27" s="202">
        <v>0</v>
      </c>
      <c r="F27" s="202">
        <v>0</v>
      </c>
      <c r="G27" s="202">
        <v>0</v>
      </c>
      <c r="H27" s="202">
        <v>0</v>
      </c>
      <c r="I27" s="202">
        <v>0</v>
      </c>
      <c r="J27" s="202">
        <v>0</v>
      </c>
      <c r="K27" s="202">
        <v>0</v>
      </c>
      <c r="L27" s="202">
        <v>0</v>
      </c>
      <c r="M27" s="202">
        <v>0</v>
      </c>
      <c r="N27" s="202">
        <v>0</v>
      </c>
      <c r="O27" s="207">
        <v>0</v>
      </c>
    </row>
    <row r="28" spans="2:15" x14ac:dyDescent="0.3">
      <c r="B28" s="179" t="s">
        <v>142</v>
      </c>
      <c r="C28" s="198">
        <v>33</v>
      </c>
      <c r="D28" s="202">
        <f>Balancete!C55</f>
        <v>1783.39</v>
      </c>
      <c r="E28" s="202">
        <f>Balancete!D55</f>
        <v>-1.02</v>
      </c>
      <c r="F28" s="202">
        <f>Balancete!E55</f>
        <v>-1964.94</v>
      </c>
      <c r="G28" s="202">
        <f>Balancete!F55</f>
        <v>0</v>
      </c>
      <c r="H28" s="202">
        <f>Balancete!G55</f>
        <v>12569.84</v>
      </c>
      <c r="I28" s="202">
        <f>Balancete!H55</f>
        <v>-21343.02</v>
      </c>
      <c r="J28" s="202">
        <f>Balancete!I55</f>
        <v>-27988.06</v>
      </c>
      <c r="K28" s="202">
        <f>Balancete!J55</f>
        <v>-1259.06</v>
      </c>
      <c r="L28" s="202">
        <f>Balancete!K55</f>
        <v>3.33</v>
      </c>
      <c r="M28" s="202">
        <f>Balancete!L55</f>
        <v>2166.09</v>
      </c>
      <c r="N28" s="202">
        <f>Balancete!M55</f>
        <v>-302440.5</v>
      </c>
      <c r="O28" s="207">
        <f>Balancete!N55</f>
        <v>-67688.5</v>
      </c>
    </row>
    <row r="29" spans="2:15" ht="14.5" thickBot="1" x14ac:dyDescent="0.35">
      <c r="B29" s="19"/>
      <c r="C29" s="19"/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27"/>
    </row>
    <row r="30" spans="2:15" ht="14.5" thickBot="1" x14ac:dyDescent="0.35">
      <c r="B30" s="186" t="s">
        <v>144</v>
      </c>
      <c r="C30" s="199"/>
      <c r="D30" s="15">
        <f>SUM(D26:D28)+D24</f>
        <v>17639792.120000001</v>
      </c>
      <c r="E30" s="15">
        <f t="shared" ref="E30:O30" si="4">SUM(E26:E28)+E24</f>
        <v>19828034.199999999</v>
      </c>
      <c r="F30" s="15">
        <f t="shared" si="4"/>
        <v>41872383.140000001</v>
      </c>
      <c r="G30" s="15">
        <f t="shared" si="4"/>
        <v>74452636.659999996</v>
      </c>
      <c r="H30" s="15">
        <f t="shared" si="4"/>
        <v>22322395.849999994</v>
      </c>
      <c r="I30" s="15">
        <f t="shared" si="4"/>
        <v>14037003.329999998</v>
      </c>
      <c r="J30" s="15">
        <f t="shared" si="4"/>
        <v>32738154.32</v>
      </c>
      <c r="K30" s="15">
        <f t="shared" si="4"/>
        <v>10884019.249999998</v>
      </c>
      <c r="L30" s="15">
        <f t="shared" si="4"/>
        <v>9457993.3899999987</v>
      </c>
      <c r="M30" s="15">
        <f t="shared" si="4"/>
        <v>5906197.6399999987</v>
      </c>
      <c r="N30" s="15">
        <f t="shared" si="4"/>
        <v>33793015.659999996</v>
      </c>
      <c r="O30" s="16">
        <f t="shared" si="4"/>
        <v>-316723175.64999998</v>
      </c>
    </row>
    <row r="31" spans="2:15" x14ac:dyDescent="0.3">
      <c r="B31" s="179"/>
      <c r="C31" s="199"/>
      <c r="D31" s="202" t="s">
        <v>23</v>
      </c>
      <c r="E31" s="207" t="s">
        <v>23</v>
      </c>
      <c r="F31" s="184" t="s">
        <v>23</v>
      </c>
      <c r="G31" s="184" t="s">
        <v>23</v>
      </c>
      <c r="H31" s="202" t="s">
        <v>23</v>
      </c>
      <c r="I31" s="207" t="s">
        <v>23</v>
      </c>
      <c r="J31" s="184" t="s">
        <v>23</v>
      </c>
      <c r="K31" s="184" t="s">
        <v>23</v>
      </c>
      <c r="L31" s="202" t="s">
        <v>23</v>
      </c>
      <c r="M31" s="207" t="s">
        <v>23</v>
      </c>
      <c r="N31" s="348" t="s">
        <v>23</v>
      </c>
      <c r="O31" s="207" t="s">
        <v>23</v>
      </c>
    </row>
    <row r="32" spans="2:15" x14ac:dyDescent="0.3">
      <c r="B32" s="181" t="s">
        <v>150</v>
      </c>
      <c r="C32" s="198">
        <v>35</v>
      </c>
      <c r="D32" s="202">
        <v>0</v>
      </c>
      <c r="E32" s="207">
        <v>0</v>
      </c>
      <c r="F32" s="184">
        <v>0</v>
      </c>
      <c r="G32" s="184">
        <v>0</v>
      </c>
      <c r="H32" s="202">
        <v>0</v>
      </c>
      <c r="I32" s="207">
        <v>0</v>
      </c>
      <c r="J32" s="184">
        <v>0</v>
      </c>
      <c r="K32" s="184">
        <v>0</v>
      </c>
      <c r="L32" s="202">
        <v>0</v>
      </c>
      <c r="M32" s="207">
        <v>0</v>
      </c>
      <c r="N32" s="348">
        <v>0</v>
      </c>
      <c r="O32" s="207">
        <v>0</v>
      </c>
    </row>
    <row r="33" spans="2:15" ht="14.5" thickBot="1" x14ac:dyDescent="0.35">
      <c r="B33" s="19"/>
      <c r="C33" s="19"/>
      <c r="D33" s="202"/>
      <c r="E33" s="207"/>
      <c r="F33" s="184"/>
      <c r="G33" s="184"/>
      <c r="H33" s="202"/>
      <c r="I33" s="207"/>
      <c r="J33" s="184"/>
      <c r="K33" s="184"/>
      <c r="L33" s="202"/>
      <c r="M33" s="207"/>
      <c r="N33" s="348"/>
      <c r="O33" s="207"/>
    </row>
    <row r="34" spans="2:15" ht="14.5" thickBot="1" x14ac:dyDescent="0.35">
      <c r="B34" s="186" t="s">
        <v>135</v>
      </c>
      <c r="C34" s="199"/>
      <c r="D34" s="15">
        <f>D30-D32</f>
        <v>17639792.120000001</v>
      </c>
      <c r="E34" s="15">
        <f t="shared" ref="E34:O34" si="5">E30-E32</f>
        <v>19828034.199999999</v>
      </c>
      <c r="F34" s="15">
        <f t="shared" si="5"/>
        <v>41872383.140000001</v>
      </c>
      <c r="G34" s="15">
        <f t="shared" si="5"/>
        <v>74452636.659999996</v>
      </c>
      <c r="H34" s="15">
        <f t="shared" si="5"/>
        <v>22322395.849999994</v>
      </c>
      <c r="I34" s="15">
        <f t="shared" si="5"/>
        <v>14037003.329999998</v>
      </c>
      <c r="J34" s="15">
        <f t="shared" si="5"/>
        <v>32738154.32</v>
      </c>
      <c r="K34" s="15">
        <f t="shared" si="5"/>
        <v>10884019.249999998</v>
      </c>
      <c r="L34" s="15">
        <f t="shared" si="5"/>
        <v>9457993.3899999987</v>
      </c>
      <c r="M34" s="15">
        <f t="shared" si="5"/>
        <v>5906197.6399999987</v>
      </c>
      <c r="N34" s="15">
        <f t="shared" si="5"/>
        <v>33793015.659999996</v>
      </c>
      <c r="O34" s="16">
        <f t="shared" si="5"/>
        <v>-316723175.64999998</v>
      </c>
    </row>
    <row r="35" spans="2:15" x14ac:dyDescent="0.3">
      <c r="B35" s="19"/>
      <c r="C35" s="199"/>
      <c r="D35" s="202"/>
      <c r="E35" s="207"/>
      <c r="F35" s="184"/>
      <c r="G35" s="184"/>
      <c r="H35" s="202"/>
      <c r="I35" s="207"/>
      <c r="J35" s="184"/>
      <c r="K35" s="184"/>
      <c r="L35" s="202"/>
      <c r="M35" s="207"/>
      <c r="N35" s="348"/>
      <c r="O35" s="207"/>
    </row>
    <row r="36" spans="2:15" x14ac:dyDescent="0.3">
      <c r="B36" s="181" t="s">
        <v>145</v>
      </c>
      <c r="C36" s="197" t="s">
        <v>130</v>
      </c>
      <c r="D36" s="202">
        <v>0</v>
      </c>
      <c r="E36" s="207">
        <v>0</v>
      </c>
      <c r="F36" s="184">
        <v>0</v>
      </c>
      <c r="G36" s="184">
        <v>0</v>
      </c>
      <c r="H36" s="202">
        <v>0</v>
      </c>
      <c r="I36" s="207">
        <v>0</v>
      </c>
      <c r="J36" s="184">
        <v>0</v>
      </c>
      <c r="K36" s="184">
        <v>0</v>
      </c>
      <c r="L36" s="202">
        <v>0</v>
      </c>
      <c r="M36" s="207">
        <v>0</v>
      </c>
      <c r="N36" s="348">
        <v>0</v>
      </c>
      <c r="O36" s="207">
        <v>0</v>
      </c>
    </row>
    <row r="37" spans="2:15" x14ac:dyDescent="0.3">
      <c r="B37" s="181" t="s">
        <v>146</v>
      </c>
      <c r="C37" s="198">
        <v>35</v>
      </c>
      <c r="D37" s="202">
        <v>0</v>
      </c>
      <c r="E37" s="207">
        <v>0</v>
      </c>
      <c r="F37" s="184">
        <v>0</v>
      </c>
      <c r="G37" s="184">
        <v>0</v>
      </c>
      <c r="H37" s="202">
        <v>0</v>
      </c>
      <c r="I37" s="207">
        <v>0</v>
      </c>
      <c r="J37" s="184">
        <v>0</v>
      </c>
      <c r="K37" s="184">
        <v>0</v>
      </c>
      <c r="L37" s="202">
        <v>0</v>
      </c>
      <c r="M37" s="207">
        <v>0</v>
      </c>
      <c r="N37" s="348">
        <v>0</v>
      </c>
      <c r="O37" s="207">
        <v>0</v>
      </c>
    </row>
    <row r="38" spans="2:15" ht="14.5" thickBot="1" x14ac:dyDescent="0.35">
      <c r="B38" s="19"/>
      <c r="C38" s="199"/>
      <c r="D38" s="223"/>
      <c r="E38" s="224"/>
      <c r="F38" s="225"/>
      <c r="G38" s="225"/>
      <c r="H38" s="223"/>
      <c r="I38" s="224"/>
      <c r="J38" s="225"/>
      <c r="K38" s="225"/>
      <c r="L38" s="223"/>
      <c r="M38" s="224"/>
      <c r="N38" s="349"/>
      <c r="O38" s="224"/>
    </row>
    <row r="39" spans="2:15" x14ac:dyDescent="0.3">
      <c r="B39" s="193" t="s">
        <v>147</v>
      </c>
      <c r="C39" s="199"/>
      <c r="D39" s="61">
        <f>D34</f>
        <v>17639792.120000001</v>
      </c>
      <c r="E39" s="61">
        <f t="shared" ref="E39:O39" si="6">E34</f>
        <v>19828034.199999999</v>
      </c>
      <c r="F39" s="61">
        <f t="shared" si="6"/>
        <v>41872383.140000001</v>
      </c>
      <c r="G39" s="61">
        <f t="shared" si="6"/>
        <v>74452636.659999996</v>
      </c>
      <c r="H39" s="61">
        <f t="shared" si="6"/>
        <v>22322395.849999994</v>
      </c>
      <c r="I39" s="61">
        <f t="shared" si="6"/>
        <v>14037003.329999998</v>
      </c>
      <c r="J39" s="61">
        <f t="shared" si="6"/>
        <v>32738154.32</v>
      </c>
      <c r="K39" s="61">
        <f t="shared" si="6"/>
        <v>10884019.249999998</v>
      </c>
      <c r="L39" s="61">
        <f t="shared" si="6"/>
        <v>9457993.3899999987</v>
      </c>
      <c r="M39" s="61">
        <f t="shared" si="6"/>
        <v>5906197.6399999987</v>
      </c>
      <c r="N39" s="61">
        <f t="shared" si="6"/>
        <v>33793015.659999996</v>
      </c>
      <c r="O39" s="210">
        <f t="shared" si="6"/>
        <v>-316723175.64999998</v>
      </c>
    </row>
    <row r="40" spans="2:15" ht="15" thickBot="1" x14ac:dyDescent="0.35">
      <c r="B40" s="194" t="s">
        <v>23</v>
      </c>
      <c r="C40" s="200"/>
      <c r="D40" s="226" t="s">
        <v>23</v>
      </c>
      <c r="E40" s="227" t="s">
        <v>23</v>
      </c>
      <c r="F40" s="228" t="s">
        <v>23</v>
      </c>
      <c r="G40" s="228" t="s">
        <v>23</v>
      </c>
      <c r="H40" s="226" t="s">
        <v>23</v>
      </c>
      <c r="I40" s="227" t="s">
        <v>23</v>
      </c>
      <c r="J40" s="228" t="s">
        <v>23</v>
      </c>
      <c r="K40" s="228" t="s">
        <v>23</v>
      </c>
      <c r="L40" s="226" t="s">
        <v>23</v>
      </c>
      <c r="M40" s="227" t="s">
        <v>23</v>
      </c>
      <c r="N40" s="350" t="s">
        <v>23</v>
      </c>
      <c r="O40" s="227" t="s">
        <v>23</v>
      </c>
    </row>
    <row r="41" spans="2:15" ht="14.5" customHeight="1" x14ac:dyDescent="0.3">
      <c r="B41" s="304" t="s">
        <v>118</v>
      </c>
      <c r="C41" s="304"/>
      <c r="D41" s="3"/>
      <c r="E41" s="12"/>
      <c r="F41" s="303" t="s">
        <v>119</v>
      </c>
      <c r="G41" s="303"/>
      <c r="H41" s="3"/>
      <c r="I41" s="12"/>
      <c r="J41" s="303" t="s">
        <v>119</v>
      </c>
      <c r="K41" s="303"/>
      <c r="L41" s="3"/>
      <c r="M41" s="12"/>
      <c r="N41" s="303" t="s">
        <v>119</v>
      </c>
      <c r="O41" s="303"/>
    </row>
  </sheetData>
  <sheetProtection password="CC6B" sheet="1" objects="1" scenarios="1"/>
  <mergeCells count="8">
    <mergeCell ref="M5:O5"/>
    <mergeCell ref="N41:O41"/>
    <mergeCell ref="B3:G3"/>
    <mergeCell ref="E5:G5"/>
    <mergeCell ref="B41:C41"/>
    <mergeCell ref="F41:G41"/>
    <mergeCell ref="I5:K5"/>
    <mergeCell ref="J41:K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tabColor rgb="FFFFFF00"/>
  </sheetPr>
  <dimension ref="B3:N48"/>
  <sheetViews>
    <sheetView zoomScale="60" zoomScaleNormal="60" workbookViewId="0">
      <pane xSplit="2" topLeftCell="C1" activePane="topRight" state="frozen"/>
      <selection pane="topRight" activeCell="B5" sqref="B5"/>
    </sheetView>
  </sheetViews>
  <sheetFormatPr defaultRowHeight="14" x14ac:dyDescent="0.3"/>
  <cols>
    <col min="1" max="1" width="0" style="72" hidden="1" customWidth="1"/>
    <col min="2" max="2" width="37" style="72" bestFit="1" customWidth="1"/>
    <col min="3" max="4" width="19" style="72" bestFit="1" customWidth="1"/>
    <col min="5" max="5" width="19" style="72" customWidth="1"/>
    <col min="6" max="7" width="19" style="72" bestFit="1" customWidth="1"/>
    <col min="8" max="8" width="19" style="72" customWidth="1"/>
    <col min="9" max="10" width="19" style="72" bestFit="1" customWidth="1"/>
    <col min="11" max="11" width="19" style="72" customWidth="1"/>
    <col min="12" max="13" width="19" style="72" bestFit="1" customWidth="1"/>
    <col min="14" max="14" width="19" style="72" customWidth="1"/>
    <col min="15" max="16384" width="8.7265625" style="72"/>
  </cols>
  <sheetData>
    <row r="3" spans="2:14" ht="14.5" thickBot="1" x14ac:dyDescent="0.35">
      <c r="B3" s="115">
        <v>1</v>
      </c>
      <c r="C3" s="81"/>
      <c r="D3" s="82"/>
      <c r="E3" s="82"/>
      <c r="F3" s="81"/>
      <c r="G3" s="82"/>
      <c r="H3" s="82"/>
      <c r="I3" s="81"/>
      <c r="J3" s="82"/>
      <c r="K3" s="82"/>
      <c r="L3" s="81"/>
      <c r="M3" s="82"/>
      <c r="N3" s="82"/>
    </row>
    <row r="4" spans="2:14" ht="14.5" thickBot="1" x14ac:dyDescent="0.35">
      <c r="B4" s="260" t="s">
        <v>0</v>
      </c>
      <c r="C4" s="261" t="s">
        <v>67</v>
      </c>
      <c r="D4" s="261" t="s">
        <v>68</v>
      </c>
      <c r="E4" s="261" t="s">
        <v>69</v>
      </c>
      <c r="F4" s="261" t="s">
        <v>70</v>
      </c>
      <c r="G4" s="261" t="s">
        <v>71</v>
      </c>
      <c r="H4" s="261" t="s">
        <v>72</v>
      </c>
      <c r="I4" s="261" t="s">
        <v>73</v>
      </c>
      <c r="J4" s="261" t="s">
        <v>74</v>
      </c>
      <c r="K4" s="261" t="s">
        <v>75</v>
      </c>
      <c r="L4" s="261" t="s">
        <v>76</v>
      </c>
      <c r="M4" s="261" t="s">
        <v>77</v>
      </c>
      <c r="N4" s="262" t="s">
        <v>78</v>
      </c>
    </row>
    <row r="5" spans="2:14" x14ac:dyDescent="0.3">
      <c r="B5" s="263" t="s">
        <v>1</v>
      </c>
      <c r="C5" s="116">
        <f>'Balanço MENSAL'!D17</f>
        <v>4740854.129999999</v>
      </c>
      <c r="D5" s="116">
        <f>'Balanço MENSAL'!E17</f>
        <v>4889099.74</v>
      </c>
      <c r="E5" s="116">
        <f>'Balanço MENSAL'!F17</f>
        <v>4889099.74</v>
      </c>
      <c r="F5" s="116">
        <f>'Balanço MENSAL'!G17</f>
        <v>4969446.209999999</v>
      </c>
      <c r="G5" s="116">
        <f>'Balanço MENSAL'!H17</f>
        <v>5219446.209999999</v>
      </c>
      <c r="H5" s="116">
        <f>'Balanço MENSAL'!I17</f>
        <v>5219446.209999999</v>
      </c>
      <c r="I5" s="116">
        <f>'Balanço MENSAL'!J17</f>
        <v>6759724.3900000006</v>
      </c>
      <c r="J5" s="116">
        <f>'Balanço MENSAL'!K17</f>
        <v>6888857.1699999999</v>
      </c>
      <c r="K5" s="116">
        <f>'Balanço MENSAL'!L17</f>
        <v>6888857.1699999999</v>
      </c>
      <c r="L5" s="116">
        <f>'Balanço MENSAL'!M17</f>
        <v>6888857.1699999999</v>
      </c>
      <c r="M5" s="116">
        <f>'Balanço MENSAL'!N17</f>
        <v>9026357.1699999999</v>
      </c>
      <c r="N5" s="116">
        <f>'Balanço MENSAL'!O17</f>
        <v>6474167.6399999997</v>
      </c>
    </row>
    <row r="6" spans="2:14" x14ac:dyDescent="0.3">
      <c r="B6" s="125" t="s">
        <v>2</v>
      </c>
      <c r="C6" s="118">
        <f>'Balanço MENSAL'!D55</f>
        <v>316110045.93000001</v>
      </c>
      <c r="D6" s="118">
        <f>'Balanço MENSAL'!E55</f>
        <v>332703734.86000001</v>
      </c>
      <c r="E6" s="118">
        <f>'Balanço MENSAL'!F55</f>
        <v>377460782.33999997</v>
      </c>
      <c r="F6" s="118">
        <f>'Balanço MENSAL'!G55</f>
        <v>460191056.79000002</v>
      </c>
      <c r="G6" s="118">
        <f>'Balanço MENSAL'!H55</f>
        <v>484077577.44999993</v>
      </c>
      <c r="H6" s="118">
        <f>'Balanço MENSAL'!I55</f>
        <v>513571087.60000002</v>
      </c>
      <c r="I6" s="118">
        <f>'Balanço MENSAL'!J55</f>
        <v>551121691.91999996</v>
      </c>
      <c r="J6" s="118">
        <f>'Balanço MENSAL'!K55</f>
        <v>555766472.57999992</v>
      </c>
      <c r="K6" s="118">
        <f>'Balanço MENSAL'!L55</f>
        <v>572559044.96000004</v>
      </c>
      <c r="L6" s="118">
        <f>'Balanço MENSAL'!M55</f>
        <v>586491243.57999992</v>
      </c>
      <c r="M6" s="118">
        <f>'Balanço MENSAL'!N55</f>
        <v>630614376.95999992</v>
      </c>
      <c r="N6" s="118">
        <f>'Balanço MENSAL'!O55</f>
        <v>305849779.83999997</v>
      </c>
    </row>
    <row r="7" spans="2:14" x14ac:dyDescent="0.3">
      <c r="B7" s="125" t="s">
        <v>4</v>
      </c>
      <c r="C7" s="118">
        <f>'D.R MENSAL'!D13</f>
        <v>35764969.520000003</v>
      </c>
      <c r="D7" s="118">
        <f>'D.R MENSAL'!E13</f>
        <v>25113280.09</v>
      </c>
      <c r="E7" s="118">
        <f>'D.R MENSAL'!F13</f>
        <v>49634921.299999997</v>
      </c>
      <c r="F7" s="118">
        <f>'D.R MENSAL'!G13</f>
        <v>79140664.659999996</v>
      </c>
      <c r="G7" s="118">
        <f>'D.R MENSAL'!H13</f>
        <v>27864534.619999997</v>
      </c>
      <c r="H7" s="118">
        <f>'D.R MENSAL'!I13</f>
        <v>28476146.219999999</v>
      </c>
      <c r="I7" s="118">
        <f>'D.R MENSAL'!J13</f>
        <v>39144356.100000001</v>
      </c>
      <c r="J7" s="118">
        <f>'D.R MENSAL'!K13</f>
        <v>18945678.489999998</v>
      </c>
      <c r="K7" s="118">
        <f>'D.R MENSAL'!L13</f>
        <v>17864564.289999999</v>
      </c>
      <c r="L7" s="118">
        <f>'D.R MENSAL'!M13</f>
        <v>18068507.210000001</v>
      </c>
      <c r="M7" s="118">
        <f>'D.R MENSAL'!N13</f>
        <v>41819987.359999999</v>
      </c>
      <c r="N7" s="118">
        <f>'D.R MENSAL'!O13</f>
        <v>29780194.5</v>
      </c>
    </row>
    <row r="8" spans="2:14" ht="14.5" thickBot="1" x14ac:dyDescent="0.35">
      <c r="B8" s="298" t="s">
        <v>5</v>
      </c>
      <c r="C8" s="119">
        <f>'D.R MENSAL'!D39</f>
        <v>17639792.120000001</v>
      </c>
      <c r="D8" s="119">
        <f>'D.R MENSAL'!E39</f>
        <v>19828034.199999999</v>
      </c>
      <c r="E8" s="119">
        <f>'D.R MENSAL'!F39</f>
        <v>41872383.140000001</v>
      </c>
      <c r="F8" s="119">
        <f>'D.R MENSAL'!G39</f>
        <v>74452636.659999996</v>
      </c>
      <c r="G8" s="119">
        <f>'D.R MENSAL'!H39</f>
        <v>22322395.849999994</v>
      </c>
      <c r="H8" s="119">
        <f>'D.R MENSAL'!I39</f>
        <v>14037003.329999998</v>
      </c>
      <c r="I8" s="119">
        <f>'D.R MENSAL'!J39</f>
        <v>32738154.32</v>
      </c>
      <c r="J8" s="119">
        <f>'D.R MENSAL'!K39</f>
        <v>10884019.249999998</v>
      </c>
      <c r="K8" s="119">
        <f>'D.R MENSAL'!L39</f>
        <v>9457993.3899999987</v>
      </c>
      <c r="L8" s="119">
        <f>'D.R MENSAL'!M39</f>
        <v>5906197.6399999987</v>
      </c>
      <c r="M8" s="119">
        <f>'D.R MENSAL'!N39</f>
        <v>33793015.659999996</v>
      </c>
      <c r="N8" s="119">
        <f>'D.R MENSAL'!O39</f>
        <v>-316723175.64999998</v>
      </c>
    </row>
    <row r="9" spans="2:14" ht="14.5" thickBot="1" x14ac:dyDescent="0.35">
      <c r="B9" s="297" t="s">
        <v>181</v>
      </c>
      <c r="C9" s="299">
        <f>'Balanço MENSAL'!D22</f>
        <v>53670422.759999998</v>
      </c>
      <c r="D9" s="299">
        <f>'Balanço MENSAL'!E22</f>
        <v>56092872.079999998</v>
      </c>
      <c r="E9" s="299">
        <f>'Balanço MENSAL'!F22</f>
        <v>83492073.849999994</v>
      </c>
      <c r="F9" s="299">
        <f>'Balanço MENSAL'!G22</f>
        <v>153663983.73999998</v>
      </c>
      <c r="G9" s="299">
        <f>'Balanço MENSAL'!H22</f>
        <v>160491155.75</v>
      </c>
      <c r="H9" s="299">
        <f>'Balanço MENSAL'!I22</f>
        <v>165509163.03</v>
      </c>
      <c r="I9" s="299">
        <f>'Balanço MENSAL'!J22</f>
        <v>168801287.89000002</v>
      </c>
      <c r="J9" s="299">
        <f>'Balanço MENSAL'!K22</f>
        <v>159089178.11000001</v>
      </c>
      <c r="K9" s="299">
        <f>'Balanço MENSAL'!L22</f>
        <v>94885524.140000001</v>
      </c>
      <c r="L9" s="299">
        <f>'Balanço MENSAL'!M22</f>
        <v>104630296.58</v>
      </c>
      <c r="M9" s="299">
        <f>'Balanço MENSAL'!N22</f>
        <v>105362491.11999999</v>
      </c>
      <c r="N9" s="299">
        <f>'Balanço MENSAL'!O22</f>
        <v>100945221.19</v>
      </c>
    </row>
    <row r="12" spans="2:14" ht="14.5" thickBot="1" x14ac:dyDescent="0.35">
      <c r="B12" s="115">
        <v>2</v>
      </c>
      <c r="C12" s="81"/>
      <c r="D12" s="82"/>
      <c r="E12" s="82"/>
      <c r="F12" s="81"/>
      <c r="G12" s="82"/>
      <c r="H12" s="82"/>
      <c r="I12" s="81"/>
      <c r="J12" s="82"/>
      <c r="K12" s="82"/>
      <c r="L12" s="81"/>
      <c r="M12" s="82"/>
      <c r="N12" s="82"/>
    </row>
    <row r="13" spans="2:14" ht="14.5" thickBot="1" x14ac:dyDescent="0.35">
      <c r="B13" s="120" t="s">
        <v>0</v>
      </c>
      <c r="C13" s="121" t="s">
        <v>67</v>
      </c>
      <c r="D13" s="121" t="s">
        <v>68</v>
      </c>
      <c r="E13" s="121" t="s">
        <v>69</v>
      </c>
      <c r="F13" s="121" t="s">
        <v>70</v>
      </c>
      <c r="G13" s="121" t="s">
        <v>71</v>
      </c>
      <c r="H13" s="121" t="s">
        <v>72</v>
      </c>
      <c r="I13" s="121" t="s">
        <v>73</v>
      </c>
      <c r="J13" s="121" t="s">
        <v>74</v>
      </c>
      <c r="K13" s="121" t="s">
        <v>75</v>
      </c>
      <c r="L13" s="121" t="s">
        <v>76</v>
      </c>
      <c r="M13" s="121" t="s">
        <v>77</v>
      </c>
      <c r="N13" s="121" t="s">
        <v>78</v>
      </c>
    </row>
    <row r="14" spans="2:14" x14ac:dyDescent="0.3">
      <c r="B14" s="122" t="s">
        <v>6</v>
      </c>
      <c r="C14" s="123">
        <f>'Balanço MENSAL'!D38/'Balanço MENSAL'!D26</f>
        <v>0.23885526496908568</v>
      </c>
      <c r="D14" s="123">
        <f>'Balanço MENSAL'!E38/'Balanço MENSAL'!E26</f>
        <v>0.2865389624198702</v>
      </c>
      <c r="E14" s="123">
        <f>'Balanço MENSAL'!F38/'Balanço MENSAL'!F26</f>
        <v>0.36349462656603043</v>
      </c>
      <c r="F14" s="123">
        <f>'Balanço MENSAL'!G38/'Balanço MENSAL'!G26</f>
        <v>0.45993419397671209</v>
      </c>
      <c r="G14" s="123">
        <f>'Balanço MENSAL'!H38/'Balanço MENSAL'!H26</f>
        <v>0.48335227560538596</v>
      </c>
      <c r="H14" s="123">
        <f>'Balanço MENSAL'!I38/'Balanço MENSAL'!I26</f>
        <v>0.48292633278680697</v>
      </c>
      <c r="I14" s="123">
        <f>'Balanço MENSAL'!J38/'Balanço MENSAL'!J26</f>
        <v>0.50942497890421268</v>
      </c>
      <c r="J14" s="123">
        <f>'Balanço MENSAL'!K38/'Balanço MENSAL'!K26</f>
        <v>0.52475129378737384</v>
      </c>
      <c r="K14" s="123">
        <f>'Balanço MENSAL'!L38/'Balanço MENSAL'!L26</f>
        <v>0.52587968275138364</v>
      </c>
      <c r="L14" s="123">
        <f>'Balanço MENSAL'!M38/'Balanço MENSAL'!M26</f>
        <v>0.52345771555943665</v>
      </c>
      <c r="M14" s="123">
        <f>'Balanço MENSAL'!N38/'Balanço MENSAL'!N26</f>
        <v>0.54041962040712677</v>
      </c>
      <c r="N14" s="123">
        <f>'Balanço MENSAL'!O38/'Balanço MENSAL'!O26</f>
        <v>7.8709249300730172E-2</v>
      </c>
    </row>
    <row r="15" spans="2:14" x14ac:dyDescent="0.3">
      <c r="B15" s="125" t="s">
        <v>7</v>
      </c>
      <c r="C15" s="126">
        <f>'Balanço MENSAL'!D38/('Balanço MENSAL'!D46+'Balanço MENSAL'!D53)</f>
        <v>0.31381057238658355</v>
      </c>
      <c r="D15" s="126">
        <f>'Balanço MENSAL'!E38/('Balanço MENSAL'!E46+'Balanço MENSAL'!E53)</f>
        <v>0.40161823467155855</v>
      </c>
      <c r="E15" s="126">
        <f>'Balanço MENSAL'!F38/('Balanço MENSAL'!F46+'Balanço MENSAL'!F53)</f>
        <v>0.57107864558151933</v>
      </c>
      <c r="F15" s="126">
        <f>'Balanço MENSAL'!G38/('Balanço MENSAL'!G46+'Balanço MENSAL'!G53)</f>
        <v>0.85162620711610004</v>
      </c>
      <c r="G15" s="126">
        <f>'Balanço MENSAL'!H38/('Balanço MENSAL'!H46+'Balanço MENSAL'!H53)</f>
        <v>0.93555483317333443</v>
      </c>
      <c r="H15" s="126">
        <f>'Balanço MENSAL'!I38/('Balanço MENSAL'!I46+'Balanço MENSAL'!I53)</f>
        <v>0.93396040720768914</v>
      </c>
      <c r="I15" s="126">
        <f>'Balanço MENSAL'!J38/('Balanço MENSAL'!J46+'Balanço MENSAL'!J53)</f>
        <v>1.0384242103609771</v>
      </c>
      <c r="J15" s="126">
        <f>'Balanço MENSAL'!K38/('Balanço MENSAL'!K46+'Balanço MENSAL'!K53)</f>
        <v>1.1041614357443408</v>
      </c>
      <c r="K15" s="126">
        <f>'Balanço MENSAL'!L38/('Balanço MENSAL'!L46+'Balanço MENSAL'!L53)</f>
        <v>1.109169262779401</v>
      </c>
      <c r="L15" s="126">
        <f>'Balanço MENSAL'!M38/('Balanço MENSAL'!M46+'Balanço MENSAL'!M53)</f>
        <v>1.0984496709960374</v>
      </c>
      <c r="M15" s="126">
        <f>'Balanço MENSAL'!N38/('Balanço MENSAL'!N46+'Balanço MENSAL'!N53)</f>
        <v>1.1758979373442058</v>
      </c>
      <c r="N15" s="126">
        <f>'Balanço MENSAL'!O38/('Balanço MENSAL'!O46+'Balanço MENSAL'!O53)</f>
        <v>8.5433669274318641E-2</v>
      </c>
    </row>
    <row r="16" spans="2:14" x14ac:dyDescent="0.3">
      <c r="B16" s="127" t="s">
        <v>8</v>
      </c>
      <c r="C16" s="124">
        <f>('Balanço MENSAL'!D46+'Balanço MENSAL'!D53)/'Balanço MENSAL'!D26</f>
        <v>0.76114473503091429</v>
      </c>
      <c r="D16" s="124">
        <f>('Balanço MENSAL'!E46+'Balanço MENSAL'!E53)/'Balanço MENSAL'!E26</f>
        <v>0.7134610375801298</v>
      </c>
      <c r="E16" s="124">
        <f>('Balanço MENSAL'!F46+'Balanço MENSAL'!F53)/'Balanço MENSAL'!F26</f>
        <v>0.6365053734339694</v>
      </c>
      <c r="F16" s="124">
        <f>('Balanço MENSAL'!G46+'Balanço MENSAL'!G53)/'Balanço MENSAL'!G26</f>
        <v>0.54006580602328791</v>
      </c>
      <c r="G16" s="124">
        <f>('Balanço MENSAL'!H46+'Balanço MENSAL'!H53)/'Balanço MENSAL'!H26</f>
        <v>0.51664772439461393</v>
      </c>
      <c r="H16" s="124">
        <f>('Balanço MENSAL'!I46+'Balanço MENSAL'!I53)/'Balanço MENSAL'!I26</f>
        <v>0.51707366721319303</v>
      </c>
      <c r="I16" s="124">
        <f>('Balanço MENSAL'!J46+'Balanço MENSAL'!J53)/'Balanço MENSAL'!J26</f>
        <v>0.49057502109578732</v>
      </c>
      <c r="J16" s="124">
        <f>('Balanço MENSAL'!K46+'Balanço MENSAL'!K53)/'Balanço MENSAL'!K26</f>
        <v>0.47524870621262627</v>
      </c>
      <c r="K16" s="124">
        <f>('Balanço MENSAL'!L46+'Balanço MENSAL'!L53)/'Balanço MENSAL'!L26</f>
        <v>0.47412031724861647</v>
      </c>
      <c r="L16" s="124">
        <f>('Balanço MENSAL'!M46+'Balanço MENSAL'!M53)/'Balanço MENSAL'!M26</f>
        <v>0.47654228444056312</v>
      </c>
      <c r="M16" s="124">
        <f>('Balanço MENSAL'!N46+'Balanço MENSAL'!N53)/'Balanço MENSAL'!N26</f>
        <v>0.45958037959287323</v>
      </c>
      <c r="N16" s="124">
        <f>('Balanço MENSAL'!O46+'Balanço MENSAL'!O53)/'Balanço MENSAL'!O26</f>
        <v>0.9212907506992698</v>
      </c>
    </row>
    <row r="17" spans="2:14" ht="14.5" thickBot="1" x14ac:dyDescent="0.35">
      <c r="B17" s="128" t="s">
        <v>9</v>
      </c>
      <c r="C17" s="129">
        <f>'Balanço MENSAL'!D53/('Balanço MENSAL'!D46+'Balanço MENSAL'!D53)</f>
        <v>1</v>
      </c>
      <c r="D17" s="129">
        <f>'Balanço MENSAL'!E53/('Balanço MENSAL'!E46+'Balanço MENSAL'!E53)</f>
        <v>1</v>
      </c>
      <c r="E17" s="129">
        <f>'Balanço MENSAL'!F53/('Balanço MENSAL'!F46+'Balanço MENSAL'!F53)</f>
        <v>1</v>
      </c>
      <c r="F17" s="129">
        <f>'Balanço MENSAL'!G53/('Balanço MENSAL'!G46+'Balanço MENSAL'!G53)</f>
        <v>1</v>
      </c>
      <c r="G17" s="129">
        <f>'Balanço MENSAL'!H53/('Balanço MENSAL'!H46+'Balanço MENSAL'!H53)</f>
        <v>1</v>
      </c>
      <c r="H17" s="129">
        <f>'Balanço MENSAL'!I53/('Balanço MENSAL'!I46+'Balanço MENSAL'!I53)</f>
        <v>1</v>
      </c>
      <c r="I17" s="129">
        <f>'Balanço MENSAL'!J53/('Balanço MENSAL'!J46+'Balanço MENSAL'!J53)</f>
        <v>1</v>
      </c>
      <c r="J17" s="129">
        <f>'Balanço MENSAL'!K53/('Balanço MENSAL'!K46+'Balanço MENSAL'!K53)</f>
        <v>1</v>
      </c>
      <c r="K17" s="129">
        <f>'Balanço MENSAL'!L53/('Balanço MENSAL'!L46+'Balanço MENSAL'!L53)</f>
        <v>1</v>
      </c>
      <c r="L17" s="129">
        <f>'Balanço MENSAL'!M53/('Balanço MENSAL'!M46+'Balanço MENSAL'!M53)</f>
        <v>1</v>
      </c>
      <c r="M17" s="129">
        <f>'Balanço MENSAL'!N53/('Balanço MENSAL'!N46+'Balanço MENSAL'!N53)</f>
        <v>1</v>
      </c>
      <c r="N17" s="129">
        <f>'Balanço MENSAL'!O53/('Balanço MENSAL'!O46+'Balanço MENSAL'!O53)</f>
        <v>1</v>
      </c>
    </row>
    <row r="20" spans="2:14" x14ac:dyDescent="0.3">
      <c r="B20" s="115">
        <v>3</v>
      </c>
      <c r="C20" s="81"/>
      <c r="D20" s="82"/>
      <c r="E20" s="82"/>
      <c r="F20" s="81"/>
      <c r="G20" s="82"/>
      <c r="H20" s="82"/>
      <c r="I20" s="81"/>
      <c r="J20" s="82"/>
      <c r="K20" s="82"/>
      <c r="L20" s="81"/>
      <c r="M20" s="82"/>
      <c r="N20" s="82"/>
    </row>
    <row r="21" spans="2:14" x14ac:dyDescent="0.3">
      <c r="B21" s="130" t="s">
        <v>10</v>
      </c>
      <c r="C21" s="131" t="s">
        <v>67</v>
      </c>
      <c r="D21" s="131" t="s">
        <v>68</v>
      </c>
      <c r="E21" s="131" t="s">
        <v>69</v>
      </c>
      <c r="F21" s="131" t="s">
        <v>70</v>
      </c>
      <c r="G21" s="131" t="s">
        <v>71</v>
      </c>
      <c r="H21" s="131" t="s">
        <v>72</v>
      </c>
      <c r="I21" s="131" t="s">
        <v>73</v>
      </c>
      <c r="J21" s="131" t="s">
        <v>74</v>
      </c>
      <c r="K21" s="131" t="s">
        <v>75</v>
      </c>
      <c r="L21" s="131" t="s">
        <v>76</v>
      </c>
      <c r="M21" s="131" t="s">
        <v>77</v>
      </c>
      <c r="N21" s="131" t="s">
        <v>78</v>
      </c>
    </row>
    <row r="22" spans="2:14" x14ac:dyDescent="0.3">
      <c r="B22" s="132" t="s">
        <v>18</v>
      </c>
      <c r="C22" s="124">
        <f>'Balanço MENSAL'!D24/'Balanço MENSAL'!D53</f>
        <v>1.2941067244439723</v>
      </c>
      <c r="D22" s="124">
        <f>'Balanço MENSAL'!E24/'Balanço MENSAL'!E53</f>
        <v>1.3810213773817073</v>
      </c>
      <c r="E22" s="124">
        <f>'Balanço MENSAL'!F24/'Balanço MENSAL'!F53</f>
        <v>1.5507290872777026</v>
      </c>
      <c r="F22" s="124">
        <f>'Balanço MENSAL'!G24/'Balanço MENSAL'!G53</f>
        <v>1.8316311274605457</v>
      </c>
      <c r="G22" s="124">
        <f>'Balanço MENSAL'!H24/'Balanço MENSAL'!H53</f>
        <v>1.9146851940723639</v>
      </c>
      <c r="H22" s="124">
        <f>'Balanço MENSAL'!I24/'Balanço MENSAL'!I53</f>
        <v>1.9143054800487986</v>
      </c>
      <c r="I22" s="124">
        <f>'Balanço MENSAL'!J24/'Balanço MENSAL'!J53</f>
        <v>2.0134221354037392</v>
      </c>
      <c r="J22" s="124">
        <f>'Balanço MENSAL'!K24/'Balanço MENSAL'!K53</f>
        <v>2.0780798559646638</v>
      </c>
      <c r="K22" s="124">
        <f>'Balanço MENSAL'!L24/'Balanço MENSAL'!L53</f>
        <v>2.0837923764538053</v>
      </c>
      <c r="L22" s="124">
        <f>'Balanço MENSAL'!M24/'Balanço MENSAL'!M53</f>
        <v>2.0738015279586675</v>
      </c>
      <c r="M22" s="124">
        <f>'Balanço MENSAL'!N24/'Balanço MENSAL'!N53</f>
        <v>2.1447530211077326</v>
      </c>
      <c r="N22" s="124">
        <f>'Balanço MENSAL'!O24/'Balanço MENSAL'!O53</f>
        <v>1.0624574240710085</v>
      </c>
    </row>
    <row r="23" spans="2:14" x14ac:dyDescent="0.3">
      <c r="B23" s="117" t="s">
        <v>19</v>
      </c>
      <c r="C23" s="126">
        <f>('Balanço MENSAL'!D24-'Balanço MENSAL'!D20)/'Balanço MENSAL'!D53</f>
        <v>0.85100471371337494</v>
      </c>
      <c r="D23" s="126">
        <f>('Balanço MENSAL'!E24-'Balanço MENSAL'!E20)/'Balanço MENSAL'!E53</f>
        <v>0.87891777226353995</v>
      </c>
      <c r="E23" s="126">
        <f>('Balanço MENSAL'!F24-'Balanço MENSAL'!F20)/'Balanço MENSAL'!F53</f>
        <v>1.0325537950883079</v>
      </c>
      <c r="F23" s="126">
        <f>('Balanço MENSAL'!G24-'Balanço MENSAL'!G20)/'Balanço MENSAL'!G53</f>
        <v>1.2820238680108627</v>
      </c>
      <c r="G23" s="126">
        <f>('Balanço MENSAL'!H24-'Balanço MENSAL'!H20)/'Balanço MENSAL'!H53</f>
        <v>1.3085077219221359</v>
      </c>
      <c r="H23" s="126">
        <f>('Balanço MENSAL'!I24-'Balanço MENSAL'!I20)/'Balanço MENSAL'!I53</f>
        <v>1.2755002254010888</v>
      </c>
      <c r="I23" s="126">
        <f>('Balanço MENSAL'!J24-'Balanço MENSAL'!J20)/'Balanço MENSAL'!J53</f>
        <v>1.2944007469400143</v>
      </c>
      <c r="J23" s="126">
        <f>('Balanço MENSAL'!K24-'Balanço MENSAL'!K20)/'Balanço MENSAL'!K53</f>
        <v>1.2905440811196156</v>
      </c>
      <c r="K23" s="126">
        <f>('Balanço MENSAL'!L24-'Balanço MENSAL'!L20)/'Balanço MENSAL'!L53</f>
        <v>1.0329725194954487</v>
      </c>
      <c r="L23" s="126">
        <f>('Balanço MENSAL'!M24-'Balanço MENSAL'!M20)/'Balanço MENSAL'!M53</f>
        <v>1.0108653210735963</v>
      </c>
      <c r="M23" s="126">
        <f>('Balanço MENSAL'!N24-'Balanço MENSAL'!N20)/'Balanço MENSAL'!N53</f>
        <v>1.0705250073872621</v>
      </c>
      <c r="N23" s="126">
        <f>('Balanço MENSAL'!O24-'Balanço MENSAL'!O20)/'Balanço MENSAL'!O53</f>
        <v>1.0624574240710085</v>
      </c>
    </row>
    <row r="24" spans="2:14" x14ac:dyDescent="0.3">
      <c r="B24" s="133" t="s">
        <v>20</v>
      </c>
      <c r="C24" s="134">
        <f>'Balanço MENSAL'!D22/'Balanço MENSAL'!D53</f>
        <v>0.22306399228501583</v>
      </c>
      <c r="D24" s="134">
        <f>'Balanço MENSAL'!E22/'Balanço MENSAL'!E53</f>
        <v>0.23630871584748026</v>
      </c>
      <c r="E24" s="134">
        <f>'Balanço MENSAL'!F22/'Balanço MENSAL'!F53</f>
        <v>0.34751322637511967</v>
      </c>
      <c r="F24" s="134">
        <f>'Balanço MENSAL'!G22/'Balanço MENSAL'!G53</f>
        <v>0.61828289616824439</v>
      </c>
      <c r="G24" s="134">
        <f>'Balanço MENSAL'!H22/'Balanço MENSAL'!H53</f>
        <v>0.64171415216101935</v>
      </c>
      <c r="H24" s="134">
        <f>'Balanço MENSAL'!I22/'Balanço MENSAL'!I53</f>
        <v>0.62325971235243383</v>
      </c>
      <c r="I24" s="134">
        <f>'Balanço MENSAL'!J22/'Balanço MENSAL'!J53</f>
        <v>0.62434238575577006</v>
      </c>
      <c r="J24" s="134">
        <f>'Balanço MENSAL'!K22/'Balanço MENSAL'!K53</f>
        <v>0.60232009295080169</v>
      </c>
      <c r="K24" s="134">
        <f>'Balanço MENSAL'!L22/'Balanço MENSAL'!L53</f>
        <v>0.3495353584236579</v>
      </c>
      <c r="L24" s="134">
        <f>'Balanço MENSAL'!M22/'Balanço MENSAL'!M53</f>
        <v>0.37436434701785909</v>
      </c>
      <c r="M24" s="134">
        <f>'Balanço MENSAL'!N22/'Balanço MENSAL'!N53</f>
        <v>0.36354709863520457</v>
      </c>
      <c r="N24" s="134">
        <f>'Balanço MENSAL'!O22/'Balanço MENSAL'!O53</f>
        <v>0.35824561289299833</v>
      </c>
    </row>
    <row r="27" spans="2:14" ht="14.5" thickBot="1" x14ac:dyDescent="0.35">
      <c r="B27" s="115">
        <v>4</v>
      </c>
      <c r="C27" s="81"/>
      <c r="D27" s="82"/>
      <c r="E27" s="82"/>
      <c r="F27" s="81"/>
      <c r="G27" s="82"/>
      <c r="H27" s="82"/>
      <c r="I27" s="81"/>
      <c r="J27" s="82"/>
      <c r="K27" s="82"/>
      <c r="L27" s="81"/>
      <c r="M27" s="82"/>
      <c r="N27" s="82"/>
    </row>
    <row r="28" spans="2:14" x14ac:dyDescent="0.3">
      <c r="B28" s="135" t="s">
        <v>10</v>
      </c>
      <c r="C28" s="136" t="s">
        <v>67</v>
      </c>
      <c r="D28" s="136" t="s">
        <v>68</v>
      </c>
      <c r="E28" s="136" t="s">
        <v>69</v>
      </c>
      <c r="F28" s="136" t="s">
        <v>70</v>
      </c>
      <c r="G28" s="136" t="s">
        <v>71</v>
      </c>
      <c r="H28" s="136" t="s">
        <v>72</v>
      </c>
      <c r="I28" s="136" t="s">
        <v>73</v>
      </c>
      <c r="J28" s="136" t="s">
        <v>74</v>
      </c>
      <c r="K28" s="136" t="s">
        <v>75</v>
      </c>
      <c r="L28" s="136" t="s">
        <v>76</v>
      </c>
      <c r="M28" s="136" t="s">
        <v>77</v>
      </c>
      <c r="N28" s="136" t="s">
        <v>78</v>
      </c>
    </row>
    <row r="29" spans="2:14" x14ac:dyDescent="0.3">
      <c r="B29" s="127" t="s">
        <v>29</v>
      </c>
      <c r="C29" s="124">
        <f>'Balanço MENSAL'!D37/'Balanço MENSAL'!D38</f>
        <v>0.23362555508274901</v>
      </c>
      <c r="D29" s="124">
        <f>'Balanço MENSAL'!E37/'Balanço MENSAL'!E38</f>
        <v>0.20798800976744497</v>
      </c>
      <c r="E29" s="124">
        <f>'Balanço MENSAL'!F37/'Balanço MENSAL'!F38</f>
        <v>0.30518125053416978</v>
      </c>
      <c r="F29" s="124">
        <f>'Balanço MENSAL'!G37/'Balanço MENSAL'!G38</f>
        <v>0.35175980301254356</v>
      </c>
      <c r="G29" s="124">
        <f>'Balanço MENSAL'!H37/'Balanço MENSAL'!H38</f>
        <v>9.5403008721694674E-2</v>
      </c>
      <c r="H29" s="124">
        <f>'Balanço MENSAL'!I37/'Balanço MENSAL'!I38</f>
        <v>5.6596939802795766E-2</v>
      </c>
      <c r="I29" s="124">
        <f>'Balanço MENSAL'!J37/'Balanço MENSAL'!J38</f>
        <v>0.11660749086064837</v>
      </c>
      <c r="J29" s="124">
        <f>'Balanço MENSAL'!K37/'Balanço MENSAL'!K38</f>
        <v>3.7320155051941556E-2</v>
      </c>
      <c r="K29" s="124">
        <f>'Balanço MENSAL'!L37/'Balanço MENSAL'!L38</f>
        <v>3.141176459388411E-2</v>
      </c>
      <c r="L29" s="124">
        <f>'Balanço MENSAL'!M37/'Balanço MENSAL'!M38</f>
        <v>1.9238217828616896E-2</v>
      </c>
      <c r="M29" s="124">
        <f>'Balanço MENSAL'!N37/'Balanço MENSAL'!N38</f>
        <v>9.9158962427556036E-2</v>
      </c>
      <c r="N29" s="124">
        <f>'Balanço MENSAL'!O37/'Balanço MENSAL'!O38</f>
        <v>-13.156667547758266</v>
      </c>
    </row>
    <row r="30" spans="2:14" x14ac:dyDescent="0.3">
      <c r="B30" s="125" t="s">
        <v>16</v>
      </c>
      <c r="C30" s="126">
        <f>'D.R MENSAL'!D21/'Balanço MENSAL'!D26</f>
        <v>6.4616563861191439E-2</v>
      </c>
      <c r="D30" s="126">
        <f>'D.R MENSAL'!E21/'Balanço MENSAL'!E26</f>
        <v>5.9493379172100583E-2</v>
      </c>
      <c r="E30" s="126">
        <f>'D.R MENSAL'!F21/'Balanço MENSAL'!F26</f>
        <v>0.11066702358067283</v>
      </c>
      <c r="F30" s="126">
        <f>'D.R MENSAL'!G21/'Balanço MENSAL'!G26</f>
        <v>0.16334861877662088</v>
      </c>
      <c r="G30" s="126">
        <f>'D.R MENSAL'!H21/'Balanço MENSAL'!H26</f>
        <v>4.6137441291229542E-2</v>
      </c>
      <c r="H30" s="126">
        <f>'D.R MENSAL'!I21/'Balanço MENSAL'!I26</f>
        <v>2.7142092373503776E-2</v>
      </c>
      <c r="I30" s="126">
        <f>'D.R MENSAL'!J21/'Balanço MENSAL'!J26</f>
        <v>5.8960778547466182E-2</v>
      </c>
      <c r="J30" s="126">
        <f>'D.R MENSAL'!K21/'Balanço MENSAL'!K26</f>
        <v>1.9891821089313109E-2</v>
      </c>
      <c r="K30" s="126">
        <f>'D.R MENSAL'!L21/'Balanço MENSAL'!L26</f>
        <v>1.6773198126091831E-2</v>
      </c>
      <c r="L30" s="126">
        <f>'D.R MENSAL'!M21/'Balanço MENSAL'!M26</f>
        <v>1.0100478233639579E-2</v>
      </c>
      <c r="M30" s="126">
        <f>'D.R MENSAL'!N21/'Balanço MENSAL'!N26</f>
        <v>5.4118390631244261E-2</v>
      </c>
      <c r="N30" s="126">
        <f>'D.R MENSAL'!O21/'Balanço MENSAL'!O26</f>
        <v>-1.0272817062165782</v>
      </c>
    </row>
    <row r="31" spans="2:14" ht="14.5" thickBot="1" x14ac:dyDescent="0.35">
      <c r="B31" s="137" t="s">
        <v>17</v>
      </c>
      <c r="C31" s="138">
        <f>'D.R MENSAL'!D24/'D.R MENSAL'!D13</f>
        <v>0.57111596190729819</v>
      </c>
      <c r="D31" s="138">
        <f>'D.R MENSAL'!E24/'D.R MENSAL'!E13</f>
        <v>0.78817539481358923</v>
      </c>
      <c r="E31" s="138">
        <f>'D.R MENSAL'!F24/'D.R MENSAL'!F13</f>
        <v>0.84159418824342935</v>
      </c>
      <c r="F31" s="138">
        <f>'D.R MENSAL'!G24/'D.R MENSAL'!G13</f>
        <v>0.94984763930083482</v>
      </c>
      <c r="G31" s="138">
        <f>'D.R MENSAL'!H24/'D.R MENSAL'!H13</f>
        <v>0.80152427142886895</v>
      </c>
      <c r="H31" s="138">
        <f>'D.R MENSAL'!I24/'D.R MENSAL'!I13</f>
        <v>0.48951124889960618</v>
      </c>
      <c r="I31" s="138">
        <f>'D.R MENSAL'!J24/'D.R MENSAL'!J13</f>
        <v>0.83012130655535299</v>
      </c>
      <c r="J31" s="138">
        <f>'D.R MENSAL'!K24/'D.R MENSAL'!K13</f>
        <v>0.58352131573620936</v>
      </c>
      <c r="K31" s="138">
        <f>'D.R MENSAL'!L24/'D.R MENSAL'!L13</f>
        <v>0.53758077410126415</v>
      </c>
      <c r="L31" s="138">
        <f>'D.R MENSAL'!M24/'D.R MENSAL'!M13</f>
        <v>0.32785453558230054</v>
      </c>
      <c r="M31" s="138">
        <f>'D.R MENSAL'!N24/'D.R MENSAL'!N13</f>
        <v>0.81606517228751252</v>
      </c>
      <c r="N31" s="138">
        <f>'D.R MENSAL'!O24/'D.R MENSAL'!O13</f>
        <v>-10.63709792560287</v>
      </c>
    </row>
    <row r="34" spans="2:14" ht="14.5" thickBot="1" x14ac:dyDescent="0.35">
      <c r="B34" s="115">
        <v>5</v>
      </c>
      <c r="C34" s="81"/>
      <c r="D34" s="139"/>
      <c r="E34" s="139"/>
      <c r="F34" s="81"/>
      <c r="G34" s="139"/>
      <c r="H34" s="139"/>
      <c r="I34" s="81"/>
      <c r="J34" s="139"/>
      <c r="K34" s="139"/>
      <c r="L34" s="81"/>
      <c r="M34" s="139"/>
      <c r="N34" s="139"/>
    </row>
    <row r="35" spans="2:14" x14ac:dyDescent="0.3">
      <c r="B35" s="140" t="s">
        <v>10</v>
      </c>
      <c r="C35" s="141" t="s">
        <v>67</v>
      </c>
      <c r="D35" s="141" t="s">
        <v>68</v>
      </c>
      <c r="E35" s="141" t="s">
        <v>69</v>
      </c>
      <c r="F35" s="141" t="s">
        <v>70</v>
      </c>
      <c r="G35" s="141" t="s">
        <v>71</v>
      </c>
      <c r="H35" s="141" t="s">
        <v>72</v>
      </c>
      <c r="I35" s="141" t="s">
        <v>73</v>
      </c>
      <c r="J35" s="141" t="s">
        <v>74</v>
      </c>
      <c r="K35" s="141" t="s">
        <v>75</v>
      </c>
      <c r="L35" s="141" t="s">
        <v>76</v>
      </c>
      <c r="M35" s="141" t="s">
        <v>77</v>
      </c>
      <c r="N35" s="141" t="s">
        <v>78</v>
      </c>
    </row>
    <row r="36" spans="2:14" x14ac:dyDescent="0.3">
      <c r="B36" s="125" t="s">
        <v>11</v>
      </c>
      <c r="C36" s="118" t="e">
        <f>'Balanço MENSAL'!C14/'Balanço TRI'!C7*365</f>
        <v>#DIV/0!</v>
      </c>
      <c r="D36" s="118" t="e">
        <f>'Balanço MENSAL'!D14/'Balanço TRI'!D7*365</f>
        <v>#DIV/0!</v>
      </c>
      <c r="E36" s="118" t="e">
        <f>'Balanço MENSAL'!E14/'Balanço TRI'!E7*365</f>
        <v>#DIV/0!</v>
      </c>
      <c r="F36" s="118" t="e">
        <f>'Balanço MENSAL'!F14/'Balanço TRI'!F7*365</f>
        <v>#VALUE!</v>
      </c>
      <c r="G36" s="118" t="e">
        <f>'Balanço MENSAL'!G14/'Balanço TRI'!G7*365</f>
        <v>#DIV/0!</v>
      </c>
      <c r="H36" s="118" t="e">
        <f>'Balanço MENSAL'!H14/'Balanço TRI'!H7*365</f>
        <v>#DIV/0!</v>
      </c>
      <c r="I36" s="118" t="e">
        <f>'Balanço MENSAL'!I14/'Balanço TRI'!I7*365</f>
        <v>#DIV/0!</v>
      </c>
      <c r="J36" s="118" t="e">
        <f>'Balanço MENSAL'!J14/'Balanço TRI'!J7*365</f>
        <v>#DIV/0!</v>
      </c>
      <c r="K36" s="118" t="e">
        <f>'Balanço MENSAL'!K14/'Balanço TRI'!K7*365</f>
        <v>#DIV/0!</v>
      </c>
      <c r="L36" s="118" t="e">
        <f>'Balanço MENSAL'!L14/'Balanço TRI'!L7*365</f>
        <v>#DIV/0!</v>
      </c>
      <c r="M36" s="118" t="e">
        <f>'Balanço MENSAL'!M14/'Balanço TRI'!M7*365</f>
        <v>#DIV/0!</v>
      </c>
      <c r="N36" s="118" t="e">
        <f>'Balanço MENSAL'!N14/'Balanço TRI'!N7*365</f>
        <v>#DIV/0!</v>
      </c>
    </row>
    <row r="37" spans="2:14" x14ac:dyDescent="0.3">
      <c r="B37" s="125" t="s">
        <v>12</v>
      </c>
      <c r="C37" s="118">
        <f>'Balanço MENSAL'!C16/'Balanço MENSAL'!C11*365</f>
        <v>439.62969952733823</v>
      </c>
      <c r="D37" s="118">
        <f>'Balanço MENSAL'!D16/'Balanço MENSAL'!D11*365</f>
        <v>362.27922432230218</v>
      </c>
      <c r="E37" s="118">
        <f>'Balanço MENSAL'!E16/'Balanço MENSAL'!E11*365</f>
        <v>343.18614233643433</v>
      </c>
      <c r="F37" s="118">
        <f>'Balanço MENSAL'!F16/'Balanço MENSAL'!F11*365</f>
        <v>313.3454155199849</v>
      </c>
      <c r="G37" s="118">
        <f>'Balanço MENSAL'!G16/'Balanço MENSAL'!G11*365</f>
        <v>290.01726928363871</v>
      </c>
      <c r="H37" s="118">
        <f>'Balanço MENSAL'!H16/'Balanço MENSAL'!H11*365</f>
        <v>271.25416202723414</v>
      </c>
      <c r="I37" s="118">
        <f>'Balanço MENSAL'!I16/'Balanço MENSAL'!I11*365</f>
        <v>235.96536179111126</v>
      </c>
      <c r="J37" s="118">
        <f>'Balanço MENSAL'!J16/'Balanço MENSAL'!J11*365</f>
        <v>208.95695177133931</v>
      </c>
      <c r="K37" s="118">
        <f>'Balanço MENSAL'!K16/'Balanço MENSAL'!K11*365</f>
        <v>152.34235056252754</v>
      </c>
      <c r="L37" s="118">
        <f>'Balanço MENSAL'!L16/'Balanço MENSAL'!L11*365</f>
        <v>147.44271273788269</v>
      </c>
      <c r="M37" s="118">
        <f>'Balanço MENSAL'!M16/'Balanço MENSAL'!M11*365</f>
        <v>143.83794463199825</v>
      </c>
      <c r="N37" s="118" t="e">
        <f>'Balanço MENSAL'!N16/'Balanço MENSAL'!N11*365</f>
        <v>#DIV/0!</v>
      </c>
    </row>
    <row r="38" spans="2:14" x14ac:dyDescent="0.3">
      <c r="B38" s="125" t="s">
        <v>13</v>
      </c>
      <c r="C38" s="118">
        <f>'D.R MENSAL'!D20/'Indi. MENSAL'!D14*365</f>
        <v>9343794114.5568161</v>
      </c>
      <c r="D38" s="118">
        <f>'D.R MENSAL'!E20/'Indi. MENSAL'!E14*365</f>
        <v>1570680916.231611</v>
      </c>
      <c r="E38" s="118">
        <f>'D.R MENSAL'!F20/'Indi. MENSAL'!F14*365</f>
        <v>3256030427.0958948</v>
      </c>
      <c r="F38" s="118">
        <f>'D.R MENSAL'!G20/'Indi. MENSAL'!G14*365</f>
        <v>747992031.89263189</v>
      </c>
      <c r="G38" s="118">
        <f>'D.R MENSAL'!H20/'Indi. MENSAL'!H14*365</f>
        <v>1358103806.465112</v>
      </c>
      <c r="H38" s="118">
        <f>'D.R MENSAL'!I20/'Indi. MENSAL'!I14*365</f>
        <v>5998377640.7528076</v>
      </c>
      <c r="I38" s="118">
        <f>'D.R MENSAL'!J20/'Indi. MENSAL'!J14*365</f>
        <v>844576359.69084227</v>
      </c>
      <c r="J38" s="118">
        <f>'D.R MENSAL'!K20/'Indi. MENSAL'!K14*365</f>
        <v>1809603030.7181442</v>
      </c>
      <c r="K38" s="118">
        <f>'D.R MENSAL'!L20/'Indi. MENSAL'!L14*365</f>
        <v>2142171749.7307127</v>
      </c>
      <c r="L38" s="118">
        <f>'D.R MENSAL'!M20/'Indi. MENSAL'!M14*365</f>
        <v>1688998662.1180842</v>
      </c>
      <c r="M38" s="118">
        <f>'D.R MENSAL'!N20/'Indi. MENSAL'!N14*365</f>
        <v>4954727536.6579084</v>
      </c>
      <c r="N38" s="118" t="e">
        <f>'D.R MENSAL'!O20/'Indi. MENSAL'!O14*365</f>
        <v>#DIV/0!</v>
      </c>
    </row>
    <row r="39" spans="2:14" x14ac:dyDescent="0.3">
      <c r="B39" s="125" t="s">
        <v>14</v>
      </c>
      <c r="C39" s="118">
        <f>'Indi. MENSAL'!D14/'D.R MENSAL'!D20*365</f>
        <v>1.4258126663177122E-5</v>
      </c>
      <c r="D39" s="118">
        <f>'Indi. MENSAL'!E14/'D.R MENSAL'!E20*365</f>
        <v>8.4819901116284254E-5</v>
      </c>
      <c r="E39" s="118">
        <f>'Indi. MENSAL'!F14/'D.R MENSAL'!F20*365</f>
        <v>4.0916386680951716E-5</v>
      </c>
      <c r="F39" s="118">
        <f>'Indi. MENSAL'!G14/'D.R MENSAL'!G20*365</f>
        <v>1.7811018609770882E-4</v>
      </c>
      <c r="G39" s="118">
        <f>'Indi. MENSAL'!H14/'D.R MENSAL'!H20*365</f>
        <v>9.8096330608747455E-5</v>
      </c>
      <c r="H39" s="118">
        <f>'Indi. MENSAL'!I14/'D.R MENSAL'!I20*365</f>
        <v>2.2210172146360561E-5</v>
      </c>
      <c r="I39" s="118">
        <f>'Indi. MENSAL'!J14/'D.R MENSAL'!J20*365</f>
        <v>1.577418056654665E-4</v>
      </c>
      <c r="J39" s="118">
        <f>'Indi. MENSAL'!K14/'D.R MENSAL'!K20*365</f>
        <v>7.3621118962830992E-5</v>
      </c>
      <c r="K39" s="118">
        <f>'Indi. MENSAL'!L14/'D.R MENSAL'!L20*365</f>
        <v>6.2191558644514574E-5</v>
      </c>
      <c r="L39" s="118">
        <f>'Indi. MENSAL'!M14/'D.R MENSAL'!M20*365</f>
        <v>7.887809682035482E-5</v>
      </c>
      <c r="M39" s="118">
        <f>'Indi. MENSAL'!N14/'D.R MENSAL'!N20*365</f>
        <v>2.6888461376397639E-5</v>
      </c>
      <c r="N39" s="118">
        <f>'Indi. MENSAL'!O14/'D.R MENSAL'!O20*365</f>
        <v>0</v>
      </c>
    </row>
    <row r="40" spans="2:14" ht="14.5" thickBot="1" x14ac:dyDescent="0.35">
      <c r="B40" s="128" t="s">
        <v>15</v>
      </c>
      <c r="C40" s="142" t="e">
        <f>C7/'D.R MENSAL'!D17</f>
        <v>#DIV/0!</v>
      </c>
      <c r="D40" s="142" t="e">
        <f>D7/'D.R MENSAL'!E17</f>
        <v>#DIV/0!</v>
      </c>
      <c r="E40" s="142" t="e">
        <f>E7/'D.R MENSAL'!F17</f>
        <v>#DIV/0!</v>
      </c>
      <c r="F40" s="142" t="e">
        <f>F7/'D.R MENSAL'!G17</f>
        <v>#DIV/0!</v>
      </c>
      <c r="G40" s="142" t="e">
        <f>G7/'D.R MENSAL'!H17</f>
        <v>#DIV/0!</v>
      </c>
      <c r="H40" s="142" t="e">
        <f>H7/'D.R MENSAL'!I17</f>
        <v>#DIV/0!</v>
      </c>
      <c r="I40" s="142" t="e">
        <f>I7/'D.R MENSAL'!J17</f>
        <v>#DIV/0!</v>
      </c>
      <c r="J40" s="142" t="e">
        <f>J7/'D.R MENSAL'!K17</f>
        <v>#DIV/0!</v>
      </c>
      <c r="K40" s="142" t="e">
        <f>K7/'D.R MENSAL'!L17</f>
        <v>#DIV/0!</v>
      </c>
      <c r="L40" s="142" t="e">
        <f>L7/'D.R MENSAL'!M17</f>
        <v>#DIV/0!</v>
      </c>
      <c r="M40" s="142" t="e">
        <f>M7/'D.R MENSAL'!N17</f>
        <v>#DIV/0!</v>
      </c>
      <c r="N40" s="142" t="e">
        <f>N7/'D.R MENSAL'!O17</f>
        <v>#DIV/0!</v>
      </c>
    </row>
    <row r="43" spans="2:14" ht="14.5" thickBot="1" x14ac:dyDescent="0.35">
      <c r="B43" s="115">
        <v>6</v>
      </c>
      <c r="C43" s="81"/>
      <c r="D43" s="82"/>
      <c r="E43" s="82"/>
      <c r="F43" s="81"/>
      <c r="G43" s="82"/>
      <c r="H43" s="82"/>
      <c r="I43" s="81"/>
      <c r="J43" s="82"/>
      <c r="K43" s="82"/>
      <c r="L43" s="81"/>
      <c r="M43" s="82"/>
      <c r="N43" s="82"/>
    </row>
    <row r="44" spans="2:14" x14ac:dyDescent="0.3">
      <c r="B44" s="143" t="s">
        <v>10</v>
      </c>
      <c r="C44" s="144" t="s">
        <v>67</v>
      </c>
      <c r="D44" s="144" t="s">
        <v>68</v>
      </c>
      <c r="E44" s="144" t="s">
        <v>69</v>
      </c>
      <c r="F44" s="144" t="s">
        <v>70</v>
      </c>
      <c r="G44" s="144" t="s">
        <v>71</v>
      </c>
      <c r="H44" s="144" t="s">
        <v>72</v>
      </c>
      <c r="I44" s="144" t="s">
        <v>73</v>
      </c>
      <c r="J44" s="144" t="s">
        <v>74</v>
      </c>
      <c r="K44" s="144" t="s">
        <v>75</v>
      </c>
      <c r="L44" s="144" t="s">
        <v>76</v>
      </c>
      <c r="M44" s="144" t="s">
        <v>77</v>
      </c>
      <c r="N44" s="144" t="s">
        <v>78</v>
      </c>
    </row>
    <row r="45" spans="2:14" x14ac:dyDescent="0.3">
      <c r="B45" s="145" t="s">
        <v>25</v>
      </c>
      <c r="C45" s="146">
        <f>'Balanço MENSAL'!D38</f>
        <v>75504548.780000001</v>
      </c>
      <c r="D45" s="146">
        <f>'Balanço MENSAL'!E38</f>
        <v>95332582.980000004</v>
      </c>
      <c r="E45" s="146">
        <f>'Balanço MENSAL'!F38</f>
        <v>137204966.12</v>
      </c>
      <c r="F45" s="146">
        <f>'Balanço MENSAL'!G38</f>
        <v>211657602.78</v>
      </c>
      <c r="G45" s="146">
        <f>'Balanço MENSAL'!H38</f>
        <v>233979998.62999997</v>
      </c>
      <c r="H45" s="146">
        <f>'Balanço MENSAL'!I38</f>
        <v>248017001.95999998</v>
      </c>
      <c r="I45" s="146">
        <f>'Balanço MENSAL'!J38</f>
        <v>280755156.27999997</v>
      </c>
      <c r="J45" s="146">
        <f>'Balanço MENSAL'!K38</f>
        <v>291639175.52999997</v>
      </c>
      <c r="K45" s="146">
        <f>'Balanço MENSAL'!L38</f>
        <v>301097168.91999996</v>
      </c>
      <c r="L45" s="146">
        <f>'Balanço MENSAL'!M38</f>
        <v>307003366.55999994</v>
      </c>
      <c r="M45" s="146">
        <f>'Balanço MENSAL'!N38</f>
        <v>340796382.21999991</v>
      </c>
      <c r="N45" s="146">
        <f>'Balanço MENSAL'!O38</f>
        <v>24073206.569999993</v>
      </c>
    </row>
    <row r="46" spans="2:14" x14ac:dyDescent="0.3">
      <c r="B46" s="145" t="s">
        <v>27</v>
      </c>
      <c r="C46" s="146">
        <f>'Balanço MENSAL'!D46+'Balanço MENSAL'!D53-'Balanço MENSAL'!D22</f>
        <v>186935074.39000002</v>
      </c>
      <c r="D46" s="146">
        <f>'Balanço MENSAL'!E46+'Balanço MENSAL'!E53-'Balanço MENSAL'!E22</f>
        <v>181278279.80000001</v>
      </c>
      <c r="E46" s="146">
        <f>'Balanço MENSAL'!F46+'Balanço MENSAL'!F53-'Balanço MENSAL'!F22</f>
        <v>156763742.36999997</v>
      </c>
      <c r="F46" s="146">
        <f>'Balanço MENSAL'!G46+'Balanço MENSAL'!G53-'Balanço MENSAL'!G22</f>
        <v>94869470.270000041</v>
      </c>
      <c r="G46" s="146">
        <f>'Balanço MENSAL'!H46+'Balanço MENSAL'!H53-'Balanço MENSAL'!H22</f>
        <v>89606423.069999993</v>
      </c>
      <c r="H46" s="146">
        <f>'Balanço MENSAL'!I46+'Balanço MENSAL'!I53-'Balanço MENSAL'!I22</f>
        <v>100044922.61000001</v>
      </c>
      <c r="I46" s="146">
        <f>'Balanço MENSAL'!J46+'Balanço MENSAL'!J53-'Balanço MENSAL'!J22</f>
        <v>101565247.74999997</v>
      </c>
      <c r="J46" s="146">
        <f>'Balanço MENSAL'!K46+'Balanço MENSAL'!K53-'Balanço MENSAL'!K22</f>
        <v>105038118.94</v>
      </c>
      <c r="K46" s="146">
        <f>'Balanço MENSAL'!L46+'Balanço MENSAL'!L53-'Balanço MENSAL'!L22</f>
        <v>176576351.90000004</v>
      </c>
      <c r="L46" s="146">
        <f>'Balanço MENSAL'!M46+'Balanço MENSAL'!M53-'Balanço MENSAL'!M22</f>
        <v>174857580.44</v>
      </c>
      <c r="M46" s="146">
        <f>'Balanço MENSAL'!N46+'Balanço MENSAL'!N53-'Balanço MENSAL'!N22</f>
        <v>184455503.62</v>
      </c>
      <c r="N46" s="146">
        <f>'Balanço MENSAL'!O46+'Balanço MENSAL'!O53-'Balanço MENSAL'!O22</f>
        <v>180831352.07999998</v>
      </c>
    </row>
    <row r="47" spans="2:14" x14ac:dyDescent="0.3">
      <c r="B47" s="147" t="s">
        <v>26</v>
      </c>
      <c r="C47" s="148">
        <f>C8/Balancete!B$2</f>
        <v>17.639792120000003</v>
      </c>
      <c r="D47" s="148">
        <f>D8/Balancete!B$2</f>
        <v>19.828034199999998</v>
      </c>
      <c r="E47" s="148">
        <f>E8/Balancete!B$2</f>
        <v>41.872383140000004</v>
      </c>
      <c r="F47" s="148">
        <f>F8/Balancete!B$2</f>
        <v>74.452636659999996</v>
      </c>
      <c r="G47" s="148">
        <f>G8/Balancete!B$2</f>
        <v>22.322395849999992</v>
      </c>
      <c r="H47" s="148">
        <f>H8/Balancete!B$2</f>
        <v>14.037003329999997</v>
      </c>
      <c r="I47" s="148">
        <f>I8/Balancete!B$2</f>
        <v>32.73815432</v>
      </c>
      <c r="J47" s="148">
        <f>J8/Balancete!B$2</f>
        <v>10.884019249999998</v>
      </c>
      <c r="K47" s="148">
        <f>K8/Balancete!B$2</f>
        <v>9.4579933899999986</v>
      </c>
      <c r="L47" s="148">
        <f>L8/Balancete!B$2</f>
        <v>5.9061976399999985</v>
      </c>
      <c r="M47" s="148">
        <f>M8/Balancete!B$2</f>
        <v>33.793015659999995</v>
      </c>
      <c r="N47" s="148">
        <f>N8/Balancete!B$2</f>
        <v>-316.72317564999997</v>
      </c>
    </row>
    <row r="48" spans="2:14" ht="14.5" thickBot="1" x14ac:dyDescent="0.35">
      <c r="B48" s="149" t="s">
        <v>28</v>
      </c>
      <c r="C48" s="150">
        <f>C45/Balancete!B$2</f>
        <v>75.504548780000007</v>
      </c>
      <c r="D48" s="150">
        <f>D45/Balancete!B$2</f>
        <v>95.332582979999998</v>
      </c>
      <c r="E48" s="150">
        <f>E45/Balancete!B$2</f>
        <v>137.20496611999999</v>
      </c>
      <c r="F48" s="150">
        <f>F45/Balancete!B$2</f>
        <v>211.65760277999999</v>
      </c>
      <c r="G48" s="150">
        <f>G45/Balancete!B$2</f>
        <v>233.97999862999995</v>
      </c>
      <c r="H48" s="150">
        <f>H45/Balancete!B$2</f>
        <v>248.01700195999999</v>
      </c>
      <c r="I48" s="150">
        <f>I45/Balancete!B$2</f>
        <v>280.75515627999999</v>
      </c>
      <c r="J48" s="150">
        <f>J45/Balancete!B$2</f>
        <v>291.63917552999999</v>
      </c>
      <c r="K48" s="150">
        <f>K45/Balancete!B$2</f>
        <v>301.09716891999994</v>
      </c>
      <c r="L48" s="150">
        <f>L45/Balancete!B$2</f>
        <v>307.00336655999996</v>
      </c>
      <c r="M48" s="150">
        <f>M45/Balancete!B$2</f>
        <v>340.79638221999988</v>
      </c>
      <c r="N48" s="150">
        <f>N45/Balancete!B$2</f>
        <v>24.073206569999993</v>
      </c>
    </row>
  </sheetData>
  <sheetProtection password="CC6B" sheet="1" objects="1" scenarios="1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tabColor rgb="FF92D050"/>
  </sheetPr>
  <dimension ref="B3:G57"/>
  <sheetViews>
    <sheetView topLeftCell="B1" workbookViewId="0">
      <selection activeCell="E16" sqref="E16"/>
    </sheetView>
  </sheetViews>
  <sheetFormatPr defaultRowHeight="14" x14ac:dyDescent="0.3"/>
  <cols>
    <col min="1" max="1" width="0" style="72" hidden="1" customWidth="1"/>
    <col min="2" max="2" width="43.81640625" style="72" customWidth="1"/>
    <col min="3" max="3" width="9.81640625" style="72" customWidth="1"/>
    <col min="4" max="7" width="18.81640625" style="72" customWidth="1"/>
    <col min="8" max="16384" width="8.7265625" style="72"/>
  </cols>
  <sheetData>
    <row r="3" spans="2:7" ht="20" x14ac:dyDescent="0.3">
      <c r="B3" s="302" t="s">
        <v>79</v>
      </c>
      <c r="C3" s="302"/>
      <c r="D3" s="302"/>
      <c r="E3" s="302"/>
      <c r="F3" s="302"/>
      <c r="G3" s="302"/>
    </row>
    <row r="4" spans="2:7" x14ac:dyDescent="0.3">
      <c r="B4" s="3"/>
      <c r="C4" s="3"/>
      <c r="D4" s="3"/>
      <c r="E4" s="3"/>
      <c r="F4" s="3"/>
      <c r="G4" s="3"/>
    </row>
    <row r="5" spans="2:7" x14ac:dyDescent="0.3">
      <c r="B5" s="4" t="s">
        <v>80</v>
      </c>
      <c r="C5" s="301"/>
      <c r="D5" s="301"/>
      <c r="E5" s="301"/>
      <c r="F5" s="301"/>
      <c r="G5" s="301"/>
    </row>
    <row r="6" spans="2:7" x14ac:dyDescent="0.3">
      <c r="B6" s="4" t="s">
        <v>81</v>
      </c>
      <c r="E6" s="4"/>
      <c r="F6" s="4"/>
      <c r="G6" s="12" t="s">
        <v>191</v>
      </c>
    </row>
    <row r="7" spans="2:7" ht="14.5" thickBot="1" x14ac:dyDescent="0.35">
      <c r="B7" s="4"/>
      <c r="C7" s="4"/>
      <c r="D7" s="78"/>
      <c r="E7" s="78"/>
      <c r="F7" s="301" t="s">
        <v>124</v>
      </c>
      <c r="G7" s="301"/>
    </row>
    <row r="8" spans="2:7" ht="14.5" thickBot="1" x14ac:dyDescent="0.35">
      <c r="B8" s="165" t="s">
        <v>83</v>
      </c>
      <c r="C8" s="165" t="s">
        <v>84</v>
      </c>
      <c r="D8" s="55"/>
      <c r="E8" s="433"/>
      <c r="F8" s="434"/>
      <c r="G8" s="435"/>
    </row>
    <row r="9" spans="2:7" ht="14.5" thickBot="1" x14ac:dyDescent="0.35">
      <c r="B9" s="166"/>
      <c r="C9" s="151"/>
      <c r="D9" s="1" t="s">
        <v>120</v>
      </c>
      <c r="E9" s="1" t="s">
        <v>121</v>
      </c>
      <c r="F9" s="436" t="s">
        <v>122</v>
      </c>
      <c r="G9" s="437" t="s">
        <v>123</v>
      </c>
    </row>
    <row r="10" spans="2:7" ht="14.5" thickBot="1" x14ac:dyDescent="0.35">
      <c r="B10" s="167" t="s">
        <v>85</v>
      </c>
      <c r="C10" s="18"/>
      <c r="D10" s="59"/>
      <c r="E10" s="60"/>
      <c r="F10" s="59"/>
      <c r="G10" s="251"/>
    </row>
    <row r="11" spans="2:7" x14ac:dyDescent="0.3">
      <c r="B11" s="19"/>
      <c r="C11" s="5"/>
      <c r="D11" s="19"/>
      <c r="E11" s="20"/>
      <c r="F11" s="19"/>
      <c r="G11" s="252"/>
    </row>
    <row r="12" spans="2:7" x14ac:dyDescent="0.3">
      <c r="B12" s="21" t="s">
        <v>86</v>
      </c>
      <c r="C12" s="22">
        <v>4</v>
      </c>
      <c r="D12" s="23">
        <f>'Balanço MENSAL'!F12</f>
        <v>4889099.74</v>
      </c>
      <c r="E12" s="23">
        <f>'Balanço MENSAL'!I12</f>
        <v>5219446.209999999</v>
      </c>
      <c r="F12" s="23">
        <f>'Balanço MENSAL'!L12</f>
        <v>6888857.1699999999</v>
      </c>
      <c r="G12" s="207">
        <f>'Balanço MENSAL'!O12</f>
        <v>6474167.6399999997</v>
      </c>
    </row>
    <row r="13" spans="2:7" x14ac:dyDescent="0.3">
      <c r="B13" s="21" t="s">
        <v>87</v>
      </c>
      <c r="C13" s="22">
        <v>5</v>
      </c>
      <c r="D13" s="23">
        <f>'Balanço MENSAL'!F13</f>
        <v>0</v>
      </c>
      <c r="E13" s="23">
        <f>'Balanço MENSAL'!I13</f>
        <v>0</v>
      </c>
      <c r="F13" s="23">
        <f>'Balanço MENSAL'!L13</f>
        <v>0</v>
      </c>
      <c r="G13" s="207">
        <f>'Balanço MENSAL'!O13</f>
        <v>0</v>
      </c>
    </row>
    <row r="14" spans="2:7" x14ac:dyDescent="0.3">
      <c r="B14" s="21" t="s">
        <v>88</v>
      </c>
      <c r="C14" s="22">
        <v>6</v>
      </c>
      <c r="D14" s="23">
        <f>'Balanço MENSAL'!F14</f>
        <v>0</v>
      </c>
      <c r="E14" s="23">
        <f>'Balanço MENSAL'!I14</f>
        <v>0</v>
      </c>
      <c r="F14" s="23">
        <f>'Balanço MENSAL'!L14</f>
        <v>0</v>
      </c>
      <c r="G14" s="207">
        <f>'Balanço MENSAL'!O14</f>
        <v>0</v>
      </c>
    </row>
    <row r="15" spans="2:7" x14ac:dyDescent="0.3">
      <c r="B15" s="21" t="s">
        <v>89</v>
      </c>
      <c r="C15" s="22">
        <v>7</v>
      </c>
      <c r="D15" s="23">
        <f>'Balanço MENSAL'!F15</f>
        <v>0</v>
      </c>
      <c r="E15" s="23">
        <f>'Balanço MENSAL'!I15</f>
        <v>0</v>
      </c>
      <c r="F15" s="23">
        <f>'Balanço MENSAL'!L15</f>
        <v>0</v>
      </c>
      <c r="G15" s="207">
        <f>'Balanço MENSAL'!O15</f>
        <v>0</v>
      </c>
    </row>
    <row r="16" spans="2:7" x14ac:dyDescent="0.3">
      <c r="B16" s="21" t="s">
        <v>90</v>
      </c>
      <c r="C16" s="22">
        <v>9</v>
      </c>
      <c r="D16" s="23">
        <f>'Balanço MENSAL'!F16</f>
        <v>0</v>
      </c>
      <c r="E16" s="23">
        <f>'Balanço MENSAL'!I16</f>
        <v>0</v>
      </c>
      <c r="F16" s="23">
        <f>'Balanço MENSAL'!L16</f>
        <v>0</v>
      </c>
      <c r="G16" s="207">
        <f>'Balanço MENSAL'!O16</f>
        <v>0</v>
      </c>
    </row>
    <row r="17" spans="2:7" ht="14.5" thickBot="1" x14ac:dyDescent="0.35">
      <c r="B17" s="19"/>
      <c r="C17" s="5"/>
      <c r="D17" s="61">
        <f>SUM(D12:D16)</f>
        <v>4889099.74</v>
      </c>
      <c r="E17" s="61">
        <f t="shared" ref="E17:G17" si="0">SUM(E12:E16)</f>
        <v>5219446.209999999</v>
      </c>
      <c r="F17" s="61">
        <f t="shared" si="0"/>
        <v>6888857.1699999999</v>
      </c>
      <c r="G17" s="230">
        <f t="shared" si="0"/>
        <v>6474167.6399999997</v>
      </c>
    </row>
    <row r="18" spans="2:7" ht="14.5" thickBot="1" x14ac:dyDescent="0.35">
      <c r="B18" s="167" t="s">
        <v>91</v>
      </c>
      <c r="C18" s="152"/>
      <c r="D18" s="168"/>
      <c r="E18" s="169"/>
      <c r="F18" s="168"/>
      <c r="G18" s="253"/>
    </row>
    <row r="19" spans="2:7" x14ac:dyDescent="0.3">
      <c r="B19" s="19"/>
      <c r="C19" s="5"/>
      <c r="D19" s="25"/>
      <c r="E19" s="11"/>
      <c r="F19" s="25"/>
      <c r="G19" s="254"/>
    </row>
    <row r="20" spans="2:7" x14ac:dyDescent="0.3">
      <c r="B20" s="21" t="s">
        <v>92</v>
      </c>
      <c r="C20" s="7">
        <v>8</v>
      </c>
      <c r="D20" s="23">
        <f>'Balanço MENSAL'!F20</f>
        <v>124494627.77000001</v>
      </c>
      <c r="E20" s="23">
        <f>'Balanço MENSAL'!I20</f>
        <v>169637345.29999998</v>
      </c>
      <c r="F20" s="23">
        <f>'Balanço MENSAL'!L20</f>
        <v>285257529.75</v>
      </c>
      <c r="G20" s="207">
        <f>'Balanço MENSAL'!O20</f>
        <v>0</v>
      </c>
    </row>
    <row r="21" spans="2:7" x14ac:dyDescent="0.3">
      <c r="B21" s="21" t="s">
        <v>93</v>
      </c>
      <c r="C21" s="22">
        <v>9</v>
      </c>
      <c r="D21" s="23">
        <f>'Balanço MENSAL'!F21</f>
        <v>164584980.97999999</v>
      </c>
      <c r="E21" s="23">
        <f>'Balanço MENSAL'!I21</f>
        <v>173205133.06</v>
      </c>
      <c r="F21" s="23">
        <f>'Balanço MENSAL'!L21</f>
        <v>185527133.90000001</v>
      </c>
      <c r="G21" s="207">
        <f>'Balanço MENSAL'!O21</f>
        <v>198430391.00999999</v>
      </c>
    </row>
    <row r="22" spans="2:7" x14ac:dyDescent="0.3">
      <c r="B22" s="21" t="s">
        <v>94</v>
      </c>
      <c r="C22" s="22">
        <v>10</v>
      </c>
      <c r="D22" s="23">
        <f>'Balanço MENSAL'!F22</f>
        <v>83492073.849999994</v>
      </c>
      <c r="E22" s="23">
        <f>'Balanço MENSAL'!I22</f>
        <v>165509163.03</v>
      </c>
      <c r="F22" s="23">
        <f>'Balanço MENSAL'!L22</f>
        <v>94885524.140000001</v>
      </c>
      <c r="G22" s="207">
        <f>'Balanço MENSAL'!O22</f>
        <v>100945221.19</v>
      </c>
    </row>
    <row r="23" spans="2:7" x14ac:dyDescent="0.3">
      <c r="B23" s="21" t="s">
        <v>95</v>
      </c>
      <c r="C23" s="22">
        <v>11</v>
      </c>
      <c r="D23" s="23">
        <f>'Balanço MENSAL'!F23</f>
        <v>0</v>
      </c>
      <c r="E23" s="23">
        <f>'Balanço MENSAL'!I23</f>
        <v>0</v>
      </c>
      <c r="F23" s="23">
        <f>'Balanço MENSAL'!L23</f>
        <v>0</v>
      </c>
      <c r="G23" s="207">
        <f>'Balanço MENSAL'!O23</f>
        <v>0</v>
      </c>
    </row>
    <row r="24" spans="2:7" x14ac:dyDescent="0.3">
      <c r="B24" s="21"/>
      <c r="C24" s="26"/>
      <c r="D24" s="64">
        <f>SUM(D$20:D$23)</f>
        <v>372571682.60000002</v>
      </c>
      <c r="E24" s="64">
        <f t="shared" ref="E24:G24" si="1">SUM(E$20:E$23)</f>
        <v>508351641.38999999</v>
      </c>
      <c r="F24" s="64">
        <f t="shared" si="1"/>
        <v>565670187.78999996</v>
      </c>
      <c r="G24" s="210">
        <f t="shared" si="1"/>
        <v>299375612.19999999</v>
      </c>
    </row>
    <row r="25" spans="2:7" x14ac:dyDescent="0.3">
      <c r="B25" s="5"/>
      <c r="C25" s="5"/>
      <c r="D25" s="27"/>
      <c r="E25" s="27"/>
      <c r="F25" s="27"/>
      <c r="G25" s="208"/>
    </row>
    <row r="26" spans="2:7" x14ac:dyDescent="0.3">
      <c r="B26" s="65" t="s">
        <v>96</v>
      </c>
      <c r="C26" s="26"/>
      <c r="D26" s="64">
        <f>D$17+D$24</f>
        <v>377460782.34000003</v>
      </c>
      <c r="E26" s="64">
        <f t="shared" ref="E26:G26" si="2">E$17+E$24</f>
        <v>513571087.59999996</v>
      </c>
      <c r="F26" s="64">
        <f t="shared" si="2"/>
        <v>572559044.95999992</v>
      </c>
      <c r="G26" s="210">
        <f t="shared" si="2"/>
        <v>305849779.83999997</v>
      </c>
    </row>
    <row r="27" spans="2:7" ht="14.5" thickBot="1" x14ac:dyDescent="0.35">
      <c r="B27" s="20"/>
      <c r="C27" s="26"/>
      <c r="D27" s="27"/>
      <c r="E27" s="10"/>
      <c r="F27" s="27"/>
      <c r="G27" s="211"/>
    </row>
    <row r="28" spans="2:7" x14ac:dyDescent="0.3">
      <c r="B28" s="170" t="s">
        <v>97</v>
      </c>
      <c r="C28" s="153"/>
      <c r="D28" s="154"/>
      <c r="E28" s="155"/>
      <c r="F28" s="154"/>
      <c r="G28" s="34"/>
    </row>
    <row r="29" spans="2:7" x14ac:dyDescent="0.3">
      <c r="B29" s="57" t="s">
        <v>98</v>
      </c>
      <c r="C29" s="31"/>
      <c r="D29" s="32"/>
      <c r="E29" s="33"/>
      <c r="F29" s="32"/>
      <c r="G29" s="33"/>
    </row>
    <row r="30" spans="2:7" ht="14.5" thickBot="1" x14ac:dyDescent="0.35">
      <c r="B30" s="67" t="s">
        <v>99</v>
      </c>
      <c r="C30" s="31"/>
      <c r="D30" s="32"/>
      <c r="E30" s="34"/>
      <c r="F30" s="32"/>
      <c r="G30" s="34"/>
    </row>
    <row r="31" spans="2:7" ht="14.5" thickBot="1" x14ac:dyDescent="0.35">
      <c r="B31" s="35"/>
      <c r="C31" s="36"/>
      <c r="D31" s="37"/>
      <c r="E31" s="38"/>
      <c r="F31" s="37"/>
      <c r="G31" s="38"/>
    </row>
    <row r="32" spans="2:7" ht="14.5" thickBot="1" x14ac:dyDescent="0.35">
      <c r="B32" s="167" t="s">
        <v>100</v>
      </c>
      <c r="C32" s="36"/>
      <c r="D32" s="37"/>
      <c r="E32" s="38"/>
      <c r="F32" s="37"/>
      <c r="G32" s="34"/>
    </row>
    <row r="33" spans="2:7" x14ac:dyDescent="0.3">
      <c r="B33" s="156"/>
      <c r="C33" s="157"/>
      <c r="D33" s="158"/>
      <c r="E33" s="159"/>
      <c r="F33" s="158"/>
      <c r="G33" s="379"/>
    </row>
    <row r="34" spans="2:7" x14ac:dyDescent="0.3">
      <c r="B34" s="6" t="s">
        <v>101</v>
      </c>
      <c r="C34" s="7">
        <v>12</v>
      </c>
      <c r="D34" s="23">
        <f>'Balanço MENSAL'!F34</f>
        <v>1000000</v>
      </c>
      <c r="E34" s="23">
        <f>'Balanço MENSAL'!I34</f>
        <v>1000000</v>
      </c>
      <c r="F34" s="23">
        <f>'Balanço MENSAL'!L34</f>
        <v>1000000</v>
      </c>
      <c r="G34" s="207">
        <f>'Balanço MENSAL'!O34</f>
        <v>1000000</v>
      </c>
    </row>
    <row r="35" spans="2:7" x14ac:dyDescent="0.3">
      <c r="B35" s="68" t="s">
        <v>102</v>
      </c>
      <c r="C35" s="22">
        <v>13</v>
      </c>
      <c r="D35" s="23">
        <f>'Balanço MENSAL'!F35</f>
        <v>0</v>
      </c>
      <c r="E35" s="23">
        <f>'Balanço MENSAL'!I35</f>
        <v>0</v>
      </c>
      <c r="F35" s="23">
        <f>'Balanço MENSAL'!L35</f>
        <v>0</v>
      </c>
      <c r="G35" s="207">
        <f>'Balanço MENSAL'!O35</f>
        <v>0</v>
      </c>
    </row>
    <row r="36" spans="2:7" x14ac:dyDescent="0.3">
      <c r="B36" s="21" t="s">
        <v>103</v>
      </c>
      <c r="C36" s="22">
        <v>14</v>
      </c>
      <c r="D36" s="23">
        <f>Balancete!C51+Balancete!C52</f>
        <v>56864756.659999996</v>
      </c>
      <c r="E36" s="23">
        <f>D36+D37</f>
        <v>136204966.12</v>
      </c>
      <c r="F36" s="23">
        <f t="shared" ref="F36:G36" si="3">E36+E37</f>
        <v>247017001.96000001</v>
      </c>
      <c r="G36" s="207">
        <f t="shared" si="3"/>
        <v>300097168.92000002</v>
      </c>
    </row>
    <row r="37" spans="2:7" x14ac:dyDescent="0.3">
      <c r="B37" s="6" t="s">
        <v>104</v>
      </c>
      <c r="C37" s="6" t="s">
        <v>23</v>
      </c>
      <c r="D37" s="23">
        <f>'D.R TRI'!D39</f>
        <v>79340209.460000008</v>
      </c>
      <c r="E37" s="23">
        <f>'D.R TRI'!E39</f>
        <v>110812035.84</v>
      </c>
      <c r="F37" s="23">
        <f>'D.R TRI'!F39</f>
        <v>53080166.959999993</v>
      </c>
      <c r="G37" s="207">
        <f>'D.R TRI'!G39</f>
        <v>-277023962.35000002</v>
      </c>
    </row>
    <row r="38" spans="2:7" ht="14.5" thickBot="1" x14ac:dyDescent="0.35">
      <c r="B38" s="43" t="s">
        <v>105</v>
      </c>
      <c r="C38" s="44"/>
      <c r="D38" s="69">
        <f>SUM(D$34:D$37)</f>
        <v>137204966.12</v>
      </c>
      <c r="E38" s="69">
        <f t="shared" ref="E38:G38" si="4">SUM(E$34:E$37)</f>
        <v>248017001.96000001</v>
      </c>
      <c r="F38" s="69">
        <f t="shared" si="4"/>
        <v>301097168.92000002</v>
      </c>
      <c r="G38" s="230">
        <f t="shared" si="4"/>
        <v>24073206.569999993</v>
      </c>
    </row>
    <row r="39" spans="2:7" ht="14.5" thickBot="1" x14ac:dyDescent="0.35">
      <c r="B39" s="167" t="s">
        <v>106</v>
      </c>
      <c r="C39" s="160"/>
      <c r="D39" s="161"/>
      <c r="E39" s="162"/>
      <c r="F39" s="161"/>
      <c r="G39" s="256"/>
    </row>
    <row r="40" spans="2:7" x14ac:dyDescent="0.3">
      <c r="B40" s="48"/>
      <c r="C40" s="9"/>
      <c r="D40" s="49"/>
      <c r="E40" s="10"/>
      <c r="F40" s="49"/>
      <c r="G40" s="206"/>
    </row>
    <row r="41" spans="2:7" x14ac:dyDescent="0.3">
      <c r="B41" s="6" t="s">
        <v>107</v>
      </c>
      <c r="C41" s="7">
        <v>15</v>
      </c>
      <c r="D41" s="23">
        <f>'Balanço MENSAL'!F41</f>
        <v>0</v>
      </c>
      <c r="E41" s="23">
        <f>'Balanço MENSAL'!I41</f>
        <v>0</v>
      </c>
      <c r="F41" s="23">
        <f>'Balanço MENSAL'!L41</f>
        <v>0</v>
      </c>
      <c r="G41" s="207">
        <f>'Balanço MENSAL'!O41</f>
        <v>0</v>
      </c>
    </row>
    <row r="42" spans="2:7" x14ac:dyDescent="0.3">
      <c r="B42" s="6" t="s">
        <v>108</v>
      </c>
      <c r="C42" s="7">
        <v>16</v>
      </c>
      <c r="D42" s="23">
        <f>'Balanço MENSAL'!F42</f>
        <v>0</v>
      </c>
      <c r="E42" s="23">
        <f>'Balanço MENSAL'!I42</f>
        <v>0</v>
      </c>
      <c r="F42" s="23">
        <f>'Balanço MENSAL'!L42</f>
        <v>0</v>
      </c>
      <c r="G42" s="207">
        <f>'Balanço MENSAL'!O42</f>
        <v>0</v>
      </c>
    </row>
    <row r="43" spans="2:7" x14ac:dyDescent="0.3">
      <c r="B43" s="6" t="s">
        <v>109</v>
      </c>
      <c r="C43" s="7">
        <v>17</v>
      </c>
      <c r="D43" s="23">
        <f>'Balanço MENSAL'!F43</f>
        <v>0</v>
      </c>
      <c r="E43" s="23">
        <f>'Balanço MENSAL'!I43</f>
        <v>0</v>
      </c>
      <c r="F43" s="23">
        <f>'Balanço MENSAL'!L43</f>
        <v>0</v>
      </c>
      <c r="G43" s="207">
        <f>'Balanço MENSAL'!O43</f>
        <v>0</v>
      </c>
    </row>
    <row r="44" spans="2:7" x14ac:dyDescent="0.3">
      <c r="B44" s="6" t="s">
        <v>110</v>
      </c>
      <c r="C44" s="7">
        <v>18</v>
      </c>
      <c r="D44" s="23">
        <f>'Balanço MENSAL'!F44</f>
        <v>0</v>
      </c>
      <c r="E44" s="23">
        <f>'Balanço MENSAL'!I44</f>
        <v>0</v>
      </c>
      <c r="F44" s="23">
        <f>'Balanço MENSAL'!L44</f>
        <v>0</v>
      </c>
      <c r="G44" s="207">
        <f>'Balanço MENSAL'!O44</f>
        <v>0</v>
      </c>
    </row>
    <row r="45" spans="2:7" x14ac:dyDescent="0.3">
      <c r="B45" s="6" t="s">
        <v>111</v>
      </c>
      <c r="C45" s="7">
        <v>19</v>
      </c>
      <c r="D45" s="23">
        <f>'Balanço MENSAL'!F45</f>
        <v>0</v>
      </c>
      <c r="E45" s="23">
        <f>'Balanço MENSAL'!I45</f>
        <v>0</v>
      </c>
      <c r="F45" s="23">
        <f>'Balanço MENSAL'!L45</f>
        <v>0</v>
      </c>
      <c r="G45" s="207">
        <f>'Balanço MENSAL'!O45</f>
        <v>0</v>
      </c>
    </row>
    <row r="46" spans="2:7" ht="14.5" thickBot="1" x14ac:dyDescent="0.35">
      <c r="B46" s="43" t="s">
        <v>105</v>
      </c>
      <c r="C46" s="9"/>
      <c r="D46" s="64">
        <f>SUM(D$41:D$45)</f>
        <v>0</v>
      </c>
      <c r="E46" s="64">
        <f t="shared" ref="E46:G46" si="5">SUM(E$41:E$45)</f>
        <v>0</v>
      </c>
      <c r="F46" s="64">
        <f t="shared" si="5"/>
        <v>0</v>
      </c>
      <c r="G46" s="230">
        <f t="shared" si="5"/>
        <v>0</v>
      </c>
    </row>
    <row r="47" spans="2:7" ht="14.5" thickBot="1" x14ac:dyDescent="0.35">
      <c r="B47" s="167" t="s">
        <v>112</v>
      </c>
      <c r="C47" s="160"/>
      <c r="D47" s="163"/>
      <c r="E47" s="164"/>
      <c r="F47" s="163"/>
      <c r="G47" s="33"/>
    </row>
    <row r="48" spans="2:7" x14ac:dyDescent="0.3">
      <c r="B48" s="6"/>
      <c r="C48" s="9"/>
      <c r="D48" s="49"/>
      <c r="E48" s="10"/>
      <c r="F48" s="49"/>
      <c r="G48" s="257"/>
    </row>
    <row r="49" spans="2:7" x14ac:dyDescent="0.3">
      <c r="B49" s="6" t="s">
        <v>113</v>
      </c>
      <c r="C49" s="7">
        <v>19</v>
      </c>
      <c r="D49" s="23">
        <f>'Balanço MENSAL'!F49</f>
        <v>240255816.21999997</v>
      </c>
      <c r="E49" s="23">
        <f>'Balanço MENSAL'!I49</f>
        <v>265554085.64000002</v>
      </c>
      <c r="F49" s="23">
        <f>'Balanço MENSAL'!L49</f>
        <v>271461876.04000002</v>
      </c>
      <c r="G49" s="207">
        <f>'Balanço MENSAL'!O49</f>
        <v>281776573.26999998</v>
      </c>
    </row>
    <row r="50" spans="2:7" x14ac:dyDescent="0.3">
      <c r="B50" s="6" t="s">
        <v>114</v>
      </c>
      <c r="C50" s="7">
        <v>20</v>
      </c>
      <c r="D50" s="23">
        <f>'Balanço MENSAL'!F50</f>
        <v>0</v>
      </c>
      <c r="E50" s="23">
        <f>'Balanço MENSAL'!I50</f>
        <v>0</v>
      </c>
      <c r="F50" s="23">
        <f>'Balanço MENSAL'!L50</f>
        <v>0</v>
      </c>
      <c r="G50" s="207">
        <f>'Balanço MENSAL'!O50</f>
        <v>0</v>
      </c>
    </row>
    <row r="51" spans="2:7" x14ac:dyDescent="0.3">
      <c r="B51" s="6" t="s">
        <v>115</v>
      </c>
      <c r="C51" s="7">
        <v>15</v>
      </c>
      <c r="D51" s="23">
        <f>'Balanço MENSAL'!F51</f>
        <v>0</v>
      </c>
      <c r="E51" s="23">
        <f>'Balanço MENSAL'!I51</f>
        <v>0</v>
      </c>
      <c r="F51" s="23">
        <f>'Balanço MENSAL'!L51</f>
        <v>0</v>
      </c>
      <c r="G51" s="207">
        <f>'Balanço MENSAL'!O51</f>
        <v>0</v>
      </c>
    </row>
    <row r="52" spans="2:7" x14ac:dyDescent="0.3">
      <c r="B52" s="6" t="s">
        <v>116</v>
      </c>
      <c r="C52" s="7">
        <v>21</v>
      </c>
      <c r="D52" s="23">
        <f>'Balanço MENSAL'!F52</f>
        <v>0</v>
      </c>
      <c r="E52" s="23">
        <f>'Balanço MENSAL'!I52</f>
        <v>0</v>
      </c>
      <c r="F52" s="23">
        <f>'Balanço MENSAL'!L52</f>
        <v>0</v>
      </c>
      <c r="G52" s="207">
        <f>'Balanço MENSAL'!O52</f>
        <v>0</v>
      </c>
    </row>
    <row r="53" spans="2:7" x14ac:dyDescent="0.3">
      <c r="B53" s="5"/>
      <c r="C53" s="9"/>
      <c r="D53" s="64">
        <f>SUM(D$49:D$52)</f>
        <v>240255816.21999997</v>
      </c>
      <c r="E53" s="64">
        <f t="shared" ref="E53:G53" si="6">SUM(E$49:E$52)</f>
        <v>265554085.64000002</v>
      </c>
      <c r="F53" s="64">
        <f t="shared" si="6"/>
        <v>271461876.04000002</v>
      </c>
      <c r="G53" s="210">
        <f t="shared" si="6"/>
        <v>281776573.26999998</v>
      </c>
    </row>
    <row r="54" spans="2:7" x14ac:dyDescent="0.3">
      <c r="B54" s="5"/>
      <c r="C54" s="5"/>
      <c r="D54" s="27"/>
      <c r="E54" s="20"/>
      <c r="F54" s="27"/>
      <c r="G54" s="258"/>
    </row>
    <row r="55" spans="2:7" x14ac:dyDescent="0.3">
      <c r="B55" s="13" t="s">
        <v>117</v>
      </c>
      <c r="C55" s="5"/>
      <c r="D55" s="64">
        <f>D$38+D$46+D$53</f>
        <v>377460782.33999997</v>
      </c>
      <c r="E55" s="64">
        <f t="shared" ref="E55:G55" si="7">E$38+E$46+E$53</f>
        <v>513571087.60000002</v>
      </c>
      <c r="F55" s="64">
        <f t="shared" si="7"/>
        <v>572559044.96000004</v>
      </c>
      <c r="G55" s="210">
        <f t="shared" si="7"/>
        <v>305849779.83999997</v>
      </c>
    </row>
    <row r="56" spans="2:7" ht="14.5" thickBot="1" x14ac:dyDescent="0.35">
      <c r="B56" s="70"/>
      <c r="C56" s="44"/>
      <c r="D56" s="52"/>
      <c r="E56" s="53"/>
      <c r="F56" s="52"/>
      <c r="G56" s="259"/>
    </row>
    <row r="57" spans="2:7" ht="14.5" customHeight="1" x14ac:dyDescent="0.3">
      <c r="B57" s="306" t="s">
        <v>118</v>
      </c>
      <c r="C57" s="306"/>
      <c r="D57" s="4"/>
      <c r="E57" s="12"/>
      <c r="F57" s="306" t="s">
        <v>119</v>
      </c>
      <c r="G57" s="304"/>
    </row>
  </sheetData>
  <sheetProtection password="CC6B" sheet="1" objects="1" scenarios="1"/>
  <mergeCells count="5">
    <mergeCell ref="B3:G3"/>
    <mergeCell ref="C5:G5"/>
    <mergeCell ref="F7:G7"/>
    <mergeCell ref="F57:G57"/>
    <mergeCell ref="B57:C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92D050"/>
  </sheetPr>
  <dimension ref="B3:G41"/>
  <sheetViews>
    <sheetView topLeftCell="B1" workbookViewId="0">
      <selection activeCell="G30" sqref="G30"/>
    </sheetView>
  </sheetViews>
  <sheetFormatPr defaultRowHeight="14" x14ac:dyDescent="0.3"/>
  <cols>
    <col min="1" max="1" width="0" style="72" hidden="1" customWidth="1"/>
    <col min="2" max="2" width="45.6328125" style="72" bestFit="1" customWidth="1"/>
    <col min="3" max="3" width="7" style="72" bestFit="1" customWidth="1"/>
    <col min="4" max="4" width="18.90625" style="72" customWidth="1"/>
    <col min="5" max="5" width="16.90625" style="72" customWidth="1"/>
    <col min="6" max="6" width="18.90625" style="72" customWidth="1"/>
    <col min="7" max="7" width="23.7265625" style="72" bestFit="1" customWidth="1"/>
    <col min="8" max="16384" width="8.7265625" style="72"/>
  </cols>
  <sheetData>
    <row r="3" spans="2:7" ht="20" x14ac:dyDescent="0.3">
      <c r="B3" s="302" t="s">
        <v>153</v>
      </c>
      <c r="C3" s="302"/>
      <c r="D3" s="302"/>
      <c r="E3" s="302"/>
      <c r="F3" s="302"/>
      <c r="G3" s="302"/>
    </row>
    <row r="4" spans="2:7" x14ac:dyDescent="0.3">
      <c r="B4" s="3"/>
      <c r="C4" s="3"/>
      <c r="D4" s="4"/>
      <c r="E4" s="3"/>
      <c r="F4" s="4"/>
      <c r="G4" s="3"/>
    </row>
    <row r="5" spans="2:7" ht="14.5" customHeight="1" x14ac:dyDescent="0.3">
      <c r="B5" s="4" t="s">
        <v>128</v>
      </c>
      <c r="C5" s="4"/>
      <c r="D5" s="77"/>
      <c r="E5" s="301"/>
      <c r="F5" s="301"/>
      <c r="G5" s="301"/>
    </row>
    <row r="6" spans="2:7" x14ac:dyDescent="0.3">
      <c r="B6" s="2" t="s">
        <v>129</v>
      </c>
      <c r="C6" s="4"/>
      <c r="D6" s="4"/>
      <c r="E6" s="4"/>
      <c r="F6" s="4"/>
      <c r="G6" s="12" t="s">
        <v>191</v>
      </c>
    </row>
    <row r="7" spans="2:7" ht="14.5" customHeight="1" x14ac:dyDescent="0.3">
      <c r="C7" s="3"/>
      <c r="D7" s="4"/>
      <c r="E7" s="3"/>
      <c r="F7" s="4"/>
      <c r="G7" s="12" t="s">
        <v>124</v>
      </c>
    </row>
    <row r="8" spans="2:7" ht="14.5" thickBot="1" x14ac:dyDescent="0.35">
      <c r="B8" s="4"/>
      <c r="C8" s="3"/>
      <c r="D8" s="4"/>
      <c r="E8" s="3"/>
      <c r="F8" s="4"/>
      <c r="G8" s="3"/>
    </row>
    <row r="9" spans="2:7" ht="16" thickBot="1" x14ac:dyDescent="0.35">
      <c r="B9" s="71" t="s">
        <v>83</v>
      </c>
      <c r="C9" s="71" t="s">
        <v>84</v>
      </c>
      <c r="D9" s="175" t="s">
        <v>120</v>
      </c>
      <c r="E9" s="175" t="s">
        <v>121</v>
      </c>
      <c r="F9" s="175" t="s">
        <v>122</v>
      </c>
      <c r="G9" s="344" t="s">
        <v>123</v>
      </c>
    </row>
    <row r="10" spans="2:7" x14ac:dyDescent="0.3">
      <c r="B10" s="176"/>
      <c r="C10" s="189"/>
      <c r="D10" s="191"/>
      <c r="E10" s="177"/>
      <c r="F10" s="177"/>
      <c r="G10" s="178"/>
    </row>
    <row r="11" spans="2:7" x14ac:dyDescent="0.3">
      <c r="B11" s="179" t="s">
        <v>136</v>
      </c>
      <c r="C11" s="7">
        <v>22</v>
      </c>
      <c r="D11" s="192">
        <f>SUM('D.R MENSAL'!D11:F11)</f>
        <v>55144346.540000007</v>
      </c>
      <c r="E11" s="192">
        <f>SUM('D.R MENSAL'!G11:I11)</f>
        <v>114754994.53</v>
      </c>
      <c r="F11" s="192">
        <f>SUM('D.R MENSAL'!J11:L11)</f>
        <v>71977165.709999993</v>
      </c>
      <c r="G11" s="192">
        <f>SUM('D.R MENSAL'!M11:O11)</f>
        <v>44299491.82</v>
      </c>
    </row>
    <row r="12" spans="2:7" x14ac:dyDescent="0.3">
      <c r="B12" s="181" t="s">
        <v>137</v>
      </c>
      <c r="C12" s="7">
        <v>23</v>
      </c>
      <c r="D12" s="192">
        <f>SUM('D.R MENSAL'!D12:F12)</f>
        <v>55368824.370000005</v>
      </c>
      <c r="E12" s="192">
        <f>SUM('D.R MENSAL'!G12:I12)</f>
        <v>20726350.969999999</v>
      </c>
      <c r="F12" s="192">
        <f>SUM('D.R MENSAL'!J12:L12)</f>
        <v>3977433.1700000004</v>
      </c>
      <c r="G12" s="192">
        <f>SUM('D.R MENSAL'!M12:O12)</f>
        <v>45369197.25</v>
      </c>
    </row>
    <row r="13" spans="2:7" x14ac:dyDescent="0.3">
      <c r="B13" s="213" t="s">
        <v>154</v>
      </c>
      <c r="C13" s="7"/>
      <c r="D13" s="212">
        <f>D11+D12</f>
        <v>110513170.91000001</v>
      </c>
      <c r="E13" s="212">
        <f t="shared" ref="E13:G13" si="0">E11+E12</f>
        <v>135481345.5</v>
      </c>
      <c r="F13" s="212">
        <f t="shared" si="0"/>
        <v>75954598.879999995</v>
      </c>
      <c r="G13" s="212">
        <f t="shared" si="0"/>
        <v>89668689.069999993</v>
      </c>
    </row>
    <row r="14" spans="2:7" ht="14.5" thickBot="1" x14ac:dyDescent="0.35">
      <c r="B14" s="179" t="s">
        <v>131</v>
      </c>
      <c r="C14" s="7">
        <v>24</v>
      </c>
      <c r="D14" s="192">
        <f>SUM('D.R MENSAL'!D14:F14)</f>
        <v>0</v>
      </c>
      <c r="E14" s="192">
        <f>SUM('D.R MENSAL'!G14:I14)</f>
        <v>0</v>
      </c>
      <c r="F14" s="192">
        <f>SUM('D.R MENSAL'!J14:L14)</f>
        <v>0</v>
      </c>
      <c r="G14" s="192">
        <f>SUM('D.R MENSAL'!M14:O14)</f>
        <v>329902536.41000003</v>
      </c>
    </row>
    <row r="15" spans="2:7" ht="14.5" thickBot="1" x14ac:dyDescent="0.35">
      <c r="B15" s="182" t="s">
        <v>132</v>
      </c>
      <c r="C15" s="9"/>
      <c r="D15" s="195">
        <f>D13-D14</f>
        <v>110513170.91000001</v>
      </c>
      <c r="E15" s="195">
        <f t="shared" ref="E15:G15" si="1">E13-E14</f>
        <v>135481345.5</v>
      </c>
      <c r="F15" s="195">
        <f t="shared" si="1"/>
        <v>75954598.879999995</v>
      </c>
      <c r="G15" s="16">
        <f t="shared" si="1"/>
        <v>-240233847.34000003</v>
      </c>
    </row>
    <row r="16" spans="2:7" x14ac:dyDescent="0.3">
      <c r="B16" s="19"/>
      <c r="C16" s="176"/>
      <c r="D16" s="196"/>
      <c r="E16" s="205"/>
      <c r="F16" s="178"/>
      <c r="G16" s="183"/>
    </row>
    <row r="17" spans="2:7" x14ac:dyDescent="0.3">
      <c r="B17" s="181" t="s">
        <v>138</v>
      </c>
      <c r="C17" s="197" t="s">
        <v>23</v>
      </c>
      <c r="D17" s="192">
        <f>SUM('D.R MENSAL'!D17:F17)</f>
        <v>0</v>
      </c>
      <c r="E17" s="192">
        <f>SUM('D.R MENSAL'!G17:I17)</f>
        <v>0</v>
      </c>
      <c r="F17" s="192">
        <f>SUM('D.R MENSAL'!J17:L17)</f>
        <v>0</v>
      </c>
      <c r="G17" s="192">
        <f>SUM('D.R MENSAL'!M17:O17)</f>
        <v>0</v>
      </c>
    </row>
    <row r="18" spans="2:7" x14ac:dyDescent="0.3">
      <c r="B18" s="179" t="s">
        <v>133</v>
      </c>
      <c r="C18" s="198"/>
      <c r="D18" s="192">
        <f>SUM('D.R MENSAL'!D18:F18)</f>
        <v>0</v>
      </c>
      <c r="E18" s="192">
        <f>SUM('D.R MENSAL'!G18:I18)</f>
        <v>0</v>
      </c>
      <c r="F18" s="192">
        <f>SUM('D.R MENSAL'!J18:L18)</f>
        <v>0</v>
      </c>
      <c r="G18" s="192">
        <f>SUM('D.R MENSAL'!M18:O18)</f>
        <v>0</v>
      </c>
    </row>
    <row r="19" spans="2:7" x14ac:dyDescent="0.3">
      <c r="B19" s="179" t="s">
        <v>134</v>
      </c>
      <c r="C19" s="198"/>
      <c r="D19" s="192">
        <f>SUM('D.R MENSAL'!D19:F19)</f>
        <v>15518753.07</v>
      </c>
      <c r="E19" s="192">
        <f>SUM('D.R MENSAL'!G19:I19)</f>
        <v>12877013.879999999</v>
      </c>
      <c r="F19" s="192">
        <f>SUM('D.R MENSAL'!J19:L19)</f>
        <v>15907585.870000001</v>
      </c>
      <c r="G19" s="192">
        <f>SUM('D.R MENSAL'!M19:O19)</f>
        <v>22682127.43</v>
      </c>
    </row>
    <row r="20" spans="2:7" ht="14.5" thickBot="1" x14ac:dyDescent="0.35">
      <c r="B20" s="179" t="s">
        <v>139</v>
      </c>
      <c r="C20" s="198"/>
      <c r="D20" s="192">
        <f>SUM('D.R MENSAL'!D20:F20)</f>
        <v>13002342.120000001</v>
      </c>
      <c r="E20" s="192">
        <f>SUM('D.R MENSAL'!G20:I20)</f>
        <v>11159263.41</v>
      </c>
      <c r="F20" s="192">
        <f>SUM('D.R MENSAL'!J20:L20)</f>
        <v>6893595.4399999995</v>
      </c>
      <c r="G20" s="192">
        <f>SUM('D.R MENSAL'!M20:O20)</f>
        <v>11226231.68</v>
      </c>
    </row>
    <row r="21" spans="2:7" ht="14.5" thickBot="1" x14ac:dyDescent="0.35">
      <c r="B21" s="185" t="s">
        <v>148</v>
      </c>
      <c r="C21" s="197" t="s">
        <v>23</v>
      </c>
      <c r="D21" s="15">
        <f>D15-SUM(D17:D20)</f>
        <v>81992075.720000014</v>
      </c>
      <c r="E21" s="15">
        <f t="shared" ref="E21:G21" si="2">E15-SUM(E17:E20)</f>
        <v>111445068.21000001</v>
      </c>
      <c r="F21" s="15">
        <f t="shared" si="2"/>
        <v>53153417.569999993</v>
      </c>
      <c r="G21" s="16">
        <f t="shared" si="2"/>
        <v>-274142206.45000005</v>
      </c>
    </row>
    <row r="22" spans="2:7" x14ac:dyDescent="0.3">
      <c r="B22" s="19"/>
      <c r="C22" s="19"/>
      <c r="D22" s="25"/>
      <c r="E22" s="208"/>
      <c r="F22" s="14"/>
      <c r="G22" s="208"/>
    </row>
    <row r="23" spans="2:7" ht="14.5" thickBot="1" x14ac:dyDescent="0.35">
      <c r="B23" s="179" t="s">
        <v>140</v>
      </c>
      <c r="C23" s="199"/>
      <c r="D23" s="192">
        <f>SUM('D.R MENSAL'!D23:F23)</f>
        <v>0</v>
      </c>
      <c r="E23" s="192">
        <f>SUM('D.R MENSAL'!E23:G23)</f>
        <v>0</v>
      </c>
      <c r="F23" s="202">
        <f>SUM('D.R MENSAL'!F23:H23)</f>
        <v>0</v>
      </c>
      <c r="G23" s="192">
        <f>SUM('D.R MENSAL'!M23:O23)</f>
        <v>2580961.46</v>
      </c>
    </row>
    <row r="24" spans="2:7" ht="14.5" thickBot="1" x14ac:dyDescent="0.35">
      <c r="B24" s="185" t="s">
        <v>149</v>
      </c>
      <c r="C24" s="19"/>
      <c r="D24" s="250">
        <f>D21-D23</f>
        <v>81992075.720000014</v>
      </c>
      <c r="E24" s="250">
        <f t="shared" ref="E24:G24" si="3">E21-E23</f>
        <v>111445068.21000001</v>
      </c>
      <c r="F24" s="250">
        <f t="shared" si="3"/>
        <v>53153417.569999993</v>
      </c>
      <c r="G24" s="255">
        <f t="shared" si="3"/>
        <v>-276723167.91000003</v>
      </c>
    </row>
    <row r="25" spans="2:7" x14ac:dyDescent="0.3">
      <c r="B25" s="19"/>
      <c r="C25" s="19"/>
      <c r="D25" s="25"/>
      <c r="E25" s="208"/>
      <c r="F25" s="14"/>
      <c r="G25" s="208"/>
    </row>
    <row r="26" spans="2:7" x14ac:dyDescent="0.3">
      <c r="B26" s="179" t="s">
        <v>141</v>
      </c>
      <c r="C26" s="198">
        <v>31</v>
      </c>
      <c r="D26" s="192">
        <f>SUM('D.R MENSAL'!D26:F26)</f>
        <v>-2651683.6900000004</v>
      </c>
      <c r="E26" s="192">
        <f>SUM('D.R MENSAL'!G26:I26)</f>
        <v>-624259.19000000006</v>
      </c>
      <c r="F26" s="192">
        <f>SUM('D.R MENSAL'!J26:L26)</f>
        <v>-44006.820000000007</v>
      </c>
      <c r="G26" s="192">
        <f>SUM('D.R MENSAL'!M26:O26)</f>
        <v>67168.469999999987</v>
      </c>
    </row>
    <row r="27" spans="2:7" x14ac:dyDescent="0.3">
      <c r="B27" s="181" t="s">
        <v>143</v>
      </c>
      <c r="C27" s="198">
        <v>32</v>
      </c>
      <c r="D27" s="192">
        <f>SUM('D.R MENSAL'!D27:F27)</f>
        <v>0</v>
      </c>
      <c r="E27" s="192">
        <f>SUM('D.R MENSAL'!G27:I27)</f>
        <v>0</v>
      </c>
      <c r="F27" s="192">
        <f>SUM('D.R MENSAL'!J27:L27)</f>
        <v>0</v>
      </c>
      <c r="G27" s="192">
        <f>SUM('D.R MENSAL'!M27:O27)</f>
        <v>0</v>
      </c>
    </row>
    <row r="28" spans="2:7" x14ac:dyDescent="0.3">
      <c r="B28" s="179" t="s">
        <v>142</v>
      </c>
      <c r="C28" s="198">
        <v>33</v>
      </c>
      <c r="D28" s="192">
        <f>SUM('D.R MENSAL'!D28:F28)</f>
        <v>-182.56999999999994</v>
      </c>
      <c r="E28" s="192">
        <f>SUM('D.R MENSAL'!G28:I28)</f>
        <v>-8773.18</v>
      </c>
      <c r="F28" s="192">
        <f>SUM('D.R MENSAL'!J28:L28)</f>
        <v>-29243.79</v>
      </c>
      <c r="G28" s="192">
        <f>SUM('D.R MENSAL'!M28:O28)</f>
        <v>-367962.91</v>
      </c>
    </row>
    <row r="29" spans="2:7" ht="14.5" thickBot="1" x14ac:dyDescent="0.35">
      <c r="B29" s="19"/>
      <c r="C29" s="19"/>
      <c r="D29" s="25"/>
      <c r="E29" s="208"/>
      <c r="F29" s="14"/>
      <c r="G29" s="208"/>
    </row>
    <row r="30" spans="2:7" ht="14.5" thickBot="1" x14ac:dyDescent="0.35">
      <c r="B30" s="186" t="s">
        <v>144</v>
      </c>
      <c r="C30" s="199"/>
      <c r="D30" s="15">
        <f>SUM(D26:D28)+D24</f>
        <v>79340209.460000008</v>
      </c>
      <c r="E30" s="15">
        <f t="shared" ref="E30:G30" si="4">SUM(E26:E28)+E24</f>
        <v>110812035.84</v>
      </c>
      <c r="F30" s="15">
        <f t="shared" si="4"/>
        <v>53080166.959999993</v>
      </c>
      <c r="G30" s="16">
        <f t="shared" si="4"/>
        <v>-277023962.35000002</v>
      </c>
    </row>
    <row r="31" spans="2:7" x14ac:dyDescent="0.3">
      <c r="B31" s="179"/>
      <c r="C31" s="199"/>
      <c r="D31" s="201" t="s">
        <v>23</v>
      </c>
      <c r="E31" s="206" t="s">
        <v>23</v>
      </c>
      <c r="F31" s="190" t="s">
        <v>23</v>
      </c>
      <c r="G31" s="190" t="s">
        <v>23</v>
      </c>
    </row>
    <row r="32" spans="2:7" x14ac:dyDescent="0.3">
      <c r="B32" s="181" t="s">
        <v>150</v>
      </c>
      <c r="C32" s="198">
        <v>35</v>
      </c>
      <c r="D32" s="202">
        <v>0</v>
      </c>
      <c r="E32" s="207">
        <v>0</v>
      </c>
      <c r="F32" s="184">
        <v>0</v>
      </c>
      <c r="G32" s="184">
        <v>0</v>
      </c>
    </row>
    <row r="33" spans="2:7" ht="14.5" thickBot="1" x14ac:dyDescent="0.35">
      <c r="B33" s="19"/>
      <c r="C33" s="19"/>
      <c r="D33" s="25"/>
      <c r="E33" s="208"/>
      <c r="F33" s="183"/>
      <c r="G33" s="183"/>
    </row>
    <row r="34" spans="2:7" ht="14.5" thickBot="1" x14ac:dyDescent="0.35">
      <c r="B34" s="186" t="s">
        <v>135</v>
      </c>
      <c r="C34" s="199"/>
      <c r="D34" s="15">
        <f>D30-D32</f>
        <v>79340209.460000008</v>
      </c>
      <c r="E34" s="15">
        <f t="shared" ref="E34:G34" si="5">E30-E32</f>
        <v>110812035.84</v>
      </c>
      <c r="F34" s="15">
        <f t="shared" si="5"/>
        <v>53080166.959999993</v>
      </c>
      <c r="G34" s="16">
        <f t="shared" si="5"/>
        <v>-277023962.35000002</v>
      </c>
    </row>
    <row r="35" spans="2:7" x14ac:dyDescent="0.3">
      <c r="B35" s="19"/>
      <c r="C35" s="199"/>
      <c r="D35" s="201"/>
      <c r="E35" s="208"/>
      <c r="F35" s="190"/>
      <c r="G35" s="208"/>
    </row>
    <row r="36" spans="2:7" x14ac:dyDescent="0.3">
      <c r="B36" s="181" t="s">
        <v>145</v>
      </c>
      <c r="C36" s="197" t="s">
        <v>130</v>
      </c>
      <c r="D36" s="202">
        <v>0</v>
      </c>
      <c r="E36" s="207">
        <v>0</v>
      </c>
      <c r="F36" s="184">
        <v>0</v>
      </c>
      <c r="G36" s="207">
        <v>0</v>
      </c>
    </row>
    <row r="37" spans="2:7" x14ac:dyDescent="0.3">
      <c r="B37" s="181" t="s">
        <v>146</v>
      </c>
      <c r="C37" s="198">
        <v>35</v>
      </c>
      <c r="D37" s="202">
        <v>0</v>
      </c>
      <c r="E37" s="207">
        <v>0</v>
      </c>
      <c r="F37" s="184">
        <v>0</v>
      </c>
      <c r="G37" s="207">
        <v>0</v>
      </c>
    </row>
    <row r="38" spans="2:7" ht="14.5" thickBot="1" x14ac:dyDescent="0.35">
      <c r="B38" s="19"/>
      <c r="C38" s="199"/>
      <c r="D38" s="203"/>
      <c r="E38" s="209"/>
      <c r="F38" s="188"/>
      <c r="G38" s="209"/>
    </row>
    <row r="39" spans="2:7" x14ac:dyDescent="0.3">
      <c r="B39" s="193" t="s">
        <v>147</v>
      </c>
      <c r="C39" s="199"/>
      <c r="D39" s="61">
        <f>D34</f>
        <v>79340209.460000008</v>
      </c>
      <c r="E39" s="61">
        <f t="shared" ref="E39:G39" si="6">E34</f>
        <v>110812035.84</v>
      </c>
      <c r="F39" s="61">
        <f t="shared" si="6"/>
        <v>53080166.959999993</v>
      </c>
      <c r="G39" s="210">
        <f t="shared" si="6"/>
        <v>-277023962.35000002</v>
      </c>
    </row>
    <row r="40" spans="2:7" ht="15" thickBot="1" x14ac:dyDescent="0.35">
      <c r="B40" s="194" t="s">
        <v>23</v>
      </c>
      <c r="C40" s="200"/>
      <c r="D40" s="204" t="s">
        <v>23</v>
      </c>
      <c r="E40" s="211" t="s">
        <v>23</v>
      </c>
      <c r="F40" s="187" t="s">
        <v>23</v>
      </c>
      <c r="G40" s="211" t="s">
        <v>23</v>
      </c>
    </row>
    <row r="41" spans="2:7" ht="14.5" customHeight="1" x14ac:dyDescent="0.3">
      <c r="B41" s="304" t="s">
        <v>118</v>
      </c>
      <c r="C41" s="304"/>
      <c r="D41" s="3"/>
      <c r="E41" s="12"/>
      <c r="F41" s="303" t="s">
        <v>119</v>
      </c>
      <c r="G41" s="303"/>
    </row>
  </sheetData>
  <sheetProtection password="CC6B" sheet="1" objects="1" scenarios="1"/>
  <mergeCells count="4">
    <mergeCell ref="B3:G3"/>
    <mergeCell ref="B41:C41"/>
    <mergeCell ref="F41:G41"/>
    <mergeCell ref="E5:G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/>
  <dimension ref="B3:F48"/>
  <sheetViews>
    <sheetView topLeftCell="B1" workbookViewId="0">
      <selection activeCell="K18" sqref="K18"/>
    </sheetView>
  </sheetViews>
  <sheetFormatPr defaultRowHeight="14" x14ac:dyDescent="0.3"/>
  <cols>
    <col min="1" max="1" width="0" style="72" hidden="1" customWidth="1"/>
    <col min="2" max="2" width="37" style="72" bestFit="1" customWidth="1"/>
    <col min="3" max="4" width="19" style="72" bestFit="1" customWidth="1"/>
    <col min="5" max="6" width="19" style="72" customWidth="1"/>
    <col min="7" max="16384" width="8.7265625" style="72"/>
  </cols>
  <sheetData>
    <row r="3" spans="2:6" ht="25.5" thickBot="1" x14ac:dyDescent="0.55000000000000004">
      <c r="B3" s="80">
        <v>1</v>
      </c>
      <c r="C3" s="81"/>
      <c r="D3" s="82"/>
      <c r="E3" s="82"/>
      <c r="F3" s="82"/>
    </row>
    <row r="4" spans="2:6" ht="16" thickBot="1" x14ac:dyDescent="0.4">
      <c r="B4" s="264" t="s">
        <v>3</v>
      </c>
      <c r="C4" s="265" t="s">
        <v>120</v>
      </c>
      <c r="D4" s="265" t="s">
        <v>121</v>
      </c>
      <c r="E4" s="265" t="s">
        <v>122</v>
      </c>
      <c r="F4" s="266" t="s">
        <v>123</v>
      </c>
    </row>
    <row r="5" spans="2:6" ht="15.5" x14ac:dyDescent="0.35">
      <c r="B5" s="380" t="s">
        <v>1</v>
      </c>
      <c r="C5" s="383">
        <f>'Balanço TRI'!D17</f>
        <v>4889099.74</v>
      </c>
      <c r="D5" s="384">
        <f>'Balanço TRI'!E17</f>
        <v>5219446.209999999</v>
      </c>
      <c r="E5" s="384">
        <f>'Balanço TRI'!F17</f>
        <v>6888857.1699999999</v>
      </c>
      <c r="F5" s="385">
        <f>'Balanço TRI'!G17</f>
        <v>6474167.6399999997</v>
      </c>
    </row>
    <row r="6" spans="2:6" ht="15.5" x14ac:dyDescent="0.35">
      <c r="B6" s="381" t="s">
        <v>2</v>
      </c>
      <c r="C6" s="386">
        <f>'Balanço TRI'!D55</f>
        <v>377460782.33999997</v>
      </c>
      <c r="D6" s="85">
        <f>'Balanço TRI'!E55</f>
        <v>513571087.60000002</v>
      </c>
      <c r="E6" s="85">
        <f>'Balanço TRI'!F55</f>
        <v>572559044.96000004</v>
      </c>
      <c r="F6" s="387">
        <f>'Balanço TRI'!G55</f>
        <v>305849779.83999997</v>
      </c>
    </row>
    <row r="7" spans="2:6" ht="15.5" x14ac:dyDescent="0.35">
      <c r="B7" s="381" t="s">
        <v>4</v>
      </c>
      <c r="C7" s="386">
        <f>'D.R TRI'!D13</f>
        <v>110513170.91000001</v>
      </c>
      <c r="D7" s="85">
        <f>'D.R TRI'!E13</f>
        <v>135481345.5</v>
      </c>
      <c r="E7" s="85">
        <f>'D.R TRI'!F13</f>
        <v>75954598.879999995</v>
      </c>
      <c r="F7" s="387">
        <f>'D.R TRI'!G13</f>
        <v>89668689.069999993</v>
      </c>
    </row>
    <row r="8" spans="2:6" ht="16" thickBot="1" x14ac:dyDescent="0.4">
      <c r="B8" s="382" t="s">
        <v>5</v>
      </c>
      <c r="C8" s="388">
        <f>'D.R TRI'!D39</f>
        <v>79340209.460000008</v>
      </c>
      <c r="D8" s="86">
        <f>'D.R TRI'!E39</f>
        <v>110812035.84</v>
      </c>
      <c r="E8" s="86">
        <f>'D.R TRI'!F39</f>
        <v>53080166.959999993</v>
      </c>
      <c r="F8" s="389">
        <f>'D.R TRI'!G39</f>
        <v>-277023962.35000002</v>
      </c>
    </row>
    <row r="9" spans="2:6" ht="16" thickBot="1" x14ac:dyDescent="0.4">
      <c r="B9" s="293" t="s">
        <v>181</v>
      </c>
      <c r="C9" s="295">
        <f>'Balanço TRI'!D22</f>
        <v>83492073.849999994</v>
      </c>
      <c r="D9" s="296">
        <f>'Balanço TRI'!E22</f>
        <v>165509163.03</v>
      </c>
      <c r="E9" s="296">
        <f>'Balanço TRI'!F22</f>
        <v>94885524.140000001</v>
      </c>
      <c r="F9" s="390">
        <f>'Balanço TRI'!G22</f>
        <v>100945221.19</v>
      </c>
    </row>
    <row r="12" spans="2:6" ht="25.5" thickBot="1" x14ac:dyDescent="0.55000000000000004">
      <c r="B12" s="80">
        <v>2</v>
      </c>
      <c r="C12" s="87"/>
      <c r="D12" s="88"/>
      <c r="E12" s="88"/>
      <c r="F12" s="88"/>
    </row>
    <row r="13" spans="2:6" ht="16" thickBot="1" x14ac:dyDescent="0.4">
      <c r="B13" s="89" t="s">
        <v>0</v>
      </c>
      <c r="C13" s="83" t="s">
        <v>120</v>
      </c>
      <c r="D13" s="83" t="s">
        <v>121</v>
      </c>
      <c r="E13" s="83" t="s">
        <v>122</v>
      </c>
      <c r="F13" s="83" t="s">
        <v>123</v>
      </c>
    </row>
    <row r="14" spans="2:6" ht="15.5" x14ac:dyDescent="0.35">
      <c r="B14" s="391" t="s">
        <v>6</v>
      </c>
      <c r="C14" s="394">
        <f>'Balanço TRI'!D38/'Balanço TRI'!D26</f>
        <v>0.36349462656603043</v>
      </c>
      <c r="D14" s="395">
        <f>'Balanço TRI'!E38/'Balanço TRI'!E26</f>
        <v>0.48292633278680702</v>
      </c>
      <c r="E14" s="395">
        <f>'Balanço TRI'!F38/'Balanço TRI'!F26</f>
        <v>0.52587968275138375</v>
      </c>
      <c r="F14" s="396">
        <f>'Balanço TRI'!G38/'Balanço TRI'!G26</f>
        <v>7.8709249300730172E-2</v>
      </c>
    </row>
    <row r="15" spans="2:6" ht="15.5" x14ac:dyDescent="0.35">
      <c r="B15" s="381" t="s">
        <v>7</v>
      </c>
      <c r="C15" s="397">
        <f>'Balanço TRI'!D38/('Balanço TRI'!D46+'Balanço TRI'!D53)</f>
        <v>0.57107864558151933</v>
      </c>
      <c r="D15" s="93">
        <f>'Balanço TRI'!E38/('Balanço TRI'!E46+'Balanço TRI'!E53)</f>
        <v>0.93396040720768925</v>
      </c>
      <c r="E15" s="93">
        <f>'Balanço TRI'!F38/('Balanço TRI'!F46+'Balanço TRI'!F53)</f>
        <v>1.1091692627794012</v>
      </c>
      <c r="F15" s="398">
        <f>'Balanço TRI'!G38/('Balanço TRI'!G46+'Balanço TRI'!G53)</f>
        <v>8.5433669274318641E-2</v>
      </c>
    </row>
    <row r="16" spans="2:6" ht="15.5" x14ac:dyDescent="0.35">
      <c r="B16" s="392" t="s">
        <v>8</v>
      </c>
      <c r="C16" s="399">
        <f>('Balanço TRI'!D46+'Balanço TRI'!D53)/'Balanço TRI'!D26</f>
        <v>0.6365053734339694</v>
      </c>
      <c r="D16" s="91">
        <f>('Balanço TRI'!E46+'Balanço TRI'!E53)/'Balanço TRI'!E26</f>
        <v>0.51707366721319303</v>
      </c>
      <c r="E16" s="91">
        <f>('Balanço TRI'!F46+'Balanço TRI'!F53)/'Balanço TRI'!F26</f>
        <v>0.47412031724861647</v>
      </c>
      <c r="F16" s="400">
        <f>('Balanço TRI'!G46+'Balanço TRI'!G53)/'Balanço TRI'!G26</f>
        <v>0.9212907506992698</v>
      </c>
    </row>
    <row r="17" spans="2:6" ht="16" thickBot="1" x14ac:dyDescent="0.4">
      <c r="B17" s="393" t="s">
        <v>9</v>
      </c>
      <c r="C17" s="401">
        <f>'Balanço TRI'!D53/('Balanço TRI'!D46+'Balanço TRI'!D53)</f>
        <v>1</v>
      </c>
      <c r="D17" s="96">
        <f>'Balanço TRI'!E53/('Balanço TRI'!E46+'Balanço TRI'!E53)</f>
        <v>1</v>
      </c>
      <c r="E17" s="96">
        <f>'Balanço TRI'!F53/('Balanço TRI'!F46+'Balanço TRI'!F53)</f>
        <v>1</v>
      </c>
      <c r="F17" s="402">
        <f>'Balanço TRI'!G53/('Balanço TRI'!G46+'Balanço TRI'!G53)</f>
        <v>1</v>
      </c>
    </row>
    <row r="20" spans="2:6" ht="25.5" thickBot="1" x14ac:dyDescent="0.55000000000000004">
      <c r="B20" s="80">
        <v>3</v>
      </c>
      <c r="C20" s="87"/>
      <c r="D20" s="88"/>
      <c r="E20" s="88"/>
      <c r="F20" s="88"/>
    </row>
    <row r="21" spans="2:6" ht="16" thickBot="1" x14ac:dyDescent="0.4">
      <c r="B21" s="97" t="s">
        <v>10</v>
      </c>
      <c r="C21" s="406" t="s">
        <v>120</v>
      </c>
      <c r="D21" s="406" t="s">
        <v>121</v>
      </c>
      <c r="E21" s="412" t="s">
        <v>122</v>
      </c>
      <c r="F21" s="413" t="s">
        <v>123</v>
      </c>
    </row>
    <row r="22" spans="2:6" ht="15.5" x14ac:dyDescent="0.35">
      <c r="B22" s="403" t="s">
        <v>18</v>
      </c>
      <c r="C22" s="407">
        <f>'Balanço TRI'!D24/'Balanço TRI'!D53</f>
        <v>1.5507290872777026</v>
      </c>
      <c r="D22" s="408">
        <f>'Balanço TRI'!E24/'Balanço TRI'!E53</f>
        <v>1.9143054800487986</v>
      </c>
      <c r="E22" s="408">
        <f>'Balanço TRI'!F24/'Balanço TRI'!F53</f>
        <v>2.0837923764538053</v>
      </c>
      <c r="F22" s="409">
        <f>'Balanço TRI'!G24/'Balanço TRI'!G53</f>
        <v>1.0624574240710085</v>
      </c>
    </row>
    <row r="23" spans="2:6" ht="15.5" x14ac:dyDescent="0.35">
      <c r="B23" s="404" t="s">
        <v>19</v>
      </c>
      <c r="C23" s="397">
        <f>('Balanço TRI'!D24-'Balanço TRI'!D20)/'Balanço TRI'!D53</f>
        <v>1.0325537950883079</v>
      </c>
      <c r="D23" s="93">
        <f>('Balanço TRI'!E24-'Balanço TRI'!E20)/'Balanço TRI'!E53</f>
        <v>1.2755002254010888</v>
      </c>
      <c r="E23" s="93">
        <f>('Balanço TRI'!F24-'Balanço TRI'!F20)/'Balanço TRI'!F53</f>
        <v>1.0329725194954487</v>
      </c>
      <c r="F23" s="398">
        <f>('Balanço TRI'!G24-'Balanço TRI'!G20)/'Balanço TRI'!G53</f>
        <v>1.0624574240710085</v>
      </c>
    </row>
    <row r="24" spans="2:6" ht="16" thickBot="1" x14ac:dyDescent="0.4">
      <c r="B24" s="405" t="s">
        <v>20</v>
      </c>
      <c r="C24" s="410">
        <f>'Balanço TRI'!D22/'Balanço TRI'!D53</f>
        <v>0.34751322637511967</v>
      </c>
      <c r="D24" s="101">
        <f>'Balanço TRI'!E22/'Balanço TRI'!E53</f>
        <v>0.62325971235243383</v>
      </c>
      <c r="E24" s="101">
        <f>'Balanço TRI'!F22/'Balanço TRI'!F53</f>
        <v>0.3495353584236579</v>
      </c>
      <c r="F24" s="411">
        <f>'Balanço TRI'!G22/'Balanço TRI'!G53</f>
        <v>0.35824561289299833</v>
      </c>
    </row>
    <row r="27" spans="2:6" ht="25.5" thickBot="1" x14ac:dyDescent="0.55000000000000004">
      <c r="B27" s="80">
        <v>4</v>
      </c>
      <c r="C27" s="87"/>
      <c r="D27" s="88"/>
      <c r="E27" s="88"/>
      <c r="F27" s="88"/>
    </row>
    <row r="28" spans="2:6" ht="15.5" x14ac:dyDescent="0.35">
      <c r="B28" s="98" t="s">
        <v>10</v>
      </c>
      <c r="C28" s="99" t="s">
        <v>120</v>
      </c>
      <c r="D28" s="99" t="s">
        <v>121</v>
      </c>
      <c r="E28" s="99" t="s">
        <v>122</v>
      </c>
      <c r="F28" s="99" t="s">
        <v>123</v>
      </c>
    </row>
    <row r="29" spans="2:6" ht="15.5" x14ac:dyDescent="0.35">
      <c r="B29" s="94" t="s">
        <v>29</v>
      </c>
      <c r="C29" s="91">
        <f>'Balanço TRI'!D37/'Balanço TRI'!D38</f>
        <v>0.57826047922061907</v>
      </c>
      <c r="D29" s="91">
        <f>'Balanço TRI'!E37/'Balanço TRI'!E38</f>
        <v>0.44679209475272863</v>
      </c>
      <c r="E29" s="91">
        <f>'Balanço TRI'!F37/'Balanço TRI'!F38</f>
        <v>0.17628915990938168</v>
      </c>
      <c r="F29" s="91">
        <f>'Balanço TRI'!G37/'Balanço TRI'!G38</f>
        <v>-11.507563877893485</v>
      </c>
    </row>
    <row r="30" spans="2:6" ht="15.5" x14ac:dyDescent="0.35">
      <c r="B30" s="92" t="s">
        <v>16</v>
      </c>
      <c r="C30" s="93">
        <f>'D.R TRI'!D24/'Balanço TRI'!D26</f>
        <v>0.21722011810526362</v>
      </c>
      <c r="D30" s="93">
        <f>'D.R TRI'!E24/'Balanço TRI'!E26</f>
        <v>0.21700027688630347</v>
      </c>
      <c r="E30" s="93">
        <f>'D.R TRI'!F24/'Balanço TRI'!F26</f>
        <v>9.2834822954745905E-2</v>
      </c>
      <c r="F30" s="93">
        <f>'D.R TRI'!G24/'Balanço TRI'!G26</f>
        <v>-0.90476824294188796</v>
      </c>
    </row>
    <row r="31" spans="2:6" ht="16" thickBot="1" x14ac:dyDescent="0.4">
      <c r="B31" s="100" t="s">
        <v>17</v>
      </c>
      <c r="C31" s="101">
        <f>'D.R TRI'!D24/'D.R TRI'!D13</f>
        <v>0.74192130263616196</v>
      </c>
      <c r="D31" s="101">
        <f>'D.R TRI'!E24/'D.R TRI'!E13</f>
        <v>0.822586074848216</v>
      </c>
      <c r="E31" s="101">
        <f>'D.R TRI'!F24/'D.R TRI'!F13</f>
        <v>0.69980512508500781</v>
      </c>
      <c r="F31" s="101">
        <f>'D.R TRI'!G24/'D.R TRI'!G13</f>
        <v>-3.0860623789645869</v>
      </c>
    </row>
    <row r="34" spans="2:6" ht="25.5" thickBot="1" x14ac:dyDescent="0.55000000000000004">
      <c r="B34" s="80">
        <v>5</v>
      </c>
      <c r="C34" s="87"/>
      <c r="D34" s="102"/>
      <c r="E34" s="102"/>
      <c r="F34" s="102"/>
    </row>
    <row r="35" spans="2:6" ht="15.5" x14ac:dyDescent="0.35">
      <c r="B35" s="103" t="s">
        <v>10</v>
      </c>
      <c r="C35" s="104" t="s">
        <v>120</v>
      </c>
      <c r="D35" s="104" t="s">
        <v>121</v>
      </c>
      <c r="E35" s="104" t="s">
        <v>122</v>
      </c>
      <c r="F35" s="104" t="s">
        <v>123</v>
      </c>
    </row>
    <row r="36" spans="2:6" ht="15.5" x14ac:dyDescent="0.35">
      <c r="B36" s="92" t="s">
        <v>11</v>
      </c>
      <c r="C36" s="85" t="e">
        <f>'Balanço MENSAL'!E14/'Indi. TRI'!D13*365</f>
        <v>#VALUE!</v>
      </c>
      <c r="D36" s="85" t="e">
        <f>'Balanço MENSAL'!H14/'Indi. TRI'!E13*365</f>
        <v>#VALUE!</v>
      </c>
      <c r="E36" s="85" t="e">
        <f>'Balanço MENSAL'!K14/'Indi. TRI'!F13*365</f>
        <v>#VALUE!</v>
      </c>
      <c r="F36" s="85" t="e">
        <f>'Balanço MENSAL'!N14/'Indi. TRI'!G13*365</f>
        <v>#DIV/0!</v>
      </c>
    </row>
    <row r="37" spans="2:6" ht="15.5" x14ac:dyDescent="0.35">
      <c r="B37" s="92" t="s">
        <v>12</v>
      </c>
      <c r="C37" s="85">
        <f>'Balanço MENSAL'!E16/'Balanço MENSAL'!E11*365</f>
        <v>343.18614233643433</v>
      </c>
      <c r="D37" s="85">
        <f>'Balanço MENSAL'!H16/'Balanço MENSAL'!H11*365</f>
        <v>271.25416202723414</v>
      </c>
      <c r="E37" s="85">
        <f>'Balanço MENSAL'!K16/'Balanço MENSAL'!K11*365</f>
        <v>152.34235056252754</v>
      </c>
      <c r="F37" s="85" t="e">
        <f>'Balanço MENSAL'!N16/'Balanço MENSAL'!N11*365</f>
        <v>#DIV/0!</v>
      </c>
    </row>
    <row r="38" spans="2:6" ht="15.5" x14ac:dyDescent="0.35">
      <c r="B38" s="92" t="s">
        <v>13</v>
      </c>
      <c r="C38" s="85">
        <f>'D.R TRI'!D20/'Indi. TRI'!D14*365</f>
        <v>9827285346.8421421</v>
      </c>
      <c r="D38" s="85">
        <f>'D.R TRI'!E20/'Indi. TRI'!E14*365</f>
        <v>7745367007.4103708</v>
      </c>
      <c r="E38" s="85">
        <f>'D.R TRI'!F20/'Indi. TRI'!F14*365</f>
        <v>31967810110.68108</v>
      </c>
      <c r="F38" s="85" t="e">
        <f>'D.R TRI'!G20/'Indi. TRI'!G14*365</f>
        <v>#DIV/0!</v>
      </c>
    </row>
    <row r="39" spans="2:6" ht="15.5" x14ac:dyDescent="0.35">
      <c r="B39" s="92" t="s">
        <v>14</v>
      </c>
      <c r="C39" s="85">
        <f>'Indi. TRI'!D14/'D.R TRI'!D20*365</f>
        <v>1.3556643090943721E-5</v>
      </c>
      <c r="D39" s="85">
        <f>'Indi. TRI'!E14/'D.R TRI'!E20*365</f>
        <v>1.7200605196956729E-5</v>
      </c>
      <c r="E39" s="85">
        <f>'Indi. TRI'!F14/'D.R TRI'!F20*365</f>
        <v>4.1674734534126529E-6</v>
      </c>
      <c r="F39" s="85">
        <f>'Indi. TRI'!G14/'D.R TRI'!G20*365</f>
        <v>0</v>
      </c>
    </row>
    <row r="40" spans="2:6" ht="16" thickBot="1" x14ac:dyDescent="0.4">
      <c r="B40" s="95" t="s">
        <v>15</v>
      </c>
      <c r="C40" s="106" t="e">
        <f>C7/'D.R TRI'!D17</f>
        <v>#DIV/0!</v>
      </c>
      <c r="D40" s="106" t="e">
        <f>D7/'D.R TRI'!E17</f>
        <v>#DIV/0!</v>
      </c>
      <c r="E40" s="106" t="e">
        <f>E7/'D.R TRI'!F17</f>
        <v>#DIV/0!</v>
      </c>
      <c r="F40" s="106" t="e">
        <f>F7/'D.R TRI'!G17</f>
        <v>#DIV/0!</v>
      </c>
    </row>
    <row r="43" spans="2:6" ht="25.5" thickBot="1" x14ac:dyDescent="0.55000000000000004">
      <c r="B43" s="80">
        <v>6</v>
      </c>
      <c r="C43" s="81"/>
      <c r="D43" s="82"/>
      <c r="E43" s="82"/>
      <c r="F43" s="82"/>
    </row>
    <row r="44" spans="2:6" ht="15.5" x14ac:dyDescent="0.35">
      <c r="B44" s="171" t="s">
        <v>10</v>
      </c>
      <c r="C44" s="172" t="s">
        <v>120</v>
      </c>
      <c r="D44" s="172" t="s">
        <v>121</v>
      </c>
      <c r="E44" s="172" t="s">
        <v>122</v>
      </c>
      <c r="F44" s="172" t="s">
        <v>123</v>
      </c>
    </row>
    <row r="45" spans="2:6" ht="15.5" x14ac:dyDescent="0.35">
      <c r="B45" s="109" t="s">
        <v>25</v>
      </c>
      <c r="C45" s="110">
        <f>'Balanço TRI'!D38</f>
        <v>137204966.12</v>
      </c>
      <c r="D45" s="110">
        <f>'Balanço TRI'!E38</f>
        <v>248017001.96000001</v>
      </c>
      <c r="E45" s="110">
        <f>'Balanço TRI'!F38</f>
        <v>301097168.92000002</v>
      </c>
      <c r="F45" s="110">
        <f>'Balanço TRI'!G38</f>
        <v>24073206.569999993</v>
      </c>
    </row>
    <row r="46" spans="2:6" ht="15.5" x14ac:dyDescent="0.35">
      <c r="B46" s="109" t="s">
        <v>27</v>
      </c>
      <c r="C46" s="110">
        <f>'Balanço TRI'!D46+'Balanço TRI'!D53-'Balanço TRI'!D22</f>
        <v>156763742.36999997</v>
      </c>
      <c r="D46" s="110">
        <f>'Balanço TRI'!E46+'Balanço TRI'!E53-'Balanço TRI'!E22</f>
        <v>100044922.61000001</v>
      </c>
      <c r="E46" s="110">
        <f>'Balanço TRI'!F46+'Balanço TRI'!F53-'Balanço TRI'!F22</f>
        <v>176576351.90000004</v>
      </c>
      <c r="F46" s="110">
        <f>'Balanço TRI'!G46+'Balanço TRI'!G53-'Balanço TRI'!G22</f>
        <v>180831352.07999998</v>
      </c>
    </row>
    <row r="47" spans="2:6" ht="15.5" x14ac:dyDescent="0.35">
      <c r="B47" s="111" t="s">
        <v>26</v>
      </c>
      <c r="C47" s="112">
        <f>C8/Balancete!B2</f>
        <v>79.340209460000011</v>
      </c>
      <c r="D47" s="112">
        <f>D8/Balancete!B2</f>
        <v>110.81203584000001</v>
      </c>
      <c r="E47" s="112">
        <f>E8/Balancete!B2</f>
        <v>53.080166959999993</v>
      </c>
      <c r="F47" s="112">
        <f>F8/Balancete!B2</f>
        <v>-277.02396235000003</v>
      </c>
    </row>
    <row r="48" spans="2:6" ht="16" thickBot="1" x14ac:dyDescent="0.4">
      <c r="B48" s="113" t="s">
        <v>28</v>
      </c>
      <c r="C48" s="114">
        <f>C45/Balancete!B2</f>
        <v>137.20496611999999</v>
      </c>
      <c r="D48" s="114">
        <f>D45/Balancete!B2</f>
        <v>248.01700196000002</v>
      </c>
      <c r="E48" s="114">
        <f>E45/Balancete!B2</f>
        <v>301.09716892</v>
      </c>
      <c r="F48" s="114">
        <f>F45/Balancete!B2</f>
        <v>24.073206569999993</v>
      </c>
    </row>
  </sheetData>
  <sheetProtection password="CC6B" sheet="1" objects="1" scenarios="1"/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/>
  <dimension ref="B3:J57"/>
  <sheetViews>
    <sheetView topLeftCell="B1" workbookViewId="0">
      <selection activeCell="F15" sqref="F15"/>
    </sheetView>
  </sheetViews>
  <sheetFormatPr defaultRowHeight="14" x14ac:dyDescent="0.3"/>
  <cols>
    <col min="1" max="1" width="0" style="72" hidden="1" customWidth="1"/>
    <col min="2" max="2" width="44.26953125" style="72" customWidth="1"/>
    <col min="3" max="3" width="9.81640625" style="72" customWidth="1"/>
    <col min="4" max="4" width="14.54296875" style="72" bestFit="1" customWidth="1"/>
    <col min="5" max="5" width="5.1796875" style="72" bestFit="1" customWidth="1"/>
    <col min="6" max="6" width="16.453125" style="72" customWidth="1"/>
    <col min="7" max="7" width="11.36328125" style="72" customWidth="1"/>
    <col min="8" max="8" width="17.1796875" style="72" customWidth="1"/>
    <col min="9" max="16384" width="8.7265625" style="72"/>
  </cols>
  <sheetData>
    <row r="3" spans="2:10" ht="20" x14ac:dyDescent="0.3">
      <c r="B3" s="302" t="s">
        <v>79</v>
      </c>
      <c r="C3" s="302"/>
      <c r="D3" s="302"/>
      <c r="E3" s="302"/>
      <c r="F3" s="302"/>
      <c r="G3" s="302"/>
      <c r="H3" s="302"/>
    </row>
    <row r="4" spans="2:10" x14ac:dyDescent="0.3">
      <c r="B4" s="3"/>
      <c r="C4" s="3"/>
      <c r="D4" s="3"/>
      <c r="E4" s="3"/>
      <c r="F4" s="3"/>
      <c r="G4" s="3"/>
      <c r="H4" s="3"/>
    </row>
    <row r="5" spans="2:10" x14ac:dyDescent="0.3">
      <c r="B5" s="4" t="s">
        <v>80</v>
      </c>
      <c r="F5" s="301"/>
      <c r="G5" s="301"/>
      <c r="H5" s="301"/>
      <c r="I5" s="77"/>
      <c r="J5" s="77"/>
    </row>
    <row r="6" spans="2:10" x14ac:dyDescent="0.3">
      <c r="B6" s="4" t="s">
        <v>81</v>
      </c>
      <c r="D6" s="4"/>
      <c r="E6" s="4"/>
      <c r="F6" s="4"/>
      <c r="G6" s="4"/>
      <c r="H6" s="12" t="s">
        <v>82</v>
      </c>
    </row>
    <row r="7" spans="2:10" ht="14.5" thickBot="1" x14ac:dyDescent="0.35">
      <c r="B7" s="4"/>
      <c r="C7" s="4"/>
      <c r="D7" s="78"/>
      <c r="E7" s="78"/>
      <c r="F7" s="78"/>
      <c r="G7" s="301" t="s">
        <v>126</v>
      </c>
      <c r="H7" s="301"/>
    </row>
    <row r="8" spans="2:10" s="73" customFormat="1" x14ac:dyDescent="0.3">
      <c r="B8" s="54" t="s">
        <v>83</v>
      </c>
      <c r="C8" s="54" t="s">
        <v>84</v>
      </c>
      <c r="D8" s="55"/>
      <c r="E8" s="56"/>
      <c r="F8" s="55"/>
      <c r="G8" s="56"/>
      <c r="H8" s="55"/>
    </row>
    <row r="9" spans="2:10" s="73" customFormat="1" ht="14.5" thickBot="1" x14ac:dyDescent="0.35">
      <c r="B9" s="57"/>
      <c r="C9" s="450"/>
      <c r="D9" s="451">
        <v>2021</v>
      </c>
      <c r="E9" s="451">
        <v>2020</v>
      </c>
      <c r="F9" s="451">
        <v>2019</v>
      </c>
      <c r="G9" s="451">
        <v>2018</v>
      </c>
      <c r="H9" s="451">
        <v>2017</v>
      </c>
    </row>
    <row r="10" spans="2:10" s="73" customFormat="1" ht="14.5" thickBot="1" x14ac:dyDescent="0.35">
      <c r="B10" s="58" t="s">
        <v>85</v>
      </c>
      <c r="C10" s="452"/>
      <c r="D10" s="453"/>
      <c r="E10" s="454"/>
      <c r="F10" s="453"/>
      <c r="G10" s="454"/>
      <c r="H10" s="453"/>
    </row>
    <row r="11" spans="2:10" x14ac:dyDescent="0.3">
      <c r="B11" s="19"/>
      <c r="C11" s="5"/>
      <c r="D11" s="235"/>
      <c r="E11" s="232"/>
      <c r="F11" s="235"/>
      <c r="G11" s="232"/>
      <c r="H11" s="235"/>
    </row>
    <row r="12" spans="2:10" x14ac:dyDescent="0.3">
      <c r="B12" s="21" t="s">
        <v>86</v>
      </c>
      <c r="C12" s="22">
        <v>4</v>
      </c>
      <c r="D12" s="231">
        <f>'Balanço TRI'!G12</f>
        <v>6474167.6399999997</v>
      </c>
      <c r="E12" s="232">
        <v>0</v>
      </c>
      <c r="F12" s="231">
        <v>739881.64</v>
      </c>
      <c r="G12" s="232">
        <v>0</v>
      </c>
      <c r="H12" s="231">
        <v>739881.64</v>
      </c>
    </row>
    <row r="13" spans="2:10" x14ac:dyDescent="0.3">
      <c r="B13" s="21" t="s">
        <v>87</v>
      </c>
      <c r="C13" s="22">
        <v>5</v>
      </c>
      <c r="D13" s="231">
        <f>'Balanço TRI'!G13</f>
        <v>0</v>
      </c>
      <c r="E13" s="232">
        <v>0</v>
      </c>
      <c r="F13" s="231">
        <v>835583.85</v>
      </c>
      <c r="G13" s="232">
        <v>0</v>
      </c>
      <c r="H13" s="231">
        <v>835583.85</v>
      </c>
    </row>
    <row r="14" spans="2:10" x14ac:dyDescent="0.3">
      <c r="B14" s="21" t="s">
        <v>88</v>
      </c>
      <c r="C14" s="22">
        <v>6</v>
      </c>
      <c r="D14" s="231">
        <f>'Balanço TRI'!G14</f>
        <v>0</v>
      </c>
      <c r="E14" s="232">
        <v>0</v>
      </c>
      <c r="F14" s="231">
        <v>0</v>
      </c>
      <c r="G14" s="232">
        <v>0</v>
      </c>
      <c r="H14" s="231">
        <v>0</v>
      </c>
    </row>
    <row r="15" spans="2:10" x14ac:dyDescent="0.3">
      <c r="B15" s="21" t="s">
        <v>89</v>
      </c>
      <c r="C15" s="22">
        <v>7</v>
      </c>
      <c r="D15" s="231">
        <f>'Balanço TRI'!G15</f>
        <v>0</v>
      </c>
      <c r="E15" s="232">
        <v>0</v>
      </c>
      <c r="F15" s="231">
        <v>0</v>
      </c>
      <c r="G15" s="232">
        <v>0</v>
      </c>
      <c r="H15" s="231">
        <v>0</v>
      </c>
    </row>
    <row r="16" spans="2:10" x14ac:dyDescent="0.3">
      <c r="B16" s="21" t="s">
        <v>90</v>
      </c>
      <c r="C16" s="22">
        <v>9</v>
      </c>
      <c r="D16" s="231">
        <f>'Balanço TRI'!G16</f>
        <v>0</v>
      </c>
      <c r="E16" s="232">
        <v>0</v>
      </c>
      <c r="F16" s="231">
        <v>0</v>
      </c>
      <c r="G16" s="232">
        <v>0</v>
      </c>
      <c r="H16" s="231">
        <v>0</v>
      </c>
    </row>
    <row r="17" spans="2:8" ht="14.5" thickBot="1" x14ac:dyDescent="0.35">
      <c r="B17" s="19"/>
      <c r="C17" s="5"/>
      <c r="D17" s="233">
        <f>SUM(D$12:D$16)</f>
        <v>6474167.6399999997</v>
      </c>
      <c r="E17" s="233">
        <f t="shared" ref="E17:H17" si="0">SUM(E$12:E$16)</f>
        <v>0</v>
      </c>
      <c r="F17" s="233">
        <f t="shared" si="0"/>
        <v>1575465.49</v>
      </c>
      <c r="G17" s="233">
        <f t="shared" si="0"/>
        <v>0</v>
      </c>
      <c r="H17" s="233">
        <f t="shared" si="0"/>
        <v>1575465.49</v>
      </c>
    </row>
    <row r="18" spans="2:8" ht="14.5" thickBot="1" x14ac:dyDescent="0.35">
      <c r="B18" s="58" t="s">
        <v>91</v>
      </c>
      <c r="C18" s="24"/>
      <c r="D18" s="234"/>
      <c r="E18" s="234"/>
      <c r="F18" s="234"/>
      <c r="G18" s="234"/>
      <c r="H18" s="234"/>
    </row>
    <row r="19" spans="2:8" x14ac:dyDescent="0.3">
      <c r="B19" s="19"/>
      <c r="C19" s="5"/>
      <c r="D19" s="235"/>
      <c r="E19" s="232"/>
      <c r="F19" s="235"/>
      <c r="G19" s="232"/>
      <c r="H19" s="235"/>
    </row>
    <row r="20" spans="2:8" x14ac:dyDescent="0.3">
      <c r="B20" s="21" t="s">
        <v>92</v>
      </c>
      <c r="C20" s="7">
        <v>8</v>
      </c>
      <c r="D20" s="231">
        <f>'Balanço TRI'!G20</f>
        <v>0</v>
      </c>
      <c r="E20" s="232">
        <v>0</v>
      </c>
      <c r="F20" s="231">
        <v>0</v>
      </c>
      <c r="G20" s="232">
        <v>0</v>
      </c>
      <c r="H20" s="231">
        <v>0</v>
      </c>
    </row>
    <row r="21" spans="2:8" x14ac:dyDescent="0.3">
      <c r="B21" s="21" t="s">
        <v>93</v>
      </c>
      <c r="C21" s="22">
        <v>9</v>
      </c>
      <c r="D21" s="231">
        <f>'Balanço TRI'!G21</f>
        <v>198430391.00999999</v>
      </c>
      <c r="E21" s="232">
        <v>0</v>
      </c>
      <c r="F21" s="231">
        <v>632005.35</v>
      </c>
      <c r="G21" s="232">
        <v>0</v>
      </c>
      <c r="H21" s="231">
        <v>632005.35</v>
      </c>
    </row>
    <row r="22" spans="2:8" x14ac:dyDescent="0.3">
      <c r="B22" s="21" t="s">
        <v>94</v>
      </c>
      <c r="C22" s="22">
        <v>10</v>
      </c>
      <c r="D22" s="231">
        <f>'Balanço TRI'!G22</f>
        <v>100945221.19</v>
      </c>
      <c r="E22" s="232">
        <v>0</v>
      </c>
      <c r="F22" s="231">
        <v>147578.37</v>
      </c>
      <c r="G22" s="232">
        <v>0</v>
      </c>
      <c r="H22" s="231">
        <v>147578.37</v>
      </c>
    </row>
    <row r="23" spans="2:8" x14ac:dyDescent="0.3">
      <c r="B23" s="21" t="s">
        <v>95</v>
      </c>
      <c r="C23" s="22">
        <v>11</v>
      </c>
      <c r="D23" s="231">
        <f>'Balanço TRI'!G23</f>
        <v>0</v>
      </c>
      <c r="E23" s="232">
        <v>0</v>
      </c>
      <c r="F23" s="231">
        <v>0</v>
      </c>
      <c r="G23" s="232">
        <v>0</v>
      </c>
      <c r="H23" s="231">
        <v>0</v>
      </c>
    </row>
    <row r="24" spans="2:8" x14ac:dyDescent="0.3">
      <c r="B24" s="21"/>
      <c r="C24" s="26"/>
      <c r="D24" s="236">
        <f>SUM(D$20:D$23)</f>
        <v>299375612.19999999</v>
      </c>
      <c r="E24" s="236">
        <f t="shared" ref="E24:H24" si="1">SUM(E$20:E$23)</f>
        <v>0</v>
      </c>
      <c r="F24" s="236">
        <f t="shared" si="1"/>
        <v>779583.72</v>
      </c>
      <c r="G24" s="236">
        <f t="shared" si="1"/>
        <v>0</v>
      </c>
      <c r="H24" s="236">
        <f t="shared" si="1"/>
        <v>779583.72</v>
      </c>
    </row>
    <row r="25" spans="2:8" x14ac:dyDescent="0.3">
      <c r="B25" s="5"/>
      <c r="C25" s="5"/>
      <c r="D25" s="231"/>
      <c r="E25" s="232"/>
      <c r="F25" s="231"/>
      <c r="G25" s="232"/>
      <c r="H25" s="231"/>
    </row>
    <row r="26" spans="2:8" x14ac:dyDescent="0.3">
      <c r="B26" s="65" t="s">
        <v>96</v>
      </c>
      <c r="C26" s="26"/>
      <c r="D26" s="236">
        <f>D$17+D$24</f>
        <v>305849779.83999997</v>
      </c>
      <c r="E26" s="236">
        <f t="shared" ref="E26:H26" si="2">E$17+E$24</f>
        <v>0</v>
      </c>
      <c r="F26" s="236">
        <f t="shared" si="2"/>
        <v>2355049.21</v>
      </c>
      <c r="G26" s="236">
        <f t="shared" si="2"/>
        <v>0</v>
      </c>
      <c r="H26" s="236">
        <f t="shared" si="2"/>
        <v>2355049.21</v>
      </c>
    </row>
    <row r="27" spans="2:8" ht="14.5" thickBot="1" x14ac:dyDescent="0.35">
      <c r="B27" s="20"/>
      <c r="C27" s="26"/>
      <c r="D27" s="231"/>
      <c r="E27" s="232"/>
      <c r="F27" s="231"/>
      <c r="G27" s="232"/>
      <c r="H27" s="231"/>
    </row>
    <row r="28" spans="2:8" x14ac:dyDescent="0.3">
      <c r="B28" s="66" t="s">
        <v>97</v>
      </c>
      <c r="C28" s="28"/>
      <c r="D28" s="237"/>
      <c r="E28" s="238"/>
      <c r="F28" s="237"/>
      <c r="G28" s="238"/>
      <c r="H28" s="237"/>
    </row>
    <row r="29" spans="2:8" x14ac:dyDescent="0.3">
      <c r="B29" s="57" t="s">
        <v>98</v>
      </c>
      <c r="C29" s="31"/>
      <c r="D29" s="239"/>
      <c r="E29" s="240"/>
      <c r="F29" s="239"/>
      <c r="G29" s="240"/>
      <c r="H29" s="239"/>
    </row>
    <row r="30" spans="2:8" ht="14.5" thickBot="1" x14ac:dyDescent="0.35">
      <c r="B30" s="67" t="s">
        <v>99</v>
      </c>
      <c r="C30" s="31"/>
      <c r="D30" s="239"/>
      <c r="E30" s="240"/>
      <c r="F30" s="239"/>
      <c r="G30" s="240"/>
      <c r="H30" s="239"/>
    </row>
    <row r="31" spans="2:8" ht="14.5" thickBot="1" x14ac:dyDescent="0.35">
      <c r="B31" s="35"/>
      <c r="C31" s="36"/>
      <c r="D31" s="241"/>
      <c r="E31" s="242"/>
      <c r="F31" s="241"/>
      <c r="G31" s="242"/>
      <c r="H31" s="241"/>
    </row>
    <row r="32" spans="2:8" ht="14.5" thickBot="1" x14ac:dyDescent="0.35">
      <c r="B32" s="58" t="s">
        <v>100</v>
      </c>
      <c r="C32" s="36"/>
      <c r="D32" s="241"/>
      <c r="E32" s="242"/>
      <c r="F32" s="241"/>
      <c r="G32" s="242"/>
      <c r="H32" s="241"/>
    </row>
    <row r="33" spans="2:8" x14ac:dyDescent="0.3">
      <c r="B33" s="39"/>
      <c r="C33" s="40"/>
      <c r="D33" s="243"/>
      <c r="E33" s="244"/>
      <c r="F33" s="243"/>
      <c r="G33" s="244"/>
      <c r="H33" s="243"/>
    </row>
    <row r="34" spans="2:8" x14ac:dyDescent="0.3">
      <c r="B34" s="6" t="s">
        <v>101</v>
      </c>
      <c r="C34" s="7">
        <v>12</v>
      </c>
      <c r="D34" s="231">
        <f>'Balanço TRI'!G34</f>
        <v>1000000</v>
      </c>
      <c r="E34" s="232">
        <v>0</v>
      </c>
      <c r="F34" s="231">
        <v>100000</v>
      </c>
      <c r="G34" s="232">
        <v>0</v>
      </c>
      <c r="H34" s="231">
        <v>100000</v>
      </c>
    </row>
    <row r="35" spans="2:8" x14ac:dyDescent="0.3">
      <c r="B35" s="68" t="s">
        <v>102</v>
      </c>
      <c r="C35" s="22">
        <v>13</v>
      </c>
      <c r="D35" s="231">
        <f>'Balanço TRI'!G35</f>
        <v>0</v>
      </c>
      <c r="E35" s="232">
        <v>0</v>
      </c>
      <c r="F35" s="231">
        <v>0</v>
      </c>
      <c r="G35" s="232">
        <v>0</v>
      </c>
      <c r="H35" s="231">
        <v>0</v>
      </c>
    </row>
    <row r="36" spans="2:8" x14ac:dyDescent="0.3">
      <c r="B36" s="21" t="s">
        <v>103</v>
      </c>
      <c r="C36" s="22">
        <v>14</v>
      </c>
      <c r="D36" s="231">
        <f>'Balanço MENSAL'!D36</f>
        <v>56864756.659999996</v>
      </c>
      <c r="E36" s="232">
        <v>0</v>
      </c>
      <c r="F36" s="231">
        <v>0</v>
      </c>
      <c r="G36" s="232">
        <v>0</v>
      </c>
      <c r="H36" s="231">
        <v>0</v>
      </c>
    </row>
    <row r="37" spans="2:8" x14ac:dyDescent="0.3">
      <c r="B37" s="6" t="s">
        <v>104</v>
      </c>
      <c r="C37" s="6" t="s">
        <v>23</v>
      </c>
      <c r="D37" s="231">
        <f>'D.R ANUAL'!D39</f>
        <v>-33791550.090000078</v>
      </c>
      <c r="E37" s="232">
        <v>0</v>
      </c>
      <c r="F37" s="231">
        <v>-268967.94</v>
      </c>
      <c r="G37" s="232">
        <v>0</v>
      </c>
      <c r="H37" s="231">
        <v>-268967.94</v>
      </c>
    </row>
    <row r="38" spans="2:8" ht="14.5" thickBot="1" x14ac:dyDescent="0.35">
      <c r="B38" s="43" t="s">
        <v>105</v>
      </c>
      <c r="C38" s="44"/>
      <c r="D38" s="245">
        <f>SUM(D$34:D$37)</f>
        <v>24073206.569999918</v>
      </c>
      <c r="E38" s="245">
        <f t="shared" ref="E38:H38" si="3">SUM(E$34:E$37)</f>
        <v>0</v>
      </c>
      <c r="F38" s="245">
        <f t="shared" si="3"/>
        <v>-168967.94</v>
      </c>
      <c r="G38" s="245">
        <f t="shared" si="3"/>
        <v>0</v>
      </c>
      <c r="H38" s="245">
        <f t="shared" si="3"/>
        <v>-168967.94</v>
      </c>
    </row>
    <row r="39" spans="2:8" ht="14.5" thickBot="1" x14ac:dyDescent="0.35">
      <c r="B39" s="58" t="s">
        <v>106</v>
      </c>
      <c r="C39" s="45"/>
      <c r="D39" s="246"/>
      <c r="E39" s="247"/>
      <c r="F39" s="246"/>
      <c r="G39" s="247"/>
      <c r="H39" s="246"/>
    </row>
    <row r="40" spans="2:8" x14ac:dyDescent="0.3">
      <c r="B40" s="48"/>
      <c r="C40" s="9"/>
      <c r="D40" s="231"/>
      <c r="E40" s="232"/>
      <c r="F40" s="231"/>
      <c r="G40" s="232"/>
      <c r="H40" s="231"/>
    </row>
    <row r="41" spans="2:8" x14ac:dyDescent="0.3">
      <c r="B41" s="6" t="s">
        <v>107</v>
      </c>
      <c r="C41" s="7">
        <v>15</v>
      </c>
      <c r="D41" s="231">
        <f>'Balanço TRI'!G41</f>
        <v>0</v>
      </c>
      <c r="E41" s="232">
        <v>0</v>
      </c>
      <c r="F41" s="231">
        <v>0</v>
      </c>
      <c r="G41" s="232">
        <v>0</v>
      </c>
      <c r="H41" s="231">
        <v>0</v>
      </c>
    </row>
    <row r="42" spans="2:8" x14ac:dyDescent="0.3">
      <c r="B42" s="6" t="s">
        <v>108</v>
      </c>
      <c r="C42" s="7">
        <v>16</v>
      </c>
      <c r="D42" s="231">
        <f>'Balanço TRI'!G42</f>
        <v>0</v>
      </c>
      <c r="E42" s="232">
        <v>0</v>
      </c>
      <c r="F42" s="231">
        <v>0</v>
      </c>
      <c r="G42" s="232">
        <v>0</v>
      </c>
      <c r="H42" s="231">
        <v>0</v>
      </c>
    </row>
    <row r="43" spans="2:8" x14ac:dyDescent="0.3">
      <c r="B43" s="6" t="s">
        <v>109</v>
      </c>
      <c r="C43" s="7">
        <v>17</v>
      </c>
      <c r="D43" s="231">
        <f>'Balanço TRI'!G43</f>
        <v>0</v>
      </c>
      <c r="E43" s="232">
        <v>0</v>
      </c>
      <c r="F43" s="231">
        <v>0</v>
      </c>
      <c r="G43" s="232">
        <v>0</v>
      </c>
      <c r="H43" s="231">
        <v>0</v>
      </c>
    </row>
    <row r="44" spans="2:8" x14ac:dyDescent="0.3">
      <c r="B44" s="6" t="s">
        <v>110</v>
      </c>
      <c r="C44" s="7">
        <v>18</v>
      </c>
      <c r="D44" s="231">
        <f>'Balanço TRI'!G44</f>
        <v>0</v>
      </c>
      <c r="E44" s="232">
        <v>0</v>
      </c>
      <c r="F44" s="231">
        <v>0</v>
      </c>
      <c r="G44" s="232">
        <v>0</v>
      </c>
      <c r="H44" s="231">
        <v>0</v>
      </c>
    </row>
    <row r="45" spans="2:8" x14ac:dyDescent="0.3">
      <c r="B45" s="6" t="s">
        <v>111</v>
      </c>
      <c r="C45" s="7">
        <v>19</v>
      </c>
      <c r="D45" s="231">
        <f>'Balanço TRI'!G45</f>
        <v>0</v>
      </c>
      <c r="E45" s="232">
        <v>0</v>
      </c>
      <c r="F45" s="231">
        <v>0</v>
      </c>
      <c r="G45" s="232">
        <v>0</v>
      </c>
      <c r="H45" s="231">
        <v>0</v>
      </c>
    </row>
    <row r="46" spans="2:8" ht="14.5" thickBot="1" x14ac:dyDescent="0.35">
      <c r="B46" s="43" t="s">
        <v>105</v>
      </c>
      <c r="C46" s="9"/>
      <c r="D46" s="236">
        <f>SUM(D$41:D$45)</f>
        <v>0</v>
      </c>
      <c r="E46" s="236">
        <f t="shared" ref="E46:H46" si="4">SUM(E$41:E$45)</f>
        <v>0</v>
      </c>
      <c r="F46" s="236">
        <f t="shared" si="4"/>
        <v>0</v>
      </c>
      <c r="G46" s="236">
        <f t="shared" si="4"/>
        <v>0</v>
      </c>
      <c r="H46" s="236">
        <f t="shared" si="4"/>
        <v>0</v>
      </c>
    </row>
    <row r="47" spans="2:8" ht="14.5" thickBot="1" x14ac:dyDescent="0.35">
      <c r="B47" s="58" t="s">
        <v>112</v>
      </c>
      <c r="C47" s="45"/>
      <c r="D47" s="246"/>
      <c r="E47" s="247"/>
      <c r="F47" s="246"/>
      <c r="G47" s="247"/>
      <c r="H47" s="246"/>
    </row>
    <row r="48" spans="2:8" x14ac:dyDescent="0.3">
      <c r="B48" s="6"/>
      <c r="C48" s="9"/>
      <c r="D48" s="231"/>
      <c r="E48" s="232"/>
      <c r="F48" s="231"/>
      <c r="G48" s="232"/>
      <c r="H48" s="231"/>
    </row>
    <row r="49" spans="2:8" x14ac:dyDescent="0.3">
      <c r="B49" s="6" t="s">
        <v>113</v>
      </c>
      <c r="C49" s="7">
        <v>19</v>
      </c>
      <c r="D49" s="231">
        <f>'Balanço TRI'!G49</f>
        <v>281776573.26999998</v>
      </c>
      <c r="E49" s="232">
        <v>0</v>
      </c>
      <c r="F49" s="231">
        <v>2524017.15</v>
      </c>
      <c r="G49" s="232">
        <v>0</v>
      </c>
      <c r="H49" s="231">
        <v>2524017.15</v>
      </c>
    </row>
    <row r="50" spans="2:8" x14ac:dyDescent="0.3">
      <c r="B50" s="6" t="s">
        <v>114</v>
      </c>
      <c r="C50" s="7">
        <v>20</v>
      </c>
      <c r="D50" s="231">
        <f>'Balanço TRI'!G50</f>
        <v>0</v>
      </c>
      <c r="E50" s="232">
        <v>0</v>
      </c>
      <c r="F50" s="231">
        <v>0</v>
      </c>
      <c r="G50" s="232">
        <v>0</v>
      </c>
      <c r="H50" s="231">
        <v>0</v>
      </c>
    </row>
    <row r="51" spans="2:8" x14ac:dyDescent="0.3">
      <c r="B51" s="6" t="s">
        <v>115</v>
      </c>
      <c r="C51" s="7">
        <v>15</v>
      </c>
      <c r="D51" s="231">
        <f>'Balanço TRI'!G51</f>
        <v>0</v>
      </c>
      <c r="E51" s="232">
        <v>0</v>
      </c>
      <c r="F51" s="231">
        <v>0</v>
      </c>
      <c r="G51" s="232">
        <v>0</v>
      </c>
      <c r="H51" s="231">
        <v>0</v>
      </c>
    </row>
    <row r="52" spans="2:8" x14ac:dyDescent="0.3">
      <c r="B52" s="6" t="s">
        <v>116</v>
      </c>
      <c r="C52" s="7">
        <v>21</v>
      </c>
      <c r="D52" s="231">
        <f>'Balanço TRI'!G52</f>
        <v>0</v>
      </c>
      <c r="E52" s="232">
        <v>0</v>
      </c>
      <c r="F52" s="231">
        <v>0</v>
      </c>
      <c r="G52" s="232">
        <v>0</v>
      </c>
      <c r="H52" s="231">
        <v>0</v>
      </c>
    </row>
    <row r="53" spans="2:8" x14ac:dyDescent="0.3">
      <c r="B53" s="5"/>
      <c r="C53" s="9"/>
      <c r="D53" s="236">
        <f>SUM(D$49:D$52)</f>
        <v>281776573.26999998</v>
      </c>
      <c r="E53" s="236">
        <f t="shared" ref="E53:H53" si="5">SUM(E$49:E$52)</f>
        <v>0</v>
      </c>
      <c r="F53" s="236">
        <f t="shared" si="5"/>
        <v>2524017.15</v>
      </c>
      <c r="G53" s="236">
        <f t="shared" si="5"/>
        <v>0</v>
      </c>
      <c r="H53" s="236">
        <f t="shared" si="5"/>
        <v>2524017.15</v>
      </c>
    </row>
    <row r="54" spans="2:8" x14ac:dyDescent="0.3">
      <c r="B54" s="5"/>
      <c r="C54" s="5"/>
      <c r="D54" s="231"/>
      <c r="E54" s="232"/>
      <c r="F54" s="231"/>
      <c r="G54" s="232"/>
      <c r="H54" s="231"/>
    </row>
    <row r="55" spans="2:8" x14ac:dyDescent="0.3">
      <c r="B55" s="13" t="s">
        <v>117</v>
      </c>
      <c r="C55" s="5"/>
      <c r="D55" s="236">
        <f>D$38+D$46+D$53</f>
        <v>305849779.83999991</v>
      </c>
      <c r="E55" s="236">
        <f t="shared" ref="E55:H55" si="6">E$38+E$46+E$53</f>
        <v>0</v>
      </c>
      <c r="F55" s="236">
        <f t="shared" si="6"/>
        <v>2355049.21</v>
      </c>
      <c r="G55" s="236">
        <f t="shared" si="6"/>
        <v>0</v>
      </c>
      <c r="H55" s="236">
        <f t="shared" si="6"/>
        <v>2355049.21</v>
      </c>
    </row>
    <row r="56" spans="2:8" ht="14.5" thickBot="1" x14ac:dyDescent="0.35">
      <c r="B56" s="70"/>
      <c r="C56" s="44"/>
      <c r="D56" s="248"/>
      <c r="E56" s="249"/>
      <c r="F56" s="248"/>
      <c r="G56" s="249"/>
      <c r="H56" s="248"/>
    </row>
    <row r="57" spans="2:8" ht="14.5" customHeight="1" x14ac:dyDescent="0.3">
      <c r="B57" s="306" t="s">
        <v>118</v>
      </c>
      <c r="C57" s="306"/>
      <c r="D57" s="4"/>
      <c r="E57" s="306" t="s">
        <v>119</v>
      </c>
      <c r="F57" s="306"/>
      <c r="G57" s="306"/>
      <c r="H57" s="4"/>
    </row>
  </sheetData>
  <mergeCells count="5">
    <mergeCell ref="B3:H3"/>
    <mergeCell ref="F5:H5"/>
    <mergeCell ref="G7:H7"/>
    <mergeCell ref="B57:C57"/>
    <mergeCell ref="E57:G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Folha1</vt:lpstr>
      <vt:lpstr>Balancete</vt:lpstr>
      <vt:lpstr>Balanço MENSAL</vt:lpstr>
      <vt:lpstr>D.R MENSAL</vt:lpstr>
      <vt:lpstr>Indi. MENSAL</vt:lpstr>
      <vt:lpstr>Balanço TRI</vt:lpstr>
      <vt:lpstr>D.R TRI</vt:lpstr>
      <vt:lpstr>Indi. TRI</vt:lpstr>
      <vt:lpstr>Balanço ANUAL</vt:lpstr>
      <vt:lpstr>D.R ANUAL</vt:lpstr>
      <vt:lpstr>Indi. Anual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Garcia</dc:creator>
  <cp:lastModifiedBy>us</cp:lastModifiedBy>
  <dcterms:created xsi:type="dcterms:W3CDTF">2016-06-23T10:20:26Z</dcterms:created>
  <dcterms:modified xsi:type="dcterms:W3CDTF">2021-08-04T18:58:55Z</dcterms:modified>
</cp:coreProperties>
</file>