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z/Box Sync/ModelingBcLOV/"/>
    </mc:Choice>
  </mc:AlternateContent>
  <xr:revisionPtr revIDLastSave="0" documentId="13_ncr:1_{81B88536-B61F-3540-92F9-956BCABB9B56}" xr6:coauthVersionLast="47" xr6:coauthVersionMax="47" xr10:uidLastSave="{00000000-0000-0000-0000-000000000000}"/>
  <bookViews>
    <workbookView xWindow="0" yWindow="500" windowWidth="28800" windowHeight="17500" activeTab="2" xr2:uid="{730EBE4E-5F8F-439F-B38D-E82840B393AC}"/>
  </bookViews>
  <sheets>
    <sheet name="Left Scope BcLOV4" sheetId="1" r:id="rId1"/>
    <sheet name="Right Scope LY" sheetId="5" r:id="rId2"/>
    <sheet name="Right Scope BcLOV4" sheetId="2" r:id="rId3"/>
    <sheet name="Confocal-Sulforhodamine-101" sheetId="3" r:id="rId4"/>
    <sheet name="Confocal-BcLOV4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4" l="1"/>
  <c r="B50" i="4"/>
  <c r="B49" i="4"/>
  <c r="B42" i="4"/>
  <c r="B48" i="4"/>
  <c r="B16" i="5"/>
  <c r="E6" i="5" l="1"/>
  <c r="E5" i="5"/>
  <c r="E4" i="5"/>
  <c r="E3" i="5"/>
  <c r="E2" i="5"/>
  <c r="B43" i="4" l="1"/>
  <c r="J37" i="4"/>
  <c r="J6" i="4"/>
  <c r="J36" i="4"/>
  <c r="K5" i="4"/>
  <c r="J5" i="4"/>
  <c r="G36" i="4"/>
  <c r="H36" i="4"/>
  <c r="I36" i="4"/>
  <c r="G37" i="4"/>
  <c r="G38" i="4"/>
  <c r="H38" i="4"/>
  <c r="I38" i="4"/>
  <c r="J39" i="4"/>
  <c r="H35" i="4"/>
  <c r="I35" i="4"/>
  <c r="G35" i="4"/>
  <c r="K38" i="4"/>
  <c r="K8" i="4"/>
  <c r="J8" i="4"/>
  <c r="K4" i="4"/>
  <c r="J4" i="4"/>
  <c r="G4" i="4"/>
  <c r="B36" i="4"/>
  <c r="E36" i="4" s="1"/>
  <c r="C36" i="4"/>
  <c r="D36" i="4"/>
  <c r="B37" i="4"/>
  <c r="C37" i="4"/>
  <c r="F37" i="4" s="1"/>
  <c r="D37" i="4"/>
  <c r="B38" i="4"/>
  <c r="F38" i="4" s="1"/>
  <c r="C38" i="4"/>
  <c r="D38" i="4"/>
  <c r="E39" i="4"/>
  <c r="C35" i="4"/>
  <c r="D35" i="4"/>
  <c r="B35" i="4"/>
  <c r="E38" i="4"/>
  <c r="I7" i="3"/>
  <c r="H7" i="3"/>
  <c r="G7" i="3"/>
  <c r="I6" i="3"/>
  <c r="H6" i="3"/>
  <c r="G6" i="3"/>
  <c r="B29" i="4"/>
  <c r="B6" i="4" s="1"/>
  <c r="B28" i="3"/>
  <c r="D6" i="3" s="1"/>
  <c r="F6" i="3" s="1"/>
  <c r="D7" i="3"/>
  <c r="B7" i="3"/>
  <c r="C7" i="3"/>
  <c r="B7" i="4"/>
  <c r="F7" i="4" s="1"/>
  <c r="F8" i="4"/>
  <c r="E8" i="4"/>
  <c r="C4" i="4"/>
  <c r="D4" i="4"/>
  <c r="K5" i="3"/>
  <c r="J5" i="3"/>
  <c r="K4" i="3"/>
  <c r="J4" i="3"/>
  <c r="K8" i="3"/>
  <c r="J8" i="3"/>
  <c r="K3" i="3"/>
  <c r="J3" i="3"/>
  <c r="F4" i="3"/>
  <c r="F5" i="3"/>
  <c r="F8" i="3"/>
  <c r="F3" i="3"/>
  <c r="E3" i="3"/>
  <c r="E4" i="3"/>
  <c r="E5" i="3"/>
  <c r="E8" i="3"/>
  <c r="K36" i="4" l="1"/>
  <c r="K39" i="4"/>
  <c r="K35" i="4"/>
  <c r="J35" i="4"/>
  <c r="F39" i="4"/>
  <c r="F36" i="4"/>
  <c r="F35" i="4"/>
  <c r="E37" i="4"/>
  <c r="E35" i="4"/>
  <c r="K7" i="3"/>
  <c r="K6" i="3"/>
  <c r="E6" i="4"/>
  <c r="F6" i="4"/>
  <c r="B4" i="4"/>
  <c r="B5" i="4"/>
  <c r="E6" i="3"/>
  <c r="E7" i="3"/>
  <c r="F7" i="3"/>
  <c r="E7" i="4"/>
  <c r="J7" i="3"/>
  <c r="J6" i="3"/>
  <c r="F5" i="4" l="1"/>
  <c r="E5" i="4"/>
  <c r="E4" i="4"/>
  <c r="F4" i="4"/>
  <c r="U7" i="2" l="1"/>
  <c r="T7" i="2"/>
  <c r="U6" i="2"/>
  <c r="T6" i="2"/>
  <c r="U5" i="2"/>
  <c r="T5" i="2"/>
  <c r="U4" i="2"/>
  <c r="T4" i="2"/>
  <c r="P7" i="2"/>
  <c r="O7" i="2"/>
  <c r="P6" i="2"/>
  <c r="O6" i="2"/>
  <c r="P5" i="2"/>
  <c r="O5" i="2"/>
  <c r="P4" i="2"/>
  <c r="O4" i="2"/>
  <c r="K7" i="2"/>
  <c r="J7" i="2"/>
  <c r="K6" i="2"/>
  <c r="J6" i="2"/>
  <c r="K5" i="2"/>
  <c r="J5" i="2"/>
  <c r="K4" i="2"/>
  <c r="J4" i="2"/>
  <c r="F7" i="2"/>
  <c r="E7" i="2"/>
  <c r="F6" i="2"/>
  <c r="E6" i="2"/>
  <c r="F5" i="2"/>
  <c r="E5" i="2"/>
  <c r="F4" i="2"/>
  <c r="E4" i="2"/>
  <c r="U3" i="2"/>
  <c r="T3" i="2"/>
  <c r="P3" i="2"/>
  <c r="O3" i="2"/>
  <c r="K3" i="2"/>
  <c r="J3" i="2"/>
  <c r="F3" i="2"/>
  <c r="E3" i="2"/>
  <c r="A4" i="2"/>
  <c r="A5" i="2" s="1"/>
  <c r="A6" i="2" s="1"/>
  <c r="O7" i="1" l="1"/>
  <c r="P7" i="1"/>
  <c r="J7" i="1"/>
  <c r="K7" i="1"/>
  <c r="E7" i="1"/>
  <c r="F7" i="1"/>
  <c r="P6" i="1"/>
  <c r="O6" i="1"/>
  <c r="K6" i="1"/>
  <c r="J6" i="1"/>
  <c r="F6" i="1"/>
  <c r="E6" i="1"/>
  <c r="P5" i="1"/>
  <c r="O5" i="1"/>
  <c r="K5" i="1"/>
  <c r="J5" i="1"/>
  <c r="F5" i="1"/>
  <c r="E5" i="1"/>
  <c r="P4" i="1"/>
  <c r="O4" i="1"/>
  <c r="K4" i="1"/>
  <c r="J4" i="1"/>
  <c r="F4" i="1"/>
  <c r="E4" i="1"/>
  <c r="P3" i="1"/>
  <c r="O3" i="1"/>
  <c r="K3" i="1"/>
  <c r="J3" i="1"/>
  <c r="F3" i="1"/>
  <c r="E3" i="1"/>
  <c r="A5" i="1"/>
  <c r="A6" i="1" s="1"/>
  <c r="A4" i="1"/>
</calcChain>
</file>

<file path=xl/sharedStrings.xml><?xml version="1.0" encoding="utf-8"?>
<sst xmlns="http://schemas.openxmlformats.org/spreadsheetml/2006/main" count="120" uniqueCount="38">
  <si>
    <t>100% Excitation</t>
  </si>
  <si>
    <t>Im 1</t>
  </si>
  <si>
    <t>Im 2</t>
  </si>
  <si>
    <t>Im 3</t>
  </si>
  <si>
    <t>55% Excitation</t>
  </si>
  <si>
    <t>30% Excitation</t>
  </si>
  <si>
    <t>Concentration (nM)</t>
  </si>
  <si>
    <t>Mean</t>
  </si>
  <si>
    <t>STD</t>
  </si>
  <si>
    <t>Excitation</t>
  </si>
  <si>
    <t>Slope</t>
  </si>
  <si>
    <t>10% Excitation</t>
  </si>
  <si>
    <t>2% Excitation</t>
  </si>
  <si>
    <t>33.709.231</t>
  </si>
  <si>
    <t>1s exposure</t>
  </si>
  <si>
    <t>100 ms exposure</t>
  </si>
  <si>
    <t>5s exposure</t>
  </si>
  <si>
    <t>1 s exposure</t>
  </si>
  <si>
    <t>Scaling</t>
  </si>
  <si>
    <t>Scaling Factor</t>
  </si>
  <si>
    <t>Adjusted</t>
  </si>
  <si>
    <t>Expected Ratio</t>
  </si>
  <si>
    <t>QY mCh</t>
  </si>
  <si>
    <t>QY Tx</t>
  </si>
  <si>
    <t>Ex mCh</t>
  </si>
  <si>
    <t>Ex Tx</t>
  </si>
  <si>
    <t>Conc (nM)</t>
  </si>
  <si>
    <t>Im1</t>
  </si>
  <si>
    <t>Im2</t>
  </si>
  <si>
    <t>Im3</t>
  </si>
  <si>
    <t>Slope LY</t>
  </si>
  <si>
    <t>Slope BcLOV4 (10%)</t>
  </si>
  <si>
    <t>Ratio</t>
  </si>
  <si>
    <t>DHPE/Sulfrhodamine</t>
  </si>
  <si>
    <t>Calculated Ratio (SulfR/mCh)</t>
  </si>
  <si>
    <t>Ratio (DHPE/mCh)</t>
  </si>
  <si>
    <t>Fl/(molec/um2 DHPE)</t>
  </si>
  <si>
    <t>Fl/(molec/um2 mCh)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</si>
</sst>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'Left Scope BcLOV4'!$E$1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25.35069999999999"/>
            <c:dispRSqr val="0"/>
            <c:dispEq val="1"/>
            <c:trendlineLbl>
              <c:layout>
                <c:manualLayout>
                  <c:x val="-0.15876655922679664"/>
                  <c:y val="-8.5216771201708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'Left Scope BcLOV4'!$A$3:$A$7</c:f>
              <c:numCache>
                <c:formatCode>General</c:formatCode>
                <c:ptCount val="5"/>
                <c:pt idx="0">
                  <c:v>314</c:v>
                </c:pt>
                <c:pt idx="1">
                  <c:v>157</c:v>
                </c:pt>
                <c:pt idx="2">
                  <c:v>78.5</c:v>
                </c:pt>
                <c:pt idx="3">
                  <c:v>39.25</c:v>
                </c:pt>
                <c:pt idx="4">
                  <c:v>0</c:v>
                </c:pt>
              </c:numCache>
            </c:numRef>
          </c:xVal>
          <c:yVal>
            <c:numRef>
              <c:f>'Left Scope BcLOV4'!$E$3:$E$7</c:f>
              <c:numCache>
                <c:formatCode>General</c:formatCode>
                <c:ptCount val="5"/>
                <c:pt idx="0">
                  <c:v>12851.227666666668</c:v>
                </c:pt>
                <c:pt idx="1">
                  <c:v>6594.8716666666669</c:v>
                </c:pt>
                <c:pt idx="2">
                  <c:v>2706.9313333333334</c:v>
                </c:pt>
                <c:pt idx="3">
                  <c:v>1215.519</c:v>
                </c:pt>
                <c:pt idx="4">
                  <c:v>125.35066666666667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19-487C-8A6B-90FCFF531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21208"/>
        <c:axId val="402519568"/>
      </c:scatterChart>
      <c:valAx>
        <c:axId val="40252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9568"/>
        <c:crosses val="autoZero"/>
        <c:crossBetween val="midCat"/>
      </c:valAx>
      <c:valAx>
        <c:axId val="40251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'Left Scope BcLOV4'!$J$1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07.1073"/>
            <c:dispRSqr val="0"/>
            <c:dispEq val="1"/>
            <c:trendlineLbl>
              <c:layout>
                <c:manualLayout>
                  <c:x val="-0.15876655922679664"/>
                  <c:y val="-8.5216771201708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'Left Scope BcLOV4'!$A$3:$A$7</c:f>
              <c:numCache>
                <c:formatCode>General</c:formatCode>
                <c:ptCount val="5"/>
                <c:pt idx="0">
                  <c:v>314</c:v>
                </c:pt>
                <c:pt idx="1">
                  <c:v>157</c:v>
                </c:pt>
                <c:pt idx="2">
                  <c:v>78.5</c:v>
                </c:pt>
                <c:pt idx="3">
                  <c:v>39.25</c:v>
                </c:pt>
                <c:pt idx="4">
                  <c:v>0</c:v>
                </c:pt>
              </c:numCache>
            </c:numRef>
          </c:xVal>
          <c:yVal>
            <c:numRef>
              <c:f>'Left Scope BcLOV4'!$J$3:$J$7</c:f>
              <c:numCache>
                <c:formatCode>General</c:formatCode>
                <c:ptCount val="5"/>
                <c:pt idx="0">
                  <c:v>5718.9476666666669</c:v>
                </c:pt>
                <c:pt idx="1">
                  <c:v>2802.7253333333333</c:v>
                </c:pt>
                <c:pt idx="2">
                  <c:v>1242.0829999999999</c:v>
                </c:pt>
                <c:pt idx="3">
                  <c:v>557.37099999999998</c:v>
                </c:pt>
                <c:pt idx="4">
                  <c:v>107.10733333333333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BF-43CA-BFC0-B9211AF3F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21208"/>
        <c:axId val="402519568"/>
      </c:scatterChart>
      <c:valAx>
        <c:axId val="40252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9568"/>
        <c:crosses val="autoZero"/>
        <c:crossBetween val="midCat"/>
      </c:valAx>
      <c:valAx>
        <c:axId val="40251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'Left Scope BcLOV4'!$O$1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01.24700000000001"/>
            <c:dispRSqr val="0"/>
            <c:dispEq val="1"/>
            <c:trendlineLbl>
              <c:layout>
                <c:manualLayout>
                  <c:x val="-0.15876655922679664"/>
                  <c:y val="-8.5216771201708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'Left Scope BcLOV4'!$A$3:$A$7</c:f>
              <c:numCache>
                <c:formatCode>General</c:formatCode>
                <c:ptCount val="5"/>
                <c:pt idx="0">
                  <c:v>314</c:v>
                </c:pt>
                <c:pt idx="1">
                  <c:v>157</c:v>
                </c:pt>
                <c:pt idx="2">
                  <c:v>78.5</c:v>
                </c:pt>
                <c:pt idx="3">
                  <c:v>39.25</c:v>
                </c:pt>
                <c:pt idx="4">
                  <c:v>0</c:v>
                </c:pt>
              </c:numCache>
            </c:numRef>
          </c:xVal>
          <c:yVal>
            <c:numRef>
              <c:f>'Left Scope BcLOV4'!$O$3:$O$7</c:f>
              <c:numCache>
                <c:formatCode>General</c:formatCode>
                <c:ptCount val="5"/>
                <c:pt idx="0">
                  <c:v>2801.7583333333332</c:v>
                </c:pt>
                <c:pt idx="1">
                  <c:v>1396.2556666666667</c:v>
                </c:pt>
                <c:pt idx="2">
                  <c:v>642.77666666666664</c:v>
                </c:pt>
                <c:pt idx="3">
                  <c:v>319.25566666666668</c:v>
                </c:pt>
                <c:pt idx="4">
                  <c:v>101.247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35-4B4F-9536-5BBBAE52D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21208"/>
        <c:axId val="402519568"/>
      </c:scatterChart>
      <c:valAx>
        <c:axId val="40252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9568"/>
        <c:crosses val="autoZero"/>
        <c:crossBetween val="midCat"/>
      </c:valAx>
      <c:valAx>
        <c:axId val="40251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'Left Scope BcLOV4'!$A$24:$A$27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55</c:v>
                </c:pt>
                <c:pt idx="3">
                  <c:v>100</c:v>
                </c:pt>
              </c:numCache>
            </c:numRef>
          </c:xVal>
          <c:yVal>
            <c:numRef>
              <c:f>'Left Scope BcLOV4'!$B$24:$B$27</c:f>
              <c:numCache>
                <c:formatCode>General</c:formatCode>
                <c:ptCount val="4"/>
                <c:pt idx="0">
                  <c:v>0</c:v>
                </c:pt>
                <c:pt idx="1">
                  <c:v>8.4182000000000006</c:v>
                </c:pt>
                <c:pt idx="2">
                  <c:v>17.504000000000001</c:v>
                </c:pt>
                <c:pt idx="3">
                  <c:v>40.146000000000001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9B-4590-B0E1-DE93CFB2E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10752"/>
        <c:axId val="532714688"/>
      </c:scatterChart>
      <c:valAx>
        <c:axId val="5327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14688"/>
        <c:crosses val="autoZero"/>
        <c:crossBetween val="midCat"/>
      </c:valAx>
      <c:valAx>
        <c:axId val="5327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104.1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[1]Sheet1!$A$8:$A$12</c:f>
              <c:numCache>
                <c:formatCode>General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625</c:v>
                </c:pt>
                <c:pt idx="3">
                  <c:v>1250</c:v>
                </c:pt>
                <c:pt idx="4">
                  <c:v>2500</c:v>
                </c:pt>
              </c:numCache>
            </c:numRef>
          </c:xVal>
          <c:yVal>
            <c:numRef>
              <c:f>[1]Sheet1!$B$8:$B$12</c:f>
              <c:numCache>
                <c:formatCode>General</c:formatCode>
                <c:ptCount val="5"/>
                <c:pt idx="0">
                  <c:v>104.16033333333333</c:v>
                </c:pt>
                <c:pt idx="1">
                  <c:v>130.89833333333334</c:v>
                </c:pt>
                <c:pt idx="2">
                  <c:v>147.39633333333333</c:v>
                </c:pt>
                <c:pt idx="3">
                  <c:v>195.27700000000002</c:v>
                </c:pt>
                <c:pt idx="4">
                  <c:v>288.96300000000002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34-4FFA-80E2-AA2D76AC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982296"/>
        <c:axId val="475984592"/>
      </c:scatterChart>
      <c:valAx>
        <c:axId val="47598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84592"/>
        <c:crosses val="autoZero"/>
        <c:crossBetween val="midCat"/>
      </c:valAx>
      <c:valAx>
        <c:axId val="47598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82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'Right Scope BcLOV4'!$E$1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52.691"/>
            <c:dispRSqr val="0"/>
            <c:dispEq val="1"/>
            <c:trendlineLbl>
              <c:layout>
                <c:manualLayout>
                  <c:x val="-0.15876655922679664"/>
                  <c:y val="-8.5216771201708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'Right Scope BcLOV4'!$A$3:$A$7</c:f>
              <c:numCache>
                <c:formatCode>General</c:formatCode>
                <c:ptCount val="5"/>
                <c:pt idx="0">
                  <c:v>314</c:v>
                </c:pt>
                <c:pt idx="1">
                  <c:v>157</c:v>
                </c:pt>
                <c:pt idx="2">
                  <c:v>78.5</c:v>
                </c:pt>
                <c:pt idx="3">
                  <c:v>39.25</c:v>
                </c:pt>
                <c:pt idx="4">
                  <c:v>0</c:v>
                </c:pt>
              </c:numCache>
            </c:numRef>
          </c:xVal>
          <c:yVal>
            <c:numRef>
              <c:f>'Right Scope BcLOV4'!$E$3:$E$7</c:f>
              <c:numCache>
                <c:formatCode>General</c:formatCode>
                <c:ptCount val="5"/>
                <c:pt idx="0">
                  <c:v>62122.674333333329</c:v>
                </c:pt>
                <c:pt idx="1">
                  <c:v>33611.3825</c:v>
                </c:pt>
                <c:pt idx="2">
                  <c:v>12110.453666666668</c:v>
                </c:pt>
                <c:pt idx="3">
                  <c:v>5136.0926666666664</c:v>
                </c:pt>
                <c:pt idx="4">
                  <c:v>152.69066666666666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BD-4962-A199-79BA52DD8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21208"/>
        <c:axId val="402519568"/>
      </c:scatterChart>
      <c:valAx>
        <c:axId val="40252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9568"/>
        <c:crosses val="autoZero"/>
        <c:crossBetween val="midCat"/>
      </c:valAx>
      <c:valAx>
        <c:axId val="40251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'Right Scope BcLOV4'!$J$1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32.934"/>
            <c:dispRSqr val="0"/>
            <c:dispEq val="1"/>
            <c:trendlineLbl>
              <c:layout>
                <c:manualLayout>
                  <c:x val="-0.15876655922679664"/>
                  <c:y val="-8.5216771201708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'Right Scope BcLOV4'!$A$3:$A$7</c:f>
              <c:numCache>
                <c:formatCode>General</c:formatCode>
                <c:ptCount val="5"/>
                <c:pt idx="0">
                  <c:v>314</c:v>
                </c:pt>
                <c:pt idx="1">
                  <c:v>157</c:v>
                </c:pt>
                <c:pt idx="2">
                  <c:v>78.5</c:v>
                </c:pt>
                <c:pt idx="3">
                  <c:v>39.25</c:v>
                </c:pt>
                <c:pt idx="4">
                  <c:v>0</c:v>
                </c:pt>
              </c:numCache>
            </c:numRef>
          </c:xVal>
          <c:yVal>
            <c:numRef>
              <c:f>'Right Scope BcLOV4'!$J$3:$J$7</c:f>
              <c:numCache>
                <c:formatCode>General</c:formatCode>
                <c:ptCount val="5"/>
                <c:pt idx="0">
                  <c:v>36707.701999999997</c:v>
                </c:pt>
                <c:pt idx="1">
                  <c:v>19793.185999999998</c:v>
                </c:pt>
                <c:pt idx="2">
                  <c:v>7156.3120000000008</c:v>
                </c:pt>
                <c:pt idx="3">
                  <c:v>3054.6753333333331</c:v>
                </c:pt>
                <c:pt idx="4">
                  <c:v>132.93433333333334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5E-4911-8BCA-1D41B1738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21208"/>
        <c:axId val="402519568"/>
      </c:scatterChart>
      <c:valAx>
        <c:axId val="40252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9568"/>
        <c:crosses val="autoZero"/>
        <c:crossBetween val="midCat"/>
      </c:valAx>
      <c:valAx>
        <c:axId val="40251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'Right Scope BcLOV4'!$O$1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11.788"/>
            <c:dispRSqr val="0"/>
            <c:dispEq val="1"/>
            <c:trendlineLbl>
              <c:layout>
                <c:manualLayout>
                  <c:x val="-0.15876655922679664"/>
                  <c:y val="-8.5216771201708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'Right Scope BcLOV4'!$A$3:$A$7</c:f>
              <c:numCache>
                <c:formatCode>General</c:formatCode>
                <c:ptCount val="5"/>
                <c:pt idx="0">
                  <c:v>314</c:v>
                </c:pt>
                <c:pt idx="1">
                  <c:v>157</c:v>
                </c:pt>
                <c:pt idx="2">
                  <c:v>78.5</c:v>
                </c:pt>
                <c:pt idx="3">
                  <c:v>39.25</c:v>
                </c:pt>
                <c:pt idx="4">
                  <c:v>0</c:v>
                </c:pt>
              </c:numCache>
            </c:numRef>
          </c:xVal>
          <c:yVal>
            <c:numRef>
              <c:f>'Right Scope BcLOV4'!$O$3:$O$7</c:f>
              <c:numCache>
                <c:formatCode>General</c:formatCode>
                <c:ptCount val="5"/>
                <c:pt idx="0">
                  <c:v>11929.428</c:v>
                </c:pt>
                <c:pt idx="1">
                  <c:v>6581.2923333333338</c:v>
                </c:pt>
                <c:pt idx="2">
                  <c:v>2374.9783333333335</c:v>
                </c:pt>
                <c:pt idx="3">
                  <c:v>1043.5020000000002</c:v>
                </c:pt>
                <c:pt idx="4">
                  <c:v>111.78833333333334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9F-49CA-B914-D6E296563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21208"/>
        <c:axId val="402519568"/>
      </c:scatterChart>
      <c:valAx>
        <c:axId val="40252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9568"/>
        <c:crosses val="autoZero"/>
        <c:crossBetween val="midCat"/>
      </c:valAx>
      <c:valAx>
        <c:axId val="40251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'Right Scope BcLOV4'!$T$1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03.91500000000001"/>
            <c:dispRSqr val="0"/>
            <c:dispEq val="1"/>
            <c:trendlineLbl>
              <c:layout>
                <c:manualLayout>
                  <c:x val="-0.15876655922679664"/>
                  <c:y val="-8.5216771201708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'Right Scope BcLOV4'!$A$3:$A$7</c:f>
              <c:numCache>
                <c:formatCode>General</c:formatCode>
                <c:ptCount val="5"/>
                <c:pt idx="0">
                  <c:v>314</c:v>
                </c:pt>
                <c:pt idx="1">
                  <c:v>157</c:v>
                </c:pt>
                <c:pt idx="2">
                  <c:v>78.5</c:v>
                </c:pt>
                <c:pt idx="3">
                  <c:v>39.25</c:v>
                </c:pt>
                <c:pt idx="4">
                  <c:v>0</c:v>
                </c:pt>
              </c:numCache>
            </c:numRef>
          </c:xVal>
          <c:yVal>
            <c:numRef>
              <c:f>'Right Scope BcLOV4'!$T$3:$T$7</c:f>
              <c:numCache>
                <c:formatCode>General</c:formatCode>
                <c:ptCount val="5"/>
                <c:pt idx="0">
                  <c:v>1353.5429999999999</c:v>
                </c:pt>
                <c:pt idx="1">
                  <c:v>775.58500000000004</c:v>
                </c:pt>
                <c:pt idx="2">
                  <c:v>338.00200000000001</c:v>
                </c:pt>
                <c:pt idx="3">
                  <c:v>197.66499999999999</c:v>
                </c:pt>
                <c:pt idx="4">
                  <c:v>103.91466666666668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B5-4342-BFDE-C5860B881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21208"/>
        <c:axId val="402519568"/>
      </c:scatterChart>
      <c:valAx>
        <c:axId val="40252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9568"/>
        <c:crosses val="autoZero"/>
        <c:crossBetween val="midCat"/>
      </c:valAx>
      <c:valAx>
        <c:axId val="40251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'Right Scope BcLOV4'!$A$24:$A$28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30</c:v>
                </c:pt>
                <c:pt idx="4">
                  <c:v>55</c:v>
                </c:pt>
              </c:numCache>
            </c:numRef>
          </c:xVal>
          <c:yVal>
            <c:numRef>
              <c:f>'Right Scope BcLOV4'!$B$24:$B$28</c:f>
              <c:numCache>
                <c:formatCode>General</c:formatCode>
                <c:ptCount val="5"/>
                <c:pt idx="0">
                  <c:v>0</c:v>
                </c:pt>
                <c:pt idx="1">
                  <c:v>3.9702000000000002</c:v>
                </c:pt>
                <c:pt idx="2">
                  <c:v>37.729999999999997</c:v>
                </c:pt>
                <c:pt idx="3">
                  <c:v>116.36</c:v>
                </c:pt>
                <c:pt idx="4">
                  <c:v>197.38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36-4B7E-B4C0-440FF83A1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392360"/>
        <c:axId val="569393672"/>
      </c:scatterChart>
      <c:valAx>
        <c:axId val="56939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93672"/>
        <c:crosses val="autoZero"/>
        <c:crossBetween val="midCat"/>
      </c:valAx>
      <c:valAx>
        <c:axId val="56939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9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'Confocal-Sulforhodamine-101'!$E$2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14.39032999999999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'Confocal-Sulforhodamine-101'!$A$3:$A$8</c:f>
              <c:numCache>
                <c:formatCode>General</c:formatCode>
                <c:ptCount val="6"/>
                <c:pt idx="0">
                  <c:v>750</c:v>
                </c:pt>
                <c:pt idx="1">
                  <c:v>375</c:v>
                </c:pt>
                <c:pt idx="2">
                  <c:v>187.5</c:v>
                </c:pt>
                <c:pt idx="3">
                  <c:v>93.75</c:v>
                </c:pt>
                <c:pt idx="4">
                  <c:v>46.875</c:v>
                </c:pt>
                <c:pt idx="5">
                  <c:v>0</c:v>
                </c:pt>
              </c:numCache>
            </c:numRef>
          </c:xVal>
          <c:yVal>
            <c:numRef>
              <c:f>'Confocal-Sulforhodamine-101'!$E$3:$E$8</c:f>
              <c:numCache>
                <c:formatCode>General</c:formatCode>
                <c:ptCount val="6"/>
                <c:pt idx="0">
                  <c:v>12703.244666666666</c:v>
                </c:pt>
                <c:pt idx="1">
                  <c:v>6659.9533333333338</c:v>
                </c:pt>
                <c:pt idx="2">
                  <c:v>3775.1236666666668</c:v>
                </c:pt>
                <c:pt idx="3">
                  <c:v>2040.9715497099769</c:v>
                </c:pt>
                <c:pt idx="4">
                  <c:v>1068.0557203690646</c:v>
                </c:pt>
                <c:pt idx="5">
                  <c:v>114.39033333333333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A5-416E-A3B5-774C299A2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12008"/>
        <c:axId val="521811352"/>
      </c:scatterChart>
      <c:valAx>
        <c:axId val="52181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1352"/>
        <c:crosses val="autoZero"/>
        <c:crossBetween val="midCat"/>
      </c:valAx>
      <c:valAx>
        <c:axId val="52181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'Confocal-Sulforhodamine-101'!$J$2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03.03632999999999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'Confocal-Sulforhodamine-101'!$A$3:$A$8</c:f>
              <c:numCache>
                <c:formatCode>General</c:formatCode>
                <c:ptCount val="6"/>
                <c:pt idx="0">
                  <c:v>750</c:v>
                </c:pt>
                <c:pt idx="1">
                  <c:v>375</c:v>
                </c:pt>
                <c:pt idx="2">
                  <c:v>187.5</c:v>
                </c:pt>
                <c:pt idx="3">
                  <c:v>93.75</c:v>
                </c:pt>
                <c:pt idx="4">
                  <c:v>46.875</c:v>
                </c:pt>
                <c:pt idx="5">
                  <c:v>0</c:v>
                </c:pt>
              </c:numCache>
            </c:numRef>
          </c:xVal>
          <c:yVal>
            <c:numRef>
              <c:f>'Confocal-Sulforhodamine-101'!$J$3:$J$8</c:f>
              <c:numCache>
                <c:formatCode>General</c:formatCode>
                <c:ptCount val="6"/>
                <c:pt idx="0">
                  <c:v>1336.2243333333333</c:v>
                </c:pt>
                <c:pt idx="1">
                  <c:v>701.84799999999996</c:v>
                </c:pt>
                <c:pt idx="2">
                  <c:v>381.18900000000002</c:v>
                </c:pt>
                <c:pt idx="3">
                  <c:v>269.3254653972686</c:v>
                </c:pt>
                <c:pt idx="4">
                  <c:v>184.0726218405282</c:v>
                </c:pt>
                <c:pt idx="5">
                  <c:v>103.03633333333335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3A-44EC-A640-68846B88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12008"/>
        <c:axId val="521811352"/>
      </c:scatterChart>
      <c:valAx>
        <c:axId val="52181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1352"/>
        <c:crosses val="autoZero"/>
        <c:crossBetween val="midCat"/>
      </c:valAx>
      <c:valAx>
        <c:axId val="52181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'Confocal-BcLOV4'!$E$2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14.39032999999999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'Confocal-BcLOV4'!$A$34:$A$39</c:f>
              <c:numCache>
                <c:formatCode>General</c:formatCode>
                <c:ptCount val="6"/>
                <c:pt idx="0">
                  <c:v>300</c:v>
                </c:pt>
                <c:pt idx="1">
                  <c:v>150</c:v>
                </c:pt>
                <c:pt idx="2">
                  <c:v>75</c:v>
                </c:pt>
                <c:pt idx="3">
                  <c:v>37.25</c:v>
                </c:pt>
                <c:pt idx="4">
                  <c:v>18.625</c:v>
                </c:pt>
                <c:pt idx="5">
                  <c:v>0</c:v>
                </c:pt>
              </c:numCache>
            </c:numRef>
          </c:xVal>
          <c:yVal>
            <c:numRef>
              <c:f>'Confocal-BcLOV4'!$E$34:$E$39</c:f>
              <c:numCache>
                <c:formatCode>General</c:formatCode>
                <c:ptCount val="6"/>
                <c:pt idx="1">
                  <c:v>4683.1641703606956</c:v>
                </c:pt>
                <c:pt idx="2">
                  <c:v>3100.6078091418472</c:v>
                </c:pt>
                <c:pt idx="3">
                  <c:v>1820.49630070273</c:v>
                </c:pt>
                <c:pt idx="4">
                  <c:v>1117.1347207477827</c:v>
                </c:pt>
                <c:pt idx="5">
                  <c:v>171.35166666666669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F8-46A6-9A73-41564BBC4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12008"/>
        <c:axId val="521811352"/>
      </c:scatterChart>
      <c:valAx>
        <c:axId val="52181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1352"/>
        <c:crosses val="autoZero"/>
        <c:crossBetween val="midCat"/>
      </c:valAx>
      <c:valAx>
        <c:axId val="52181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'Confocal-BcLOV4'!$J$2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114.39032999999999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'Confocal-BcLOV4'!$A$34:$A$39</c:f>
              <c:numCache>
                <c:formatCode>General</c:formatCode>
                <c:ptCount val="6"/>
                <c:pt idx="0">
                  <c:v>300</c:v>
                </c:pt>
                <c:pt idx="1">
                  <c:v>150</c:v>
                </c:pt>
                <c:pt idx="2">
                  <c:v>75</c:v>
                </c:pt>
                <c:pt idx="3">
                  <c:v>37.25</c:v>
                </c:pt>
                <c:pt idx="4">
                  <c:v>18.625</c:v>
                </c:pt>
                <c:pt idx="5">
                  <c:v>0</c:v>
                </c:pt>
              </c:numCache>
            </c:numRef>
          </c:xVal>
          <c:yVal>
            <c:numRef>
              <c:f>'Confocal-BcLOV4'!$J$34:$J$39</c:f>
              <c:numCache>
                <c:formatCode>General</c:formatCode>
                <c:ptCount val="6"/>
                <c:pt idx="1">
                  <c:v>871.15521339125382</c:v>
                </c:pt>
                <c:pt idx="2">
                  <c:v>538.74824221092024</c:v>
                </c:pt>
                <c:pt idx="3">
                  <c:v>292.76764306171469</c:v>
                </c:pt>
                <c:pt idx="5">
                  <c:v>114.39033333333333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B-49A5-94F9-3DE1FCE6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12008"/>
        <c:axId val="521811352"/>
      </c:scatterChart>
      <c:valAx>
        <c:axId val="52181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1352"/>
        <c:crosses val="autoZero"/>
        <c:crossBetween val="midCat"/>
      </c:valAx>
      <c:valAx>
        <c:axId val="52181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12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92868</xdr:rowOff>
    </xdr:from>
    <xdr:to>
      <xdr:col>5</xdr:col>
      <xdr:colOff>80964</xdr:colOff>
      <xdr:row>20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AEB62-D685-462E-8D36-7A8FD6BEA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233362</xdr:colOff>
      <xdr:row>7</xdr:row>
      <xdr:rowOff>76200</xdr:rowOff>
    </xdr:from>
    <xdr:to>
      <xdr:col>10</xdr:col>
      <xdr:colOff>514350</xdr:colOff>
      <xdr:row>20</xdr:row>
      <xdr:rowOff>121445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B87EE0-6840-4F4E-A7AC-8D93D4442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100013</xdr:colOff>
      <xdr:row>7</xdr:row>
      <xdr:rowOff>119062</xdr:rowOff>
    </xdr:from>
    <xdr:to>
      <xdr:col>16</xdr:col>
      <xdr:colOff>381001</xdr:colOff>
      <xdr:row>20</xdr:row>
      <xdr:rowOff>164307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B4E3F6-FC9B-4EB0-979A-D8247495A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</xdr:colOff>
      <xdr:row>22</xdr:row>
      <xdr:rowOff>90487</xdr:rowOff>
    </xdr:from>
    <xdr:to>
      <xdr:col>9</xdr:col>
      <xdr:colOff>40481</xdr:colOff>
      <xdr:row>37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EC3EB3-F839-4E6D-A032-660FC9262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67D1D-BB38-4E01-8DCE-7F5FC240FD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7</xdr:row>
      <xdr:rowOff>42333</xdr:rowOff>
    </xdr:from>
    <xdr:to>
      <xdr:col>5</xdr:col>
      <xdr:colOff>251354</xdr:colOff>
      <xdr:row>20</xdr:row>
      <xdr:rowOff>87578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8AAF6-09F8-49AF-91BE-B77E31F25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7</xdr:row>
      <xdr:rowOff>63500</xdr:rowOff>
    </xdr:from>
    <xdr:to>
      <xdr:col>10</xdr:col>
      <xdr:colOff>526522</xdr:colOff>
      <xdr:row>20</xdr:row>
      <xdr:rowOff>108745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C3F3FE-6546-4378-B46B-BE19E8F65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560917</xdr:colOff>
      <xdr:row>7</xdr:row>
      <xdr:rowOff>31750</xdr:rowOff>
    </xdr:from>
    <xdr:to>
      <xdr:col>16</xdr:col>
      <xdr:colOff>187855</xdr:colOff>
      <xdr:row>20</xdr:row>
      <xdr:rowOff>76995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052718-7191-4784-B5E8-24483B0F1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243417</xdr:colOff>
      <xdr:row>7</xdr:row>
      <xdr:rowOff>105833</xdr:rowOff>
    </xdr:from>
    <xdr:to>
      <xdr:col>21</xdr:col>
      <xdr:colOff>484188</xdr:colOff>
      <xdr:row>20</xdr:row>
      <xdr:rowOff>151078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053052-2B50-4341-8B33-FE28D4E68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201084</xdr:colOff>
      <xdr:row>20</xdr:row>
      <xdr:rowOff>178858</xdr:rowOff>
    </xdr:from>
    <xdr:to>
      <xdr:col>11</xdr:col>
      <xdr:colOff>476250</xdr:colOff>
      <xdr:row>35</xdr:row>
      <xdr:rowOff>64558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0D69BD-038D-40C8-A9CB-C6B03F24A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95250</xdr:rowOff>
    </xdr:from>
    <xdr:to>
      <xdr:col>5</xdr:col>
      <xdr:colOff>533400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264A2-3CB9-4B93-9DF9-CCAD3EAB0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581025</xdr:colOff>
      <xdr:row>9</xdr:row>
      <xdr:rowOff>47625</xdr:rowOff>
    </xdr:from>
    <xdr:to>
      <xdr:col>11</xdr:col>
      <xdr:colOff>466725</xdr:colOff>
      <xdr:row>24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CDAB2-72AE-489F-9E47-B6B95F3D7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104775</xdr:rowOff>
    </xdr:from>
    <xdr:to>
      <xdr:col>5</xdr:col>
      <xdr:colOff>609600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7F698-AFFB-45CF-B97D-D70BC6FDC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9</xdr:row>
      <xdr:rowOff>142875</xdr:rowOff>
    </xdr:from>
    <xdr:to>
      <xdr:col>11</xdr:col>
      <xdr:colOff>542925</xdr:colOff>
      <xdr:row>25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CCA3C7-3938-4425-8DD2-7701CB225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ytosolicConcentration/LY_100ms_Exposure_10%25_Cyan_100%25_Came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A8">
            <v>0</v>
          </cell>
          <cell r="B8">
            <v>104.16033333333333</v>
          </cell>
        </row>
        <row r="9">
          <cell r="A9">
            <v>500</v>
          </cell>
          <cell r="B9">
            <v>130.89833333333334</v>
          </cell>
        </row>
        <row r="10">
          <cell r="A10">
            <v>625</v>
          </cell>
          <cell r="B10">
            <v>147.39633333333333</v>
          </cell>
        </row>
        <row r="11">
          <cell r="A11">
            <v>1250</v>
          </cell>
          <cell r="B11">
            <v>195.27700000000002</v>
          </cell>
        </row>
        <row r="12">
          <cell r="A12">
            <v>2500</v>
          </cell>
          <cell r="B12">
            <v>288.96300000000002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25EC-430F-4E15-B7FA-0FA12AF0B04F}">
  <dimension ref="A1:P27"/>
  <sheetViews>
    <sheetView workbookViewId="0">
      <selection activeCell="O3" sqref="O3:O7"/>
    </sheetView>
  </sheetViews>
  <sheetFormatPr baseColWidth="10" defaultColWidth="8.83203125" defaultRowHeight="15" x14ac:dyDescent="0.2"/>
  <cols>
    <col min="1" max="1" width="11.83203125" bestFit="1" customWidth="1"/>
  </cols>
  <sheetData>
    <row r="1" spans="1:16" x14ac:dyDescent="0.2">
      <c r="B1" t="s">
        <v>0</v>
      </c>
      <c r="G1" t="s">
        <v>4</v>
      </c>
      <c r="L1" t="s">
        <v>5</v>
      </c>
    </row>
    <row r="2" spans="1:16" x14ac:dyDescent="0.2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1</v>
      </c>
      <c r="H2" t="s">
        <v>2</v>
      </c>
      <c r="I2" t="s">
        <v>3</v>
      </c>
      <c r="J2" t="s">
        <v>7</v>
      </c>
      <c r="K2" t="s">
        <v>8</v>
      </c>
      <c r="L2" t="s">
        <v>1</v>
      </c>
      <c r="M2" t="s">
        <v>2</v>
      </c>
      <c r="N2" t="s">
        <v>3</v>
      </c>
      <c r="O2" t="s">
        <v>7</v>
      </c>
      <c r="P2" t="s">
        <v>8</v>
      </c>
    </row>
    <row r="3" spans="1:16" x14ac:dyDescent="0.2">
      <c r="A3">
        <v>314</v>
      </c>
      <c r="B3">
        <v>11358.977000000001</v>
      </c>
      <c r="C3">
        <v>13605.632</v>
      </c>
      <c r="D3">
        <v>13589.074000000001</v>
      </c>
      <c r="E3">
        <f>AVERAGE(B3:D3)</f>
        <v>12851.227666666668</v>
      </c>
      <c r="F3">
        <f>_xlfn.STDEV.S(B3:D3)</f>
        <v>1292.3535046442721</v>
      </c>
      <c r="G3">
        <v>5646.0559999999996</v>
      </c>
      <c r="H3">
        <v>5768.3890000000001</v>
      </c>
      <c r="I3">
        <v>5742.3980000000001</v>
      </c>
      <c r="J3">
        <f>AVERAGE(G3:I3)</f>
        <v>5718.9476666666669</v>
      </c>
      <c r="K3">
        <f>_xlfn.STDEV.S(G3:I3)</f>
        <v>64.449820188526303</v>
      </c>
      <c r="L3">
        <v>2782.2449999999999</v>
      </c>
      <c r="M3">
        <v>2804.1219999999998</v>
      </c>
      <c r="N3">
        <v>2818.9079999999999</v>
      </c>
      <c r="O3">
        <f>AVERAGE(L3:N3)</f>
        <v>2801.7583333333332</v>
      </c>
      <c r="P3">
        <f>_xlfn.STDEV.S(L3:N3)</f>
        <v>18.445435270910075</v>
      </c>
    </row>
    <row r="4" spans="1:16" x14ac:dyDescent="0.2">
      <c r="A4">
        <f>A3/2</f>
        <v>157</v>
      </c>
      <c r="B4">
        <v>6634.1859999999997</v>
      </c>
      <c r="C4">
        <v>6580.05</v>
      </c>
      <c r="D4">
        <v>6570.3789999999999</v>
      </c>
      <c r="E4">
        <f>AVERAGE(B4:D4)</f>
        <v>6594.8716666666669</v>
      </c>
      <c r="F4">
        <f>_xlfn.STDEV.S(B4:D4)</f>
        <v>34.388874135878901</v>
      </c>
      <c r="G4">
        <v>2819.7919999999999</v>
      </c>
      <c r="H4">
        <v>2798.846</v>
      </c>
      <c r="I4">
        <v>2789.538</v>
      </c>
      <c r="J4">
        <f>AVERAGE(G4:I4)</f>
        <v>2802.7253333333333</v>
      </c>
      <c r="K4">
        <f>_xlfn.STDEV.S(G4:I4)</f>
        <v>15.495581606810754</v>
      </c>
      <c r="L4">
        <v>1387.6990000000001</v>
      </c>
      <c r="M4">
        <v>1395.624</v>
      </c>
      <c r="N4">
        <v>1405.444</v>
      </c>
      <c r="O4">
        <f>AVERAGE(L4:N4)</f>
        <v>1396.2556666666667</v>
      </c>
      <c r="P4">
        <f>_xlfn.STDEV.S(L4:N4)</f>
        <v>8.8893480263364832</v>
      </c>
    </row>
    <row r="5" spans="1:16" x14ac:dyDescent="0.2">
      <c r="A5">
        <f>A4/2</f>
        <v>78.5</v>
      </c>
      <c r="B5">
        <v>2951.4360000000001</v>
      </c>
      <c r="C5">
        <v>2591.6390000000001</v>
      </c>
      <c r="D5">
        <v>2577.7190000000001</v>
      </c>
      <c r="E5">
        <f>AVERAGE(B5:D5)</f>
        <v>2706.9313333333334</v>
      </c>
      <c r="F5">
        <f>_xlfn.STDEV.S(B5:D5)</f>
        <v>211.8616072258807</v>
      </c>
      <c r="G5">
        <v>1243.6479999999999</v>
      </c>
      <c r="H5">
        <v>1240.653</v>
      </c>
      <c r="I5">
        <v>1241.9480000000001</v>
      </c>
      <c r="J5">
        <f>AVERAGE(G5:I5)</f>
        <v>1242.0829999999999</v>
      </c>
      <c r="K5">
        <f>_xlfn.STDEV.S(G5:I5)</f>
        <v>1.5020569230224996</v>
      </c>
      <c r="L5">
        <v>648.505</v>
      </c>
      <c r="M5">
        <v>638.68700000000001</v>
      </c>
      <c r="N5">
        <v>641.13800000000003</v>
      </c>
      <c r="O5">
        <f>AVERAGE(L5:N5)</f>
        <v>642.77666666666664</v>
      </c>
      <c r="P5">
        <f>_xlfn.STDEV.S(L5:N5)</f>
        <v>5.1100100130364918</v>
      </c>
    </row>
    <row r="6" spans="1:16" x14ac:dyDescent="0.2">
      <c r="A6">
        <f>A5/2</f>
        <v>39.25</v>
      </c>
      <c r="B6">
        <v>1216.3579999999999</v>
      </c>
      <c r="C6">
        <v>1203.4100000000001</v>
      </c>
      <c r="D6">
        <v>1226.789</v>
      </c>
      <c r="E6">
        <f>AVERAGE(B6:D6)</f>
        <v>1215.519</v>
      </c>
      <c r="F6">
        <f>_xlfn.STDEV.S(B6:D6)</f>
        <v>11.712060066444282</v>
      </c>
      <c r="G6">
        <v>564.05700000000002</v>
      </c>
      <c r="H6">
        <v>554.255</v>
      </c>
      <c r="I6">
        <v>553.80100000000004</v>
      </c>
      <c r="J6">
        <f>AVERAGE(G6:I6)</f>
        <v>557.37099999999998</v>
      </c>
      <c r="K6">
        <f>_xlfn.STDEV.S(G6:I6)</f>
        <v>5.7946937796573827</v>
      </c>
      <c r="L6">
        <v>321.06</v>
      </c>
      <c r="M6">
        <v>314.64800000000002</v>
      </c>
      <c r="N6">
        <v>322.05900000000003</v>
      </c>
      <c r="O6">
        <f>AVERAGE(L6:N6)</f>
        <v>319.25566666666668</v>
      </c>
      <c r="P6">
        <f>_xlfn.STDEV.S(L6:N6)</f>
        <v>4.0214977723894485</v>
      </c>
    </row>
    <row r="7" spans="1:16" x14ac:dyDescent="0.2">
      <c r="A7">
        <v>0</v>
      </c>
      <c r="B7">
        <v>125.38800000000001</v>
      </c>
      <c r="C7">
        <v>125.38800000000001</v>
      </c>
      <c r="D7">
        <v>125.276</v>
      </c>
      <c r="E7">
        <f>AVERAGE(B7:D7)</f>
        <v>125.35066666666667</v>
      </c>
      <c r="F7">
        <f>_xlfn.STDEV.S(B7:D7)</f>
        <v>6.4663230149243273E-2</v>
      </c>
      <c r="G7">
        <v>107.151</v>
      </c>
      <c r="H7">
        <v>107.095</v>
      </c>
      <c r="I7">
        <v>107.07599999999999</v>
      </c>
      <c r="J7">
        <f>AVERAGE(G7:I7)</f>
        <v>107.10733333333333</v>
      </c>
      <c r="K7">
        <f>_xlfn.STDEV.S(G7:I7)</f>
        <v>3.899145205469258E-2</v>
      </c>
      <c r="L7">
        <v>101.157</v>
      </c>
      <c r="M7">
        <v>101.364</v>
      </c>
      <c r="N7">
        <v>101.22</v>
      </c>
      <c r="O7">
        <f>AVERAGE(L7:N7)</f>
        <v>101.247</v>
      </c>
      <c r="P7">
        <f>_xlfn.STDEV.S(L7:N7)</f>
        <v>0.10610843510296838</v>
      </c>
    </row>
    <row r="23" spans="1:2" x14ac:dyDescent="0.2">
      <c r="A23" t="s">
        <v>9</v>
      </c>
      <c r="B23" t="s">
        <v>10</v>
      </c>
    </row>
    <row r="24" spans="1:2" x14ac:dyDescent="0.2">
      <c r="A24">
        <v>0</v>
      </c>
      <c r="B24">
        <v>0</v>
      </c>
    </row>
    <row r="25" spans="1:2" x14ac:dyDescent="0.2">
      <c r="A25">
        <v>30</v>
      </c>
      <c r="B25">
        <v>8.4182000000000006</v>
      </c>
    </row>
    <row r="26" spans="1:2" x14ac:dyDescent="0.2">
      <c r="A26">
        <v>55</v>
      </c>
      <c r="B26">
        <v>17.504000000000001</v>
      </c>
    </row>
    <row r="27" spans="1:2" x14ac:dyDescent="0.2">
      <c r="A27">
        <v>100</v>
      </c>
      <c r="B27">
        <v>40.146000000000001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0FBD-4391-4670-8C21-045046B6B04F}">
  <dimension ref="A1:E16"/>
  <sheetViews>
    <sheetView workbookViewId="0">
      <selection activeCell="D8" sqref="D8"/>
    </sheetView>
  </sheetViews>
  <sheetFormatPr baseColWidth="10" defaultColWidth="8.83203125" defaultRowHeight="15" x14ac:dyDescent="0.2"/>
  <cols>
    <col min="2" max="2" width="11" bestFit="1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</row>
    <row r="2" spans="1:5" x14ac:dyDescent="0.2">
      <c r="A2">
        <v>0</v>
      </c>
      <c r="B2">
        <v>104.038</v>
      </c>
      <c r="C2">
        <v>104.185</v>
      </c>
      <c r="D2">
        <v>104.258</v>
      </c>
      <c r="E2">
        <f>AVERAGE(B2:D2)</f>
        <v>104.16033333333333</v>
      </c>
    </row>
    <row r="3" spans="1:5" x14ac:dyDescent="0.2">
      <c r="A3">
        <v>500</v>
      </c>
      <c r="B3">
        <v>130.02799999999999</v>
      </c>
      <c r="C3">
        <v>131.023</v>
      </c>
      <c r="D3">
        <v>131.64400000000001</v>
      </c>
      <c r="E3">
        <f t="shared" ref="E3:E6" si="0">AVERAGE(B3:D3)</f>
        <v>130.89833333333334</v>
      </c>
    </row>
    <row r="4" spans="1:5" x14ac:dyDescent="0.2">
      <c r="A4">
        <v>625</v>
      </c>
      <c r="B4">
        <v>147.45599999999999</v>
      </c>
      <c r="C4">
        <v>147.46799999999999</v>
      </c>
      <c r="D4">
        <v>147.26499999999999</v>
      </c>
      <c r="E4">
        <f>AVERAGE(B4:D4)</f>
        <v>147.39633333333333</v>
      </c>
    </row>
    <row r="5" spans="1:5" x14ac:dyDescent="0.2">
      <c r="A5">
        <v>1250</v>
      </c>
      <c r="B5">
        <v>195.00299999999999</v>
      </c>
      <c r="C5">
        <v>195.44499999999999</v>
      </c>
      <c r="D5">
        <v>195.38300000000001</v>
      </c>
      <c r="E5">
        <f>AVERAGE(B5:D5)</f>
        <v>195.27700000000002</v>
      </c>
    </row>
    <row r="6" spans="1:5" x14ac:dyDescent="0.2">
      <c r="A6">
        <v>2500</v>
      </c>
      <c r="B6">
        <v>289.44400000000002</v>
      </c>
      <c r="C6">
        <v>289.02499999999998</v>
      </c>
      <c r="D6">
        <v>288.42</v>
      </c>
      <c r="E6">
        <f t="shared" si="0"/>
        <v>288.96300000000002</v>
      </c>
    </row>
    <row r="8" spans="1:5" x14ac:dyDescent="0.2">
      <c r="A8">
        <v>0</v>
      </c>
      <c r="B8">
        <v>104.16033333333333</v>
      </c>
    </row>
    <row r="9" spans="1:5" x14ac:dyDescent="0.2">
      <c r="A9">
        <v>500</v>
      </c>
      <c r="B9">
        <v>130.89833333333334</v>
      </c>
    </row>
    <row r="10" spans="1:5" x14ac:dyDescent="0.2">
      <c r="A10">
        <v>625</v>
      </c>
      <c r="B10">
        <v>147.39633333333333</v>
      </c>
    </row>
    <row r="11" spans="1:5" x14ac:dyDescent="0.2">
      <c r="A11">
        <v>1250</v>
      </c>
      <c r="B11">
        <v>195.27700000000002</v>
      </c>
    </row>
    <row r="12" spans="1:5" x14ac:dyDescent="0.2">
      <c r="A12">
        <v>2500</v>
      </c>
      <c r="B12">
        <v>288.96300000000002</v>
      </c>
    </row>
    <row r="14" spans="1:5" x14ac:dyDescent="0.2">
      <c r="A14" t="s">
        <v>30</v>
      </c>
      <c r="B14">
        <v>7.2900000000000006E-2</v>
      </c>
    </row>
    <row r="15" spans="1:5" x14ac:dyDescent="0.2">
      <c r="A15" t="s">
        <v>31</v>
      </c>
      <c r="B15">
        <v>37.729999999999997</v>
      </c>
    </row>
    <row r="16" spans="1:5" x14ac:dyDescent="0.2">
      <c r="A16" t="s">
        <v>32</v>
      </c>
      <c r="B16">
        <f>B15/B14</f>
        <v>517.55829903978042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8B02-587F-49A2-9FAE-4D0131B59F76}">
  <dimension ref="A1:U28"/>
  <sheetViews>
    <sheetView tabSelected="1" zoomScale="90" zoomScaleNormal="90" workbookViewId="0">
      <selection activeCell="P3" sqref="P3:P7"/>
    </sheetView>
  </sheetViews>
  <sheetFormatPr baseColWidth="10" defaultColWidth="8.83203125" defaultRowHeight="15" x14ac:dyDescent="0.2"/>
  <cols>
    <col min="3" max="3" width="12" bestFit="1" customWidth="1"/>
  </cols>
  <sheetData>
    <row r="1" spans="1:21" x14ac:dyDescent="0.2">
      <c r="B1" t="s">
        <v>4</v>
      </c>
      <c r="G1" t="s">
        <v>5</v>
      </c>
      <c r="L1" t="s">
        <v>11</v>
      </c>
      <c r="Q1" t="s">
        <v>12</v>
      </c>
    </row>
    <row r="2" spans="1:21" x14ac:dyDescent="0.2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1</v>
      </c>
      <c r="H2" t="s">
        <v>2</v>
      </c>
      <c r="I2" t="s">
        <v>3</v>
      </c>
      <c r="J2" t="s">
        <v>7</v>
      </c>
      <c r="K2" t="s">
        <v>8</v>
      </c>
      <c r="L2" t="s">
        <v>1</v>
      </c>
      <c r="M2" t="s">
        <v>2</v>
      </c>
      <c r="N2" t="s">
        <v>3</v>
      </c>
      <c r="O2" t="s">
        <v>7</v>
      </c>
      <c r="P2" t="s">
        <v>8</v>
      </c>
      <c r="Q2" t="s">
        <v>1</v>
      </c>
      <c r="R2" t="s">
        <v>2</v>
      </c>
      <c r="S2" t="s">
        <v>3</v>
      </c>
      <c r="T2" t="s">
        <v>7</v>
      </c>
      <c r="U2" t="s">
        <v>8</v>
      </c>
    </row>
    <row r="3" spans="1:21" x14ac:dyDescent="0.2">
      <c r="A3">
        <v>314</v>
      </c>
      <c r="B3">
        <v>62271.190999999999</v>
      </c>
      <c r="C3">
        <v>62444.845000000001</v>
      </c>
      <c r="D3">
        <v>61651.987000000001</v>
      </c>
      <c r="E3">
        <f>AVERAGE(B3:D3)</f>
        <v>62122.674333333329</v>
      </c>
      <c r="F3">
        <f>_xlfn.STDEV.S(B3:D3)</f>
        <v>416.7719427328729</v>
      </c>
      <c r="G3">
        <v>36960.254000000001</v>
      </c>
      <c r="H3">
        <v>36253.406999999999</v>
      </c>
      <c r="I3">
        <v>36909.445</v>
      </c>
      <c r="J3">
        <f>AVERAGE(G3:I3)</f>
        <v>36707.701999999997</v>
      </c>
      <c r="K3">
        <f>_xlfn.STDEV.S(G3:I3)</f>
        <v>394.25036320718903</v>
      </c>
      <c r="L3">
        <v>12097.808999999999</v>
      </c>
      <c r="M3">
        <v>11845.612999999999</v>
      </c>
      <c r="N3">
        <v>11844.861999999999</v>
      </c>
      <c r="O3">
        <f>AVERAGE(L3:N3)</f>
        <v>11929.428</v>
      </c>
      <c r="P3">
        <f>_xlfn.STDEV.S(L3:N3)</f>
        <v>145.82270698008594</v>
      </c>
      <c r="Q3">
        <v>1345.67</v>
      </c>
      <c r="R3">
        <v>1333.663</v>
      </c>
      <c r="S3">
        <v>1381.296</v>
      </c>
      <c r="T3">
        <f>AVERAGE(Q3:S3)</f>
        <v>1353.5429999999999</v>
      </c>
      <c r="U3">
        <f>_xlfn.STDEV.S(Q3:S3)</f>
        <v>24.773247041920051</v>
      </c>
    </row>
    <row r="4" spans="1:21" x14ac:dyDescent="0.2">
      <c r="A4">
        <f>A3/2</f>
        <v>157</v>
      </c>
      <c r="B4">
        <v>34169.472999999998</v>
      </c>
      <c r="C4" t="s">
        <v>13</v>
      </c>
      <c r="D4">
        <v>33053.292000000001</v>
      </c>
      <c r="E4">
        <f>AVERAGE(B4:D4)</f>
        <v>33611.3825</v>
      </c>
      <c r="F4">
        <f>_xlfn.STDEV.S(B4:D4)</f>
        <v>789.25915413157952</v>
      </c>
      <c r="G4">
        <v>19431.277999999998</v>
      </c>
      <c r="H4">
        <v>19812.817999999999</v>
      </c>
      <c r="I4">
        <v>20135.462</v>
      </c>
      <c r="J4">
        <f>AVERAGE(G4:I4)</f>
        <v>19793.185999999998</v>
      </c>
      <c r="K4">
        <f>_xlfn.STDEV.S(G4:I4)</f>
        <v>352.50225252046323</v>
      </c>
      <c r="L4">
        <v>6707.2629999999999</v>
      </c>
      <c r="M4">
        <v>6576.7979999999998</v>
      </c>
      <c r="N4">
        <v>6459.8159999999998</v>
      </c>
      <c r="O4">
        <f>AVERAGE(L4:N4)</f>
        <v>6581.2923333333338</v>
      </c>
      <c r="P4">
        <f>_xlfn.STDEV.S(L4:N4)</f>
        <v>123.78470715857169</v>
      </c>
      <c r="Q4">
        <v>809.14599999999996</v>
      </c>
      <c r="R4">
        <v>766.46400000000006</v>
      </c>
      <c r="S4">
        <v>751.14499999999998</v>
      </c>
      <c r="T4">
        <f>AVERAGE(Q4:S4)</f>
        <v>775.58500000000004</v>
      </c>
      <c r="U4">
        <f>_xlfn.STDEV.S(Q4:S4)</f>
        <v>30.057003859333662</v>
      </c>
    </row>
    <row r="5" spans="1:21" x14ac:dyDescent="0.2">
      <c r="A5">
        <f>A4/2</f>
        <v>78.5</v>
      </c>
      <c r="B5">
        <v>12089.288</v>
      </c>
      <c r="C5">
        <v>11904.058999999999</v>
      </c>
      <c r="D5">
        <v>12338.013999999999</v>
      </c>
      <c r="E5">
        <f>AVERAGE(B5:D5)</f>
        <v>12110.453666666668</v>
      </c>
      <c r="F5">
        <f>_xlfn.STDEV.S(B5:D5)</f>
        <v>217.75037219332899</v>
      </c>
      <c r="G5">
        <v>7075.5559999999996</v>
      </c>
      <c r="H5">
        <v>7029.1930000000002</v>
      </c>
      <c r="I5">
        <v>7364.1869999999999</v>
      </c>
      <c r="J5">
        <f>AVERAGE(G5:I5)</f>
        <v>7156.3120000000008</v>
      </c>
      <c r="K5">
        <f>_xlfn.STDEV.S(G5:I5)</f>
        <v>181.51141468513759</v>
      </c>
      <c r="L5">
        <v>2343.598</v>
      </c>
      <c r="M5">
        <v>2344.6889999999999</v>
      </c>
      <c r="N5">
        <v>2436.6480000000001</v>
      </c>
      <c r="O5">
        <f>AVERAGE(L5:N5)</f>
        <v>2374.9783333333335</v>
      </c>
      <c r="P5">
        <f>_xlfn.STDEV.S(L5:N5)</f>
        <v>53.410283750728645</v>
      </c>
      <c r="Q5">
        <v>333.988</v>
      </c>
      <c r="R5">
        <v>333.64499999999998</v>
      </c>
      <c r="S5">
        <v>346.37299999999999</v>
      </c>
      <c r="T5">
        <f>AVERAGE(Q5:S5)</f>
        <v>338.00200000000001</v>
      </c>
      <c r="U5">
        <f>_xlfn.STDEV.S(Q5:S5)</f>
        <v>7.2515269426514575</v>
      </c>
    </row>
    <row r="6" spans="1:21" x14ac:dyDescent="0.2">
      <c r="A6">
        <f>A5/2</f>
        <v>39.25</v>
      </c>
      <c r="B6">
        <v>4926.5860000000002</v>
      </c>
      <c r="C6">
        <v>5289.6210000000001</v>
      </c>
      <c r="D6">
        <v>5192.0709999999999</v>
      </c>
      <c r="E6">
        <f>AVERAGE(B6:D6)</f>
        <v>5136.0926666666664</v>
      </c>
      <c r="F6">
        <f>_xlfn.STDEV.S(B6:D6)</f>
        <v>187.87970395530564</v>
      </c>
      <c r="G6">
        <v>3085.4690000000001</v>
      </c>
      <c r="H6">
        <v>3040.8240000000001</v>
      </c>
      <c r="I6">
        <v>3037.7330000000002</v>
      </c>
      <c r="J6">
        <f>AVERAGE(G6:I6)</f>
        <v>3054.6753333333331</v>
      </c>
      <c r="K6">
        <f>_xlfn.STDEV.S(G6:I6)</f>
        <v>26.712843359203283</v>
      </c>
      <c r="L6">
        <v>1037.2170000000001</v>
      </c>
      <c r="M6">
        <v>1046.115</v>
      </c>
      <c r="N6">
        <v>1047.174</v>
      </c>
      <c r="O6">
        <f>AVERAGE(L6:N6)</f>
        <v>1043.5020000000002</v>
      </c>
      <c r="P6">
        <f>_xlfn.STDEV.S(L6:N6)</f>
        <v>5.4686642793281184</v>
      </c>
      <c r="Q6">
        <v>198.48400000000001</v>
      </c>
      <c r="R6">
        <v>198.185</v>
      </c>
      <c r="S6">
        <v>196.32599999999999</v>
      </c>
      <c r="T6">
        <f>AVERAGE(Q6:S6)</f>
        <v>197.66499999999999</v>
      </c>
      <c r="U6">
        <f>_xlfn.STDEV.S(Q6:S6)</f>
        <v>1.169205285653472</v>
      </c>
    </row>
    <row r="7" spans="1:21" x14ac:dyDescent="0.2">
      <c r="A7">
        <v>0</v>
      </c>
      <c r="B7">
        <v>152.37299999999999</v>
      </c>
      <c r="C7">
        <v>153.006</v>
      </c>
      <c r="D7">
        <v>152.69300000000001</v>
      </c>
      <c r="E7">
        <f>AVERAGE(B7:D7)</f>
        <v>152.69066666666666</v>
      </c>
      <c r="F7">
        <f>_xlfn.STDEV.S(B7:D7)</f>
        <v>0.31650645069782773</v>
      </c>
      <c r="G7">
        <v>132.70400000000001</v>
      </c>
      <c r="H7">
        <v>133.12700000000001</v>
      </c>
      <c r="I7">
        <v>132.97200000000001</v>
      </c>
      <c r="J7">
        <f>AVERAGE(G7:I7)</f>
        <v>132.93433333333334</v>
      </c>
      <c r="K7">
        <f>_xlfn.STDEV.S(G7:I7)</f>
        <v>0.21400077881478308</v>
      </c>
      <c r="L7">
        <v>111.893</v>
      </c>
      <c r="M7">
        <v>111.82</v>
      </c>
      <c r="N7">
        <v>111.652</v>
      </c>
      <c r="O7">
        <f>AVERAGE(L7:N7)</f>
        <v>111.78833333333334</v>
      </c>
      <c r="P7">
        <f>_xlfn.STDEV.S(L7:N7)</f>
        <v>0.12358128229361051</v>
      </c>
      <c r="Q7">
        <v>103.84399999999999</v>
      </c>
      <c r="R7">
        <v>103.88800000000001</v>
      </c>
      <c r="S7">
        <v>104.012</v>
      </c>
      <c r="T7">
        <f>AVERAGE(Q7:S7)</f>
        <v>103.91466666666668</v>
      </c>
      <c r="U7">
        <f>_xlfn.STDEV.S(Q7:S7)</f>
        <v>8.7116779860906574E-2</v>
      </c>
    </row>
    <row r="23" spans="1:2" x14ac:dyDescent="0.2">
      <c r="A23" t="s">
        <v>9</v>
      </c>
      <c r="B23" t="s">
        <v>10</v>
      </c>
    </row>
    <row r="24" spans="1:2" x14ac:dyDescent="0.2">
      <c r="A24">
        <v>0</v>
      </c>
      <c r="B24">
        <v>0</v>
      </c>
    </row>
    <row r="25" spans="1:2" x14ac:dyDescent="0.2">
      <c r="A25">
        <v>2</v>
      </c>
      <c r="B25">
        <v>3.9702000000000002</v>
      </c>
    </row>
    <row r="26" spans="1:2" x14ac:dyDescent="0.2">
      <c r="A26">
        <v>10</v>
      </c>
      <c r="B26">
        <v>37.729999999999997</v>
      </c>
    </row>
    <row r="27" spans="1:2" x14ac:dyDescent="0.2">
      <c r="A27">
        <v>30</v>
      </c>
      <c r="B27">
        <v>116.36</v>
      </c>
    </row>
    <row r="28" spans="1:2" x14ac:dyDescent="0.2">
      <c r="A28">
        <v>55</v>
      </c>
      <c r="B28">
        <v>197.38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1F0E-8771-4BE3-B76E-9620AB48C622}">
  <dimension ref="A1:K28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11" x14ac:dyDescent="0.2">
      <c r="B1" t="s">
        <v>14</v>
      </c>
      <c r="G1" t="s">
        <v>15</v>
      </c>
    </row>
    <row r="2" spans="1:11" x14ac:dyDescent="0.2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1</v>
      </c>
      <c r="H2" t="s">
        <v>2</v>
      </c>
      <c r="I2" t="s">
        <v>3</v>
      </c>
      <c r="J2" t="s">
        <v>7</v>
      </c>
      <c r="K2" t="s">
        <v>8</v>
      </c>
    </row>
    <row r="3" spans="1:11" x14ac:dyDescent="0.2">
      <c r="A3">
        <v>750</v>
      </c>
      <c r="B3">
        <v>12152.645</v>
      </c>
      <c r="C3">
        <v>12990.05</v>
      </c>
      <c r="D3">
        <v>12967.039000000001</v>
      </c>
      <c r="E3">
        <f t="shared" ref="E3:E7" si="0">AVERAGE(B3:D3)</f>
        <v>12703.244666666666</v>
      </c>
      <c r="F3">
        <f>_xlfn.STDEV.S(B3:D3)</f>
        <v>476.97208642679823</v>
      </c>
      <c r="G3">
        <v>1347.394</v>
      </c>
      <c r="H3">
        <v>1334.7809999999999</v>
      </c>
      <c r="I3">
        <v>1326.498</v>
      </c>
      <c r="J3">
        <f t="shared" ref="J3:J7" si="1">AVERAGE(G3:I3)</f>
        <v>1336.2243333333333</v>
      </c>
      <c r="K3">
        <f>_xlfn.STDEV.S(G3:I3)</f>
        <v>10.522505040784395</v>
      </c>
    </row>
    <row r="4" spans="1:11" x14ac:dyDescent="0.2">
      <c r="A4">
        <v>375</v>
      </c>
      <c r="B4">
        <v>6689.5069999999996</v>
      </c>
      <c r="C4">
        <v>6628.6949999999997</v>
      </c>
      <c r="D4">
        <v>6661.6580000000004</v>
      </c>
      <c r="E4">
        <f t="shared" si="0"/>
        <v>6659.9533333333338</v>
      </c>
      <c r="F4">
        <f t="shared" ref="F4:F8" si="2">_xlfn.STDEV.S(B4:D4)</f>
        <v>30.441817493923246</v>
      </c>
      <c r="G4">
        <v>694.43200000000002</v>
      </c>
      <c r="H4">
        <v>703.524</v>
      </c>
      <c r="I4">
        <v>707.58799999999997</v>
      </c>
      <c r="J4">
        <f t="shared" si="1"/>
        <v>701.84799999999996</v>
      </c>
      <c r="K4">
        <f>_xlfn.STDEV.S(G4:I4)</f>
        <v>6.736231587467854</v>
      </c>
    </row>
    <row r="5" spans="1:11" x14ac:dyDescent="0.2">
      <c r="A5">
        <v>187.5</v>
      </c>
      <c r="B5">
        <v>3962.0920000000001</v>
      </c>
      <c r="C5">
        <v>3702.348</v>
      </c>
      <c r="D5">
        <v>3660.931</v>
      </c>
      <c r="E5">
        <f t="shared" si="0"/>
        <v>3775.1236666666668</v>
      </c>
      <c r="F5">
        <f t="shared" si="2"/>
        <v>163.23820087324336</v>
      </c>
      <c r="G5">
        <v>406.83800000000002</v>
      </c>
      <c r="H5">
        <v>385.25799999999998</v>
      </c>
      <c r="I5">
        <v>351.471</v>
      </c>
      <c r="J5">
        <f t="shared" si="1"/>
        <v>381.18900000000002</v>
      </c>
      <c r="K5">
        <f>_xlfn.STDEV.S(G5:I5)</f>
        <v>27.906876267328819</v>
      </c>
    </row>
    <row r="6" spans="1:11" x14ac:dyDescent="0.2">
      <c r="A6">
        <v>93.75</v>
      </c>
      <c r="B6">
        <v>2205.4699999999998</v>
      </c>
      <c r="C6">
        <v>1991.0650000000001</v>
      </c>
      <c r="D6">
        <f>(1345-E8)*B28+E8</f>
        <v>1926.3796491299308</v>
      </c>
      <c r="E6">
        <f t="shared" si="0"/>
        <v>2040.9715497099769</v>
      </c>
      <c r="F6">
        <f t="shared" si="2"/>
        <v>146.08509083804665</v>
      </c>
      <c r="G6">
        <f>(206.574-J8)*B28+J8</f>
        <v>255.48852907358255</v>
      </c>
      <c r="H6">
        <f>(206.569-J8)*B28+J8</f>
        <v>255.4811669125136</v>
      </c>
      <c r="I6">
        <f>(234.771-J8)*B28+J8</f>
        <v>297.00670020570971</v>
      </c>
      <c r="J6">
        <f t="shared" si="1"/>
        <v>269.3254653972686</v>
      </c>
      <c r="K6">
        <f>_xlfn.STDEV.S(G6:I6)</f>
        <v>23.972652834853125</v>
      </c>
    </row>
    <row r="7" spans="1:11" x14ac:dyDescent="0.2">
      <c r="A7">
        <v>46.875</v>
      </c>
      <c r="B7">
        <f>(738.059-E8)*B28+E8</f>
        <v>1032.7001688623702</v>
      </c>
      <c r="C7">
        <f>(773.792-E8)*B28+E8</f>
        <v>1085.3145891575896</v>
      </c>
      <c r="D7">
        <f>(774.361-E8)*B28+E8</f>
        <v>1086.1524030872338</v>
      </c>
      <c r="E7">
        <f t="shared" si="0"/>
        <v>1068.0557203690646</v>
      </c>
      <c r="F7">
        <f t="shared" si="2"/>
        <v>30.621671244431809</v>
      </c>
      <c r="G7">
        <f>B28*(157.959-J8)+J8</f>
        <v>183.9062370003704</v>
      </c>
      <c r="H7">
        <f>(157.662-J8)*B28+J8</f>
        <v>183.46892463287594</v>
      </c>
      <c r="I7">
        <f>(158.595-J8)*B28+J8</f>
        <v>184.84270388833835</v>
      </c>
      <c r="J7">
        <f t="shared" si="1"/>
        <v>184.0726218405282</v>
      </c>
      <c r="K7">
        <f>_xlfn.STDEV.S(G7:I7)</f>
        <v>0.70184064926482659</v>
      </c>
    </row>
    <row r="8" spans="1:11" x14ac:dyDescent="0.2">
      <c r="A8">
        <v>0</v>
      </c>
      <c r="B8">
        <v>114.455</v>
      </c>
      <c r="C8">
        <v>114.968</v>
      </c>
      <c r="D8">
        <v>113.748</v>
      </c>
      <c r="E8">
        <f>AVERAGE(B8:D8)</f>
        <v>114.39033333333333</v>
      </c>
      <c r="F8">
        <f t="shared" si="2"/>
        <v>0.61256537066123173</v>
      </c>
      <c r="G8">
        <v>102.624</v>
      </c>
      <c r="H8">
        <v>102.96</v>
      </c>
      <c r="I8">
        <v>103.52500000000001</v>
      </c>
      <c r="J8">
        <f>AVERAGE(G8:I8)</f>
        <v>103.03633333333335</v>
      </c>
      <c r="K8">
        <f t="shared" ref="K8" si="3">_xlfn.STDEV.S(G8:I8)</f>
        <v>0.45532442646242749</v>
      </c>
    </row>
    <row r="28" spans="1:2" x14ac:dyDescent="0.2">
      <c r="A28" t="s">
        <v>19</v>
      </c>
      <c r="B28">
        <f>(2000-114.393)/(1395-114.393)</f>
        <v>1.4724322137861185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C131-8CBF-4E3B-975F-24869DC6CDDB}">
  <dimension ref="A1:P51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18.6640625" customWidth="1"/>
  </cols>
  <sheetData>
    <row r="1" spans="1:16" x14ac:dyDescent="0.2">
      <c r="B1" t="s">
        <v>16</v>
      </c>
      <c r="G1" t="s">
        <v>17</v>
      </c>
      <c r="L1" t="s">
        <v>15</v>
      </c>
    </row>
    <row r="2" spans="1:16" x14ac:dyDescent="0.2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1</v>
      </c>
      <c r="H2" t="s">
        <v>2</v>
      </c>
      <c r="I2" t="s">
        <v>3</v>
      </c>
      <c r="J2" t="s">
        <v>7</v>
      </c>
      <c r="K2" t="s">
        <v>8</v>
      </c>
      <c r="L2" t="s">
        <v>1</v>
      </c>
      <c r="M2" t="s">
        <v>2</v>
      </c>
      <c r="N2" t="s">
        <v>3</v>
      </c>
      <c r="O2" t="s">
        <v>7</v>
      </c>
      <c r="P2" t="s">
        <v>8</v>
      </c>
    </row>
    <row r="3" spans="1:16" x14ac:dyDescent="0.2">
      <c r="A3">
        <v>300</v>
      </c>
    </row>
    <row r="4" spans="1:16" x14ac:dyDescent="0.2">
      <c r="A4">
        <v>150</v>
      </c>
      <c r="B4">
        <f>B29*2806.087</f>
        <v>4131.7728934864481</v>
      </c>
      <c r="C4">
        <f>2799.544</f>
        <v>2799.5439999999999</v>
      </c>
      <c r="D4">
        <f>2775.309</f>
        <v>2775.3090000000002</v>
      </c>
      <c r="E4">
        <f t="shared" ref="E4:E8" si="0">AVERAGE(B4:D4)</f>
        <v>3235.5419644954832</v>
      </c>
      <c r="F4">
        <f>_xlfn.STDEV.S(B4:D4)</f>
        <v>776.25333646062506</v>
      </c>
      <c r="G4">
        <f>631.069</f>
        <v>631.06899999999996</v>
      </c>
      <c r="H4">
        <v>627.68100000000004</v>
      </c>
      <c r="I4">
        <v>626.28800000000001</v>
      </c>
      <c r="J4">
        <f t="shared" ref="J4:J6" si="1">AVERAGE(G4:I4)</f>
        <v>628.346</v>
      </c>
      <c r="K4">
        <f>_xlfn.STDEV.S(G4:I4)</f>
        <v>2.4588938570015264</v>
      </c>
    </row>
    <row r="5" spans="1:16" x14ac:dyDescent="0.2">
      <c r="A5">
        <v>75</v>
      </c>
      <c r="B5">
        <f>B29*1869.792</f>
        <v>2753.1419738795739</v>
      </c>
      <c r="C5">
        <v>1861.165</v>
      </c>
      <c r="D5">
        <v>1867.9469999999999</v>
      </c>
      <c r="E5">
        <f t="shared" si="0"/>
        <v>2160.7513246265248</v>
      </c>
      <c r="F5">
        <f>_xlfn.STDEV.S(B5:D5)</f>
        <v>513.03655802762921</v>
      </c>
      <c r="G5">
        <v>390.58600000000001</v>
      </c>
      <c r="H5">
        <v>404.48099999999999</v>
      </c>
      <c r="I5">
        <v>412.71</v>
      </c>
      <c r="J5">
        <f t="shared" si="1"/>
        <v>402.59233333333333</v>
      </c>
      <c r="K5">
        <f>_xlfn.STDEV.S(G5:I5)</f>
        <v>11.182269015424954</v>
      </c>
    </row>
    <row r="6" spans="1:16" x14ac:dyDescent="0.2">
      <c r="A6">
        <v>37.25</v>
      </c>
      <c r="B6">
        <f>B29*1394.585</f>
        <v>2053.4318788629143</v>
      </c>
      <c r="C6">
        <v>954.24</v>
      </c>
      <c r="D6">
        <v>866.42499999999995</v>
      </c>
      <c r="E6">
        <f t="shared" si="0"/>
        <v>1291.3656262876382</v>
      </c>
      <c r="F6">
        <f>_xlfn.STDEV.S(B6:D6)</f>
        <v>661.42769713842745</v>
      </c>
      <c r="G6">
        <v>235.535</v>
      </c>
      <c r="J6">
        <f t="shared" si="1"/>
        <v>235.535</v>
      </c>
    </row>
    <row r="7" spans="1:16" x14ac:dyDescent="0.2">
      <c r="A7">
        <v>18.625</v>
      </c>
      <c r="B7">
        <f>B29*766.885</f>
        <v>1129.1861782693675</v>
      </c>
      <c r="C7">
        <v>816.375</v>
      </c>
      <c r="D7">
        <v>495.47500000000002</v>
      </c>
      <c r="E7">
        <f t="shared" si="0"/>
        <v>813.67872608978917</v>
      </c>
      <c r="F7">
        <f>_xlfn.STDEV.S(B7:D7)</f>
        <v>316.86419296859117</v>
      </c>
    </row>
    <row r="8" spans="1:16" x14ac:dyDescent="0.2">
      <c r="A8">
        <v>0</v>
      </c>
      <c r="B8">
        <v>171.92</v>
      </c>
      <c r="C8">
        <v>171.13200000000001</v>
      </c>
      <c r="D8">
        <v>171.00299999999999</v>
      </c>
      <c r="E8">
        <f t="shared" si="0"/>
        <v>171.35166666666669</v>
      </c>
      <c r="F8">
        <f>_xlfn.STDEV.S(B8:D8)</f>
        <v>0.49639936878820667</v>
      </c>
      <c r="G8">
        <v>114.455</v>
      </c>
      <c r="H8">
        <v>114.968</v>
      </c>
      <c r="I8">
        <v>113.748</v>
      </c>
      <c r="J8">
        <f>AVERAGE(G8:I8)</f>
        <v>114.39033333333333</v>
      </c>
      <c r="K8">
        <f t="shared" ref="K8" si="2">_xlfn.STDEV.S(G8:I8)</f>
        <v>0.61256537066123173</v>
      </c>
    </row>
    <row r="29" spans="1:12" x14ac:dyDescent="0.2">
      <c r="A29" t="s">
        <v>18</v>
      </c>
      <c r="B29">
        <f>'Confocal-Sulforhodamine-101'!B28</f>
        <v>1.4724322137861185</v>
      </c>
    </row>
    <row r="31" spans="1:12" x14ac:dyDescent="0.2">
      <c r="A31" t="s">
        <v>20</v>
      </c>
    </row>
    <row r="32" spans="1:12" x14ac:dyDescent="0.2">
      <c r="B32" t="s">
        <v>16</v>
      </c>
      <c r="G32" t="s">
        <v>17</v>
      </c>
      <c r="L32" t="s">
        <v>15</v>
      </c>
    </row>
    <row r="33" spans="1:16" x14ac:dyDescent="0.2">
      <c r="A33" t="s">
        <v>6</v>
      </c>
      <c r="B33" t="s">
        <v>1</v>
      </c>
      <c r="C33" t="s">
        <v>2</v>
      </c>
      <c r="D33" t="s">
        <v>3</v>
      </c>
      <c r="E33" t="s">
        <v>7</v>
      </c>
      <c r="F33" t="s">
        <v>8</v>
      </c>
      <c r="G33" t="s">
        <v>1</v>
      </c>
      <c r="H33" t="s">
        <v>2</v>
      </c>
      <c r="I33" t="s">
        <v>3</v>
      </c>
      <c r="J33" t="s">
        <v>7</v>
      </c>
      <c r="K33" t="s">
        <v>8</v>
      </c>
      <c r="L33" t="s">
        <v>1</v>
      </c>
      <c r="M33" t="s">
        <v>2</v>
      </c>
      <c r="N33" t="s">
        <v>3</v>
      </c>
      <c r="O33" t="s">
        <v>7</v>
      </c>
      <c r="P33" t="s">
        <v>8</v>
      </c>
    </row>
    <row r="34" spans="1:16" x14ac:dyDescent="0.2">
      <c r="A34">
        <v>300</v>
      </c>
    </row>
    <row r="35" spans="1:16" x14ac:dyDescent="0.2">
      <c r="A35">
        <v>150</v>
      </c>
      <c r="B35">
        <f>(B4-$E$8)*$B$29+$E$8</f>
        <v>6002.8034611984531</v>
      </c>
      <c r="C35">
        <f t="shared" ref="C35:D35" si="3">(C4-$E$8)*$B$29+$E$8</f>
        <v>4041.1867222923711</v>
      </c>
      <c r="D35">
        <f t="shared" si="3"/>
        <v>4005.5023275912654</v>
      </c>
      <c r="E35">
        <f t="shared" ref="E35:E39" si="4">AVERAGE(B35:D35)</f>
        <v>4683.1641703606956</v>
      </c>
      <c r="F35">
        <f>_xlfn.STDEV.S(B35:D35)</f>
        <v>1142.9804186635845</v>
      </c>
      <c r="G35">
        <f>(G4-$J$8)*$B$29+$J$8</f>
        <v>875.16464630939345</v>
      </c>
      <c r="H35">
        <f t="shared" ref="H35:I35" si="5">(H4-$J$8)*$B$29+$J$8</f>
        <v>870.17604596908609</v>
      </c>
      <c r="I35">
        <f t="shared" si="5"/>
        <v>868.12494789528205</v>
      </c>
      <c r="J35">
        <f t="shared" ref="J35:J39" si="6">AVERAGE(G35:I35)</f>
        <v>871.15521339125382</v>
      </c>
      <c r="K35">
        <f>_xlfn.STDEV.S(G35:I35)</f>
        <v>3.6205545253298763</v>
      </c>
    </row>
    <row r="36" spans="1:16" x14ac:dyDescent="0.2">
      <c r="A36">
        <v>75</v>
      </c>
      <c r="B36">
        <f t="shared" ref="B36:D36" si="7">(B5-$E$8)*$B$29+$E$8</f>
        <v>3972.862884247711</v>
      </c>
      <c r="C36">
        <f t="shared" si="7"/>
        <v>2659.4872539519665</v>
      </c>
      <c r="D36">
        <f t="shared" si="7"/>
        <v>2669.4732892258644</v>
      </c>
      <c r="E36">
        <f t="shared" si="4"/>
        <v>3100.6078091418472</v>
      </c>
      <c r="F36">
        <f>_xlfn.STDEV.S(B36:D36)</f>
        <v>755.41155488983372</v>
      </c>
      <c r="G36">
        <f t="shared" ref="G36:I36" si="8">(G5-$J$8)*$B$29+$J$8</f>
        <v>521.06973024146623</v>
      </c>
      <c r="H36">
        <f t="shared" si="8"/>
        <v>541.52917585202431</v>
      </c>
      <c r="I36">
        <f t="shared" si="8"/>
        <v>553.64582053927029</v>
      </c>
      <c r="J36">
        <f t="shared" si="6"/>
        <v>538.74824221092024</v>
      </c>
      <c r="K36">
        <f>_xlfn.STDEV.S(G36:I36)</f>
        <v>16.465133121534091</v>
      </c>
    </row>
    <row r="37" spans="1:16" x14ac:dyDescent="0.2">
      <c r="A37">
        <v>37.25</v>
      </c>
      <c r="B37">
        <f t="shared" ref="B37:D37" si="9">(B6-$E$8)*$B$29+$E$8</f>
        <v>2942.587200033835</v>
      </c>
      <c r="C37">
        <f t="shared" si="9"/>
        <v>1324.1016684639915</v>
      </c>
      <c r="D37">
        <f t="shared" si="9"/>
        <v>1194.8000336103632</v>
      </c>
      <c r="E37">
        <f t="shared" si="4"/>
        <v>1820.49630070273</v>
      </c>
      <c r="F37">
        <f>_xlfn.STDEV.S(B37:D37)</f>
        <v>973.90744835698888</v>
      </c>
      <c r="G37">
        <f t="shared" ref="G37" si="10">(G6-$J$8)*$B$29+$J$8</f>
        <v>292.76764306171469</v>
      </c>
      <c r="J37">
        <f t="shared" si="6"/>
        <v>292.76764306171469</v>
      </c>
    </row>
    <row r="38" spans="1:16" x14ac:dyDescent="0.2">
      <c r="A38">
        <v>18.625</v>
      </c>
      <c r="B38">
        <f t="shared" ref="B38:D38" si="11">(B7-$E$8)*$B$29+$E$8</f>
        <v>1581.6980570265771</v>
      </c>
      <c r="C38">
        <f t="shared" si="11"/>
        <v>1121.1048013103682</v>
      </c>
      <c r="D38">
        <f t="shared" si="11"/>
        <v>648.60130390640279</v>
      </c>
      <c r="E38">
        <f t="shared" si="4"/>
        <v>1117.1347207477827</v>
      </c>
      <c r="F38">
        <f>_xlfn.STDEV.S(B38:D38)</f>
        <v>466.5610451222953</v>
      </c>
      <c r="G38">
        <f t="shared" ref="G38:I38" si="12">(G7-$J$8)*$B$29+$J$8</f>
        <v>-54.041678412398682</v>
      </c>
      <c r="H38">
        <f t="shared" si="12"/>
        <v>-54.041678412398682</v>
      </c>
      <c r="I38">
        <f t="shared" si="12"/>
        <v>-54.041678412398682</v>
      </c>
      <c r="K38">
        <f>_xlfn.STDEV.S(G38:I38)</f>
        <v>0</v>
      </c>
    </row>
    <row r="39" spans="1:16" x14ac:dyDescent="0.2">
      <c r="A39">
        <v>0</v>
      </c>
      <c r="B39">
        <v>171.92</v>
      </c>
      <c r="C39">
        <v>171.13200000000001</v>
      </c>
      <c r="D39">
        <v>171.00299999999999</v>
      </c>
      <c r="E39">
        <f t="shared" si="4"/>
        <v>171.35166666666669</v>
      </c>
      <c r="F39">
        <f>_xlfn.STDEV.S(B39:D39)</f>
        <v>0.49639936878820667</v>
      </c>
      <c r="G39">
        <v>114.455</v>
      </c>
      <c r="H39">
        <v>114.968</v>
      </c>
      <c r="I39">
        <v>113.748</v>
      </c>
      <c r="J39">
        <f t="shared" si="6"/>
        <v>114.39033333333333</v>
      </c>
      <c r="K39">
        <f>_xlfn.STDEV.S(G39:I39)</f>
        <v>0.61256537066123173</v>
      </c>
    </row>
    <row r="42" spans="1:16" x14ac:dyDescent="0.2">
      <c r="A42" t="s">
        <v>34</v>
      </c>
      <c r="B42">
        <f>17.094/5.1499</f>
        <v>3.319287753160256</v>
      </c>
    </row>
    <row r="43" spans="1:16" x14ac:dyDescent="0.2">
      <c r="A43" t="s">
        <v>21</v>
      </c>
      <c r="B43">
        <f>B47*B45/B44/B46</f>
        <v>4.125</v>
      </c>
    </row>
    <row r="44" spans="1:16" x14ac:dyDescent="0.2">
      <c r="A44" t="s">
        <v>22</v>
      </c>
      <c r="B44">
        <v>0.22</v>
      </c>
    </row>
    <row r="45" spans="1:16" x14ac:dyDescent="0.2">
      <c r="A45" t="s">
        <v>23</v>
      </c>
      <c r="B45">
        <v>0.60499999999999998</v>
      </c>
    </row>
    <row r="46" spans="1:16" x14ac:dyDescent="0.2">
      <c r="A46" t="s">
        <v>24</v>
      </c>
      <c r="B46">
        <v>72000</v>
      </c>
    </row>
    <row r="47" spans="1:16" x14ac:dyDescent="0.2">
      <c r="A47" t="s">
        <v>25</v>
      </c>
      <c r="B47">
        <v>108000</v>
      </c>
    </row>
    <row r="48" spans="1:16" x14ac:dyDescent="0.2">
      <c r="A48" t="s">
        <v>33</v>
      </c>
      <c r="B48">
        <f>128878/180412</f>
        <v>0.71435381238498552</v>
      </c>
    </row>
    <row r="49" spans="1:2" x14ac:dyDescent="0.2">
      <c r="A49" t="s">
        <v>35</v>
      </c>
      <c r="B49">
        <f>B48*B42</f>
        <v>2.3711458608728218</v>
      </c>
    </row>
    <row r="50" spans="1:2" x14ac:dyDescent="0.2">
      <c r="A50" t="s">
        <v>36</v>
      </c>
      <c r="B50" s="1">
        <f>0.8512</f>
        <v>0.85119999999999996</v>
      </c>
    </row>
    <row r="51" spans="1:2" x14ac:dyDescent="0.2">
      <c r="A51" t="s">
        <v>37</v>
      </c>
      <c r="B51">
        <f>B50/B49</f>
        <v>0.35898255524722217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 Scope BcLOV4</vt:lpstr>
      <vt:lpstr>Right Scope LY</vt:lpstr>
      <vt:lpstr>Right Scope BcLOV4</vt:lpstr>
      <vt:lpstr>Confocal-Sulforhodamine-101</vt:lpstr>
      <vt:lpstr>Confocal-BcLOV4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Kuznetsov</dc:creator>
  <cp:lastModifiedBy>Microsoft Office User</cp:lastModifiedBy>
  <dcterms:created xsi:type="dcterms:W3CDTF">2020-12-03T02:45:48Z</dcterms:created>
  <dcterms:modified xsi:type="dcterms:W3CDTF">2021-06-08T05:19:27Z</dcterms:modified>
</cp:coreProperties>
</file>