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28"/>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9D4F2CD5-055C-3F46-AA42-8D857D2E85C9}" xr6:coauthVersionLast="47" xr6:coauthVersionMax="47" xr10:uidLastSave="{00000000-0000-0000-0000-000000000000}"/>
  <bookViews>
    <workbookView xWindow="0" yWindow="500" windowWidth="44800" windowHeight="22980" xr2:uid="{00000000-000D-0000-FFFF-FFFF00000000}"/>
  </bookViews>
  <sheets>
    <sheet name="DAC" sheetId="1" r:id="rId1"/>
  </sheets>
  <definedNames>
    <definedName name="_xlnm._FilterDatabase" localSheetId="0" hidden="1">DAC!$A$1:$V$620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9" i="1" l="1"/>
  <c r="B388" i="1"/>
  <c r="B387" i="1"/>
  <c r="B386" i="1"/>
  <c r="B385" i="1"/>
  <c r="B384" i="1"/>
  <c r="J655" i="1"/>
  <c r="A654" i="1"/>
  <c r="J636" i="1"/>
  <c r="B637" i="1"/>
  <c r="J637" i="1" s="1"/>
  <c r="B635" i="1"/>
  <c r="J635" i="1" s="1"/>
  <c r="B634" i="1"/>
  <c r="J634" i="1" s="1"/>
  <c r="B633" i="1"/>
  <c r="J633" i="1" s="1"/>
  <c r="B640" i="1" l="1"/>
  <c r="A632" i="1"/>
  <c r="G495" i="1"/>
  <c r="G589" i="1"/>
  <c r="G518" i="1"/>
  <c r="A13" i="1" l="1"/>
  <c r="B610" i="1"/>
  <c r="B609" i="1"/>
  <c r="B608" i="1"/>
  <c r="B619" i="1"/>
  <c r="I606" i="1"/>
  <c r="A606" i="1"/>
  <c r="B605" i="1"/>
  <c r="E589" i="1" l="1"/>
  <c r="C589" i="1"/>
  <c r="A589" i="1"/>
  <c r="L316" i="1"/>
  <c r="K316" i="1"/>
  <c r="B316" i="1"/>
  <c r="J316" i="1" s="1"/>
  <c r="L334" i="1"/>
  <c r="K334" i="1"/>
  <c r="B334" i="1"/>
  <c r="J334" i="1" s="1"/>
  <c r="L332" i="1"/>
  <c r="K332" i="1"/>
  <c r="J332" i="1"/>
  <c r="B332" i="1"/>
  <c r="L331" i="1"/>
  <c r="K331" i="1"/>
  <c r="B331" i="1"/>
  <c r="J331" i="1" s="1"/>
  <c r="L314" i="1"/>
  <c r="K314" i="1"/>
  <c r="J314" i="1"/>
  <c r="B314" i="1"/>
  <c r="L313" i="1"/>
  <c r="K313" i="1"/>
  <c r="B313" i="1"/>
  <c r="J313" i="1" s="1"/>
  <c r="L295" i="1"/>
  <c r="K295" i="1"/>
  <c r="J295" i="1"/>
  <c r="B295" i="1"/>
  <c r="L294" i="1"/>
  <c r="K294" i="1"/>
  <c r="B294" i="1"/>
  <c r="J294" i="1" s="1"/>
  <c r="L277" i="1"/>
  <c r="K277" i="1"/>
  <c r="J277" i="1"/>
  <c r="B277" i="1"/>
  <c r="L276" i="1"/>
  <c r="K276" i="1"/>
  <c r="B276" i="1"/>
  <c r="J276" i="1" s="1"/>
  <c r="L134" i="1"/>
  <c r="K134" i="1"/>
  <c r="B134" i="1"/>
  <c r="J134" i="1" s="1"/>
  <c r="L112" i="1"/>
  <c r="K112" i="1"/>
  <c r="B112" i="1"/>
  <c r="J112" i="1" s="1"/>
  <c r="J133" i="1"/>
  <c r="B132" i="1"/>
  <c r="B131" i="1"/>
  <c r="L127" i="1"/>
  <c r="K127" i="1"/>
  <c r="B127" i="1"/>
  <c r="J127" i="1" s="1"/>
  <c r="L126" i="1"/>
  <c r="K126" i="1"/>
  <c r="B126" i="1"/>
  <c r="J126" i="1" s="1"/>
  <c r="J111" i="1"/>
  <c r="B110" i="1"/>
  <c r="B109" i="1"/>
  <c r="L105" i="1"/>
  <c r="K105" i="1"/>
  <c r="J105" i="1"/>
  <c r="B105" i="1"/>
  <c r="L104" i="1"/>
  <c r="K104" i="1"/>
  <c r="B104" i="1"/>
  <c r="J104" i="1" s="1"/>
  <c r="J89" i="1"/>
  <c r="J88" i="1"/>
  <c r="B87" i="1"/>
  <c r="B86" i="1"/>
  <c r="L82" i="1"/>
  <c r="K82" i="1"/>
  <c r="B82" i="1"/>
  <c r="J82" i="1" s="1"/>
  <c r="L81" i="1"/>
  <c r="K81" i="1"/>
  <c r="B81" i="1"/>
  <c r="J81" i="1" s="1"/>
  <c r="J67" i="1"/>
  <c r="J66" i="1"/>
  <c r="B65" i="1"/>
  <c r="B64" i="1"/>
  <c r="L60" i="1"/>
  <c r="K60" i="1"/>
  <c r="J60" i="1"/>
  <c r="B60" i="1"/>
  <c r="L59" i="1"/>
  <c r="K59" i="1"/>
  <c r="B59" i="1"/>
  <c r="J59" i="1" s="1"/>
  <c r="L258" i="1"/>
  <c r="K258" i="1"/>
  <c r="J258" i="1"/>
  <c r="B258" i="1"/>
  <c r="L257" i="1"/>
  <c r="K257" i="1"/>
  <c r="B257" i="1"/>
  <c r="J257" i="1" s="1"/>
  <c r="L240" i="1"/>
  <c r="K240" i="1"/>
  <c r="J240" i="1"/>
  <c r="B240" i="1"/>
  <c r="L239" i="1"/>
  <c r="K239" i="1"/>
  <c r="B239" i="1"/>
  <c r="J239" i="1" s="1"/>
  <c r="B371" i="1"/>
  <c r="B370" i="1"/>
  <c r="B369" i="1"/>
  <c r="B166" i="1"/>
  <c r="B167" i="1"/>
  <c r="B168" i="1"/>
  <c r="L221" i="1" l="1"/>
  <c r="K221" i="1"/>
  <c r="J221" i="1"/>
  <c r="L203" i="1"/>
  <c r="K203" i="1"/>
  <c r="J203" i="1"/>
  <c r="J15" i="1"/>
  <c r="L37" i="1"/>
  <c r="L15" i="1"/>
  <c r="K37" i="1"/>
  <c r="K15" i="1"/>
  <c r="L220" i="1"/>
  <c r="K220" i="1"/>
  <c r="L202" i="1"/>
  <c r="K202" i="1"/>
  <c r="B576" i="1"/>
  <c r="B580" i="1"/>
  <c r="B579" i="1"/>
  <c r="B578" i="1"/>
  <c r="B577" i="1"/>
  <c r="G574" i="1"/>
  <c r="A574" i="1"/>
  <c r="B561" i="1"/>
  <c r="G559" i="1"/>
  <c r="A559" i="1"/>
  <c r="B546" i="1"/>
  <c r="B544" i="1"/>
  <c r="B547" i="1" s="1"/>
  <c r="B543" i="1"/>
  <c r="B542" i="1"/>
  <c r="B541" i="1"/>
  <c r="B540" i="1"/>
  <c r="B539" i="1"/>
  <c r="B538" i="1"/>
  <c r="B545" i="1" s="1"/>
  <c r="G536" i="1"/>
  <c r="A536" i="1"/>
  <c r="J44" i="1"/>
  <c r="J43" i="1"/>
  <c r="J22" i="1"/>
  <c r="J21" i="1"/>
  <c r="B42" i="1"/>
  <c r="B41" i="1"/>
  <c r="B20" i="1"/>
  <c r="B19" i="1"/>
  <c r="L36" i="1"/>
  <c r="K36" i="1"/>
  <c r="L14" i="1"/>
  <c r="B15" i="1"/>
  <c r="K14" i="1"/>
  <c r="B14" i="1"/>
  <c r="J14" i="1" s="1"/>
  <c r="J442" i="1"/>
  <c r="B444" i="1"/>
  <c r="G439" i="1"/>
  <c r="A439" i="1"/>
  <c r="L423" i="1"/>
  <c r="L422" i="1"/>
  <c r="K423" i="1"/>
  <c r="K422" i="1"/>
  <c r="B427" i="1"/>
  <c r="J427" i="1" s="1"/>
  <c r="B426" i="1"/>
  <c r="J426" i="1" s="1"/>
  <c r="B425" i="1"/>
  <c r="J425" i="1" s="1"/>
  <c r="B424" i="1"/>
  <c r="J424" i="1" s="1"/>
  <c r="B421" i="1"/>
  <c r="J421" i="1" s="1"/>
  <c r="B420" i="1"/>
  <c r="J420" i="1" s="1"/>
  <c r="B419" i="1"/>
  <c r="J419" i="1" s="1"/>
  <c r="B418" i="1"/>
  <c r="J418" i="1" s="1"/>
  <c r="B417" i="1"/>
  <c r="J417" i="1" s="1"/>
  <c r="G416" i="1"/>
  <c r="A416" i="1"/>
  <c r="B523" i="1"/>
  <c r="B519" i="1"/>
  <c r="B520" i="1" s="1"/>
  <c r="B501" i="1"/>
  <c r="B221" i="1"/>
  <c r="B220" i="1"/>
  <c r="J220" i="1" s="1"/>
  <c r="B203" i="1"/>
  <c r="B202" i="1"/>
  <c r="J202" i="1" s="1"/>
  <c r="B36" i="1"/>
  <c r="J36" i="1" s="1"/>
  <c r="B37" i="1"/>
  <c r="J37" i="1" s="1"/>
  <c r="B422" i="1" l="1"/>
  <c r="J422" i="1" s="1"/>
  <c r="B423" i="1"/>
  <c r="J423" i="1" s="1"/>
</calcChain>
</file>

<file path=xl/sharedStrings.xml><?xml version="1.0" encoding="utf-8"?>
<sst xmlns="http://schemas.openxmlformats.org/spreadsheetml/2006/main" count="2637" uniqueCount="321">
  <si>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</si>
  <si>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</si>
  <si>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</si>
  <si>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</si>
  <si>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</si>
  <si>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</si>
  <si>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</si>
  <si>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</si>
  <si>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</si>
  <si>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</si>
  <si>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</si>
  <si>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</si>
  <si>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</si>
  <si>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</si>
  <si>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</si>
  <si>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</si>
  <si>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</si>
  <si>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GLO</t>
  </si>
  <si>
    <t>source</t>
  </si>
  <si>
    <t>direct air capture</t>
  </si>
  <si>
    <t>biosphere</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</si>
  <si>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</si>
  <si>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</si>
  <si>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</si>
  <si>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</si>
  <si>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</si>
  <si>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</si>
  <si>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</si>
  <si>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</si>
  <si>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</si>
  <si>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</si>
  <si>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</si>
  <si>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</si>
  <si>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</si>
  <si>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</si>
  <si>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</si>
  <si>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</si>
  <si>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</si>
  <si>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</si>
  <si>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</si>
  <si>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</si>
  <si>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</si>
  <si>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</si>
  <si>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</si>
  <si>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</si>
  <si>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</si>
  <si>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</si>
  <si>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</si>
  <si>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</si>
  <si>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</si>
  <si>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</si>
  <si>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</si>
  <si>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</si>
  <si>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</si>
  <si>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</si>
  <si>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</si>
  <si>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</si>
  <si>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</si>
  <si>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</si>
  <si>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</si>
  <si>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</si>
  <si>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</si>
  <si>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</si>
  <si>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</si>
  <si>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</si>
  <si>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</si>
  <si>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</si>
  <si>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</si>
  <si>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</si>
  <si>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</si>
  <si>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</si>
  <si>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</si>
  <si>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</si>
  <si>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</si>
  <si>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</si>
  <si>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System</t>
  </si>
  <si>
    <t>EoL</t>
  </si>
  <si>
    <t>market group for electricity, medium voltage</t>
  </si>
  <si>
    <t>electricity, medium voltage</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</si>
  <si>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</si>
  <si>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</si>
  <si>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</si>
  <si>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</si>
  <si>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</si>
  <si>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</si>
  <si>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</si>
  <si>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</si>
  <si>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</si>
  <si>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</si>
  <si>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</si>
  <si>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</si>
  <si>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</si>
  <si>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</si>
  <si>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</si>
  <si>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</si>
  <si>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64% silica gel</t>
  </si>
  <si>
    <t>36%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</si>
  <si>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</si>
  <si>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</si>
  <si>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</si>
  <si>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</si>
  <si>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</si>
  <si>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</si>
  <si>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</si>
  <si>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</si>
  <si>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</si>
  <si>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</si>
  <si>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</si>
  <si>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</si>
  <si>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</si>
  <si>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</si>
  <si>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</si>
  <si>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</si>
  <si>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</si>
  <si>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</si>
  <si>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</si>
  <si>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</si>
  <si>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</si>
  <si>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</si>
  <si>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</si>
  <si>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</si>
  <si>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</si>
  <si>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</si>
  <si>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</si>
  <si>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</si>
  <si>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</si>
  <si>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</si>
  <si>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</si>
  <si>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</si>
  <si>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</si>
  <si>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</si>
  <si>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</si>
  <si>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</si>
  <si>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</si>
  <si>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</si>
  <si>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</si>
  <si>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</si>
  <si>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</si>
  <si>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</si>
  <si>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</si>
  <si>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</si>
  <si>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</si>
  <si>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</si>
  <si>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</si>
  <si>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</si>
  <si>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</si>
  <si>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</si>
  <si>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</si>
  <si>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</si>
  <si>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</si>
  <si>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</si>
  <si>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</si>
  <si>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</si>
  <si>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</si>
  <si>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</si>
  <si>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</si>
  <si>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</si>
  <si>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</si>
  <si>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</si>
  <si>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</si>
  <si>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</si>
  <si>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</si>
  <si>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</si>
  <si>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storage</t>
  </si>
  <si>
    <t>market for potassium hydroxide</t>
  </si>
  <si>
    <t>potassium hydroxide</t>
  </si>
  <si>
    <t>market for limestone, crushed, for mill</t>
  </si>
  <si>
    <t>limestone, crushed, for mill</t>
  </si>
  <si>
    <t>CO2 uptake</t>
  </si>
  <si>
    <t>operational</t>
  </si>
  <si>
    <t>Synthesized by impregnate amines polyethylenimine (PEI) on solid silica gel. The LCI of amine-based silica is collected from literature and based on the composition that 1 kg amine-based silica requires of 0.64kg silica
gel and 0.36 kg PEI. Inputs of ethanol and diethyl ether are reduced by 95% to account for recovery.</t>
  </si>
  <si>
    <t>share biogenic CO2</t>
  </si>
  <si>
    <t>uncertainty type</t>
  </si>
  <si>
    <t>loc</t>
  </si>
  <si>
    <t>u1</t>
  </si>
  <si>
    <t>u2</t>
  </si>
  <si>
    <t>u3</t>
  </si>
  <si>
    <t>u4</t>
  </si>
  <si>
    <t>u5</t>
  </si>
  <si>
    <t>u6</t>
  </si>
  <si>
    <t>ub</t>
  </si>
  <si>
    <t>scale</t>
  </si>
  <si>
    <t>negative</t>
  </si>
  <si>
    <t/>
  </si>
  <si>
    <t>Carbon dioxide, fossil</t>
  </si>
  <si>
    <t>CO2 keakage.</t>
  </si>
  <si>
    <t>Ammonia</t>
  </si>
  <si>
    <t>market for heat, from steam, in chemical industry</t>
  </si>
  <si>
    <t>heat, from steam, in chemical industry</t>
  </si>
  <si>
    <t>market for activated carbon, granular</t>
  </si>
  <si>
    <t>activated carbon, granular</t>
  </si>
  <si>
    <t>Alternative production of methanol from industrial CO2. Meunier et al. 2020. Renewable Energy 146, pp. 1192-1203</t>
  </si>
  <si>
    <t>credit allocation to fuel producer</t>
  </si>
  <si>
    <t>CO2 leakage.</t>
  </si>
  <si>
    <t>market for concrete, normal strength</t>
  </si>
  <si>
    <t>treatment of wastewater, average, wastewater treatment</t>
  </si>
  <si>
    <t>concrete, normal strength</t>
  </si>
  <si>
    <t>Originally 3.7 MJ, without heat recovery. 0.4 MJ using heat from teh MSWI plant. However, when doing so, 40% of teh heat is lost and cannot be redistributed to the heating district system. Hence, we add this loss to the amount of external heat needed.</t>
  </si>
  <si>
    <t>The MEA technology considered for this study is modelled after Tang and You, 2018, Reiter and Lindorfer, 2015. After flue gas condensation, the cooled flue gas is fed into a reactor containing a 30% MEA solution, which absorbs around 85–90% of the CO2, typically at 25 °C–50 °C at 1 bar. The process is exothermic. The CO2-rich solution is heated afterwards to 100–140 °C, and in a stripper at 1–2 bars the CO2 desorbs from the MEA and leaves saturated with water vapour. The water is then condensed from the CO2 stream, and the CO2 is compressed to around 150 bar for transporting in pipes or a lower pressure for local tank storage and shipment by truck. The recovered MEA is reused in the plant (Pour et al., 2018). About 4 kg of MEA is used per tonne of CO2, due to degradation (releasing around 0.1 kg NH3 per tonne CO2 captured), the formation of heat-stable salts and losses as vapour and aerosols during stripping (the latter is around 0.01 kg per tonne of CO2 captured). NaOH is added in the stripping step at an amount of 0.1 kg per tonne CO2 captured. Around 4 kg of solid waste is generated per tonne of CO2 captured; this waste is disregarded. The MEA CC process also reduces the content of other pollutants in the flue gas, the extent of which depends on whether flue gas condensation is already in place or is introduced as part of the CO2 capture system. SOx, HCl, particulate matter and heavy metals are reduced to very low levels by flue gas condensation and subsequent CC. The level of NH3 increases in the flue gas after CC because of degradation of MEA. This is not included here. In the publication, a scenario where 90% of the needed heat comes from recovered heat from the MSWI plant. It is assumed here. However, 40% of the 90% is lost and cannot be redistructed to the district heating system afterwards. We also include this penalty here. Source: Valentina Bisinella, Tore Hulgaard, Christian Riber, Anders Damgaard, Thomas H. Christensen, Environmental assessment of carbon capture and storage (CCS) as a post-treatment technology in waste incineration, Waste Management, 2021, https://doi.org/10.1016/j.wasman.2021.04.046.</t>
  </si>
  <si>
    <t>Capture of CO2 from a cement plant for subsequent reuse. It is a facility integrated in a synthetic fuel production chain, so a certain amount of the needed steam heat (used to regenerate the sorbent) can come from excess heat generated by the synfuel conversion process, the rest being complemented by a dedicated source. In Meunier et al. 2020, 26% comes from excess heat generated by the methanol production process. In Davilà, Sacchi and Pizool, 2023, close to 30% of the heat need comes from the cement kiln. We use the latter. To be changed according to needs. Also, there is no need for water, as it is provided by the methanol production process as well. CO2 chemical absorption-regeneration process using amines as scrubbing solvent. The amine solution used for this absorption was an aqueous solution of monoethanolamine (MEA) in a mass concentration of 30 wt.%, widely studied and considered as a benchmark for industrial CO2 capture applications. The CO2 is pre-compressed at 2 bar before storage. 10% of the CO2 is released back into the atmosphere (because the CO2 absoprtion rate is only 90%). The original publication considers the MEA makeup to be 1 kg per ton captured CO2 to compensate the losses due to the thermal degradation of the amine only, as the evaporation of the amine in the absorber is prevented by a flash tank. We correct this value to 4 kg, to algin with other point source capture and DAC datasets. The rate of fossil vs. biogenic CO2 received from the cement plant need to be reflected in this dataset in two places: at the leakage level, but also at the storage level. At the storage level, we only indicate biogenic CO2. By default, we asusme 6% of the CO2 emissions are biogenic (i.e., Switzerland).</t>
  </si>
  <si>
    <t>Occupation, industrial area</t>
  </si>
  <si>
    <t>square meter-year</t>
  </si>
  <si>
    <t>Land occupation</t>
  </si>
  <si>
    <t>Transformation, to industrial area</t>
  </si>
  <si>
    <t>square meter</t>
  </si>
  <si>
    <t>natural resource::land</t>
  </si>
  <si>
    <t>Land transformation</t>
  </si>
  <si>
    <t>Transformation, from unspecified</t>
  </si>
  <si>
    <t>For the sorbent system, the LCI data are collected from the work of Deutz and Bardow based on the Climeworks system. The LCI data represent a plant with an annual capacity of 100 kt CO2/year and a lifetime of 20 years. The surface occupied is 7838 m2 over 20 years.</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</si>
  <si>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 We do not have information on the surface occupied, hence we scale up the land occupation and transformation values for the sorbent-based system.</t>
  </si>
  <si>
    <t>For the sorbent system, the LCI data are collected from the work of Deutz and Bardow based on the Climeworks system (https://doi.org/10.1038/s41560-020-00771-9). The LCI data represent a plant with an annual capacity of 100 kt CO2/year and a lifetime of 20 years.</t>
  </si>
  <si>
    <t>polyethyleneimine (PEI) production, for sorbent-based direct air capture system</t>
  </si>
  <si>
    <t>polyethyleneimine</t>
  </si>
  <si>
    <t>Deutz, S., Bardow, A. Life-cycle assessment of an industrial direct air capture process based on temperature–vacuum swing adsorption. Nat Energy 6, 203–213 (2021). https://doi.org/10.1038/s41560-020-00771-9</t>
  </si>
  <si>
    <t>Life-cycle inventory (LCI) for the production of 1 kg polyethyleneimine (PEI) for the best- and worst-case. Aziridine is produced via the Wenker process19 and PEI via the homopolymerization of aziridine21. In the best-case we assume an energy proxy based on a chemical park in Germany,23 while the energy demand in the worst-case is based on Kim et al. (2003).</t>
  </si>
  <si>
    <t>minimum</t>
  </si>
  <si>
    <t>maximum</t>
  </si>
  <si>
    <t>silica gel production, for sorbent-based direct air capture system</t>
  </si>
  <si>
    <t>silica gel</t>
  </si>
  <si>
    <t>Life-cycle inventory (LCI) for the production of 1 kg of silica gel according to Roes et al. (2010)</t>
  </si>
  <si>
    <t>95% recovery in worst case, 99% recovery in best case.</t>
  </si>
  <si>
    <t xml:space="preserve">Deutz, S., Bardow, A. Life-cycle assessment of an industrial direct air capture process based on temperature–vacuum swing adsorption. Nat Energy 6, 203–213 (2021). https://doi.org/10.1038/s41560-020-00771-9. Further adapted for prospective purpose by Qiu, Y., Lamers, P., Daioglou, V. et al. Environmental trade-offs of direct air capture technologies in climate change mitigation toward 2100. Nat Commun 13, 3635 (2022). https://doi.org/10.1038/s41467-022-31146-1
</t>
  </si>
  <si>
    <t>operation. Future: 5.4 MJ/kg CO2 captured, today: 11.9.</t>
  </si>
  <si>
    <t>operation. Future: 0.5 kWh/kg CO2 captured, today: 0.7.</t>
  </si>
  <si>
    <t>operation. Uncertainty from deJong et al., 2021</t>
  </si>
  <si>
    <t>Carbon capture using MEA: Main source: Voldsund (2019) - CEMCAP - D4.6 CEMCAP comparative techno-economic analysis. Heat for MEA regeneration now produced with same fuel mix as MEA kiln (not natural gas as in Voldsund). Transport and storage from Premise inventories. 90% CO2 capture efficiency (process+fuel CO2).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</si>
  <si>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MEA mark-up, lost in reclaimer (1.4 kg MEA/tCO2) CEMCAP - D4.6 CEMCAP comparative techno-economic analysis, p. 26</t>
  </si>
  <si>
    <t>Electricity consumption for fans, pumps and thermal reclaimer (188 MJ/tclk [primary energy], 761 kg CO2/tclk, 0.459 conversion factor primary to secondary energy, 3.6 MJ/kWh) CEMCAP - D4.6 CEMCAP comparative techno-economic analysis, Table 5.3</t>
  </si>
  <si>
    <t>Electricity consumption for cooling water system (123 MJ/tclk [primary energy], 761 kg CO2/tclk, 0.459 conversion factor primary to secondary energy, 3.6 MJ/kWh) CEMCAP - D4.6 CEMCAP comparative techno-economic analysis, Table 5.3</t>
  </si>
  <si>
    <t>market group for tap water</t>
  </si>
  <si>
    <t>Process water mark-up. CEMCAP - D4.6 CEMCAP comparative techno-economic analysis, Table 5.1</t>
  </si>
  <si>
    <t>Spent MEA solvent: Share of airborne emission and solid emissions from Moser 2011</t>
  </si>
  <si>
    <t>Monoethanolamine</t>
  </si>
  <si>
    <t>MEA emissions, rest is regenerated. Share of airborne emission and solid emissions (process: treatment of spent solvent mixture) from Moser 2011</t>
  </si>
  <si>
    <t>Water</t>
  </si>
  <si>
    <t>Steam for MEA regeneration (3.76 MJ/kg CO2, of which 0.11 can be recuberated from waste heat).</t>
  </si>
  <si>
    <t>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</si>
  <si>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Energy needed for compression and liquefication of CO2 (CPU): (CEMCAP D4.6, table 5.3)</t>
  </si>
  <si>
    <t>SOx removal, needed so that MEA doesn't form amine salts. Stochiometric amount of 1.25 kg NaOH/kg SOx is sufficient (Cempcap 4.6). 0.00035 kg SOx/kg clinker (ecoinvent), 0.828 kg CO2/kg clinker from GCCA data.</t>
  </si>
  <si>
    <t>Carbon capture using Direct Separation. Main source: LEILAC project https://ec.europa.eu/research/participants/documents/downloadPublic?documentIds=080166e5df29e8fc&amp;appId=PPGMS. 95% capture efficiency of process related emissions.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</si>
  <si>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Additional electricity for LEILAC: LEILAC D3.6 Life Cycle Assessment, Table 4-6: 77kWh/t clinker, Table 4-1: 0.558 t process emissions/t clinker</t>
  </si>
  <si>
    <t>Carbon capture with Oxyfuel technology, where fuel combustion happens in Oxygen-CO2-mix instead of air, which creates a cleaner CO2 flue gas stream. Main source: Voldsund (2019) - CEMCAP - D4.6 CEMCAP comparative techno-economic analysis. 90% CO2 capture efficiency (process+fuel CO2). Includes changes in electricity demand due to new kiln design for oxy-process, oxygen production with ASU, CO2 compression and purification, CO2 transport. Excludes changes in Non-CO2 emissions: CPU reduces SOx (99.99%), NOx (99.36%), Hg (100%) and CO (100%).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</si>
  <si>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stochiometric amount of O2 needed for combustion with pure oxygen. 11% losses due flue gas looping are already included in the ASU process</t>
  </si>
  <si>
    <t>Electricity savings due to equipment changes: additional fans +122 MJ/tclk , electric power generation -182 MJ/tclk with organic rankine cycle, energy savings at Fans, milling, and handling of solids in kiln -62 MJ/tclk, [all in primary energy], 758 kg CO2/tclk, Conversion factor primary to secondary energy 0.459, 3.6 MJ/kWh. Voldsund (2019) - CEMCAP - D4.6 CEMCAP comparative techno-economic analysis, Table 6.3</t>
  </si>
  <si>
    <t>Electricity consumption cooling water system. 59 MJ/tclk [primary energy], 758 kg CO2/tclk, Conversion factor primary to secondary energy 0.459, 3.6 MJ/kWh. Voldsund (2019) - CEMCAP - D4.6 CEMCAP comparative techno-economic analysis, Table 6.3</t>
  </si>
  <si>
    <t>Compression and purification: Electricity for CPU (440 KJ/kgCO2) (CEMCAP D4.6, table 6.1)</t>
  </si>
  <si>
    <t>oxygen, liquid</t>
  </si>
  <si>
    <t>Compression and purification unit: Electricity for cooling system (0.03 KJ/kg CO2) (CEMCAP D4.6, table 6.1)</t>
  </si>
  <si>
    <t>market for oxygen, liquid</t>
  </si>
  <si>
    <t>heat, from municipal waste incineration to generic market for heat district or industrial, other than natural gas</t>
  </si>
  <si>
    <t>heat, district or industrial, other than natural gas</t>
  </si>
  <si>
    <t>Heat from municipal waste incineration -- free of burden.</t>
  </si>
  <si>
    <t>Average heat mix from the chemical industry (mostly natural gas).</t>
  </si>
  <si>
    <t>The heat source is a heat pump with a COP of 2.9.</t>
  </si>
  <si>
    <t>Reflects the capture and storage of 1 kg of carbon dioxide as soil organic carbon. No process is modelled currently.</t>
  </si>
  <si>
    <t>Carbon dioxide, to soil or biomass stock</t>
  </si>
  <si>
    <t>soil::agricultural</t>
  </si>
  <si>
    <t>Life cycle assessment of carbon capture and storage in power generation and industry in Europe, Volkart et al., 2013, International Journal of Greenhouse Gas Control</t>
  </si>
  <si>
    <t>Moser et al. (2010)</t>
  </si>
  <si>
    <t>Water, cooling, unspecified natural origin</t>
  </si>
  <si>
    <t>natural resource::in water</t>
  </si>
  <si>
    <t>RECCS 2007</t>
  </si>
  <si>
    <t>water</t>
  </si>
  <si>
    <t>We assume 600 gallons of water consumed per ton CO2 captured, the rest is evaporated. Very uncertain. Based on https://netl.doe.gov/sites/default/files/event-proceedings/2014/carbon_storage/10--Christopher-Harto.pdf</t>
  </si>
  <si>
    <t>Materials/fuels</t>
  </si>
  <si>
    <t>n_HX = n_total*lifetime_ratio/(lifetime_plant*annual m_flow)</t>
  </si>
  <si>
    <t>market for absorption chiller, 100kW</t>
  </si>
  <si>
    <t>n_absorption chiller = n_total*lifetime_ratio/(lifetime_plant*annual m_flow)</t>
  </si>
  <si>
    <t>absorption chiller, 100kW</t>
  </si>
  <si>
    <t>market for charcoal</t>
  </si>
  <si>
    <t>charcoal</t>
  </si>
  <si>
    <t>market for gas turbine, 10MW electrical</t>
  </si>
  <si>
    <t>n_GT = n_total*lifetime_ratio/(lifetime_plant*annual m_flow)</t>
  </si>
  <si>
    <t>gas turbine, 10MW electrical</t>
  </si>
  <si>
    <t>market for liquid storage tank, chemicals, organics</t>
  </si>
  <si>
    <t>n_tank = V_total*lifetime_ratio/(V_ref*lifetime plant*annual m_flow)</t>
  </si>
  <si>
    <t>liquid storage tank, chemicals, organics</t>
  </si>
  <si>
    <t>market for pump, 40W</t>
  </si>
  <si>
    <t>n_pump = n_total*lifetime_ratio/(lifetime_plant*annual m_flow)</t>
  </si>
  <si>
    <t>pump, 40W</t>
  </si>
  <si>
    <t>Waste to treatment</t>
  </si>
  <si>
    <t>carbon dioxide, captured and stored, at wood burning power plant, pipeline 200km, storage 1000m</t>
  </si>
  <si>
    <t>Cut-off from the power plant system and emissions. From Life cycle assessment of carbon capture and storage in power generation and industry in Europe, Volkart et al., 2013, International Journal of Greenhouse Gas Control. Includes a negative CO2 flow.</t>
  </si>
  <si>
    <t>Cut-off from the biomass input to the power plant.</t>
  </si>
  <si>
    <t>heat pump production, heat and power co-generation unit, 160kW electrical</t>
  </si>
  <si>
    <t>heat pump, heat and power co-generation unit, 160kW electrical</t>
  </si>
  <si>
    <t>carbon dioxide, captured, with a solvent-based direct air capture system, 1MtCO2</t>
  </si>
  <si>
    <t>carbon dioxide, captured and stored, with a solvent-based direct air capture system, 1MtCO2</t>
  </si>
  <si>
    <t>carbon dioxide, captured and stored, with a solvent-based direct air capture system, 1MtCO2, with industrial steam heat, and grid electricity</t>
  </si>
  <si>
    <t>carbon dioxide, captured and stored, with a solvent-based direct air capture system, 1MtCO2, with heat pump heat, and grid electricity</t>
  </si>
  <si>
    <t>carbon dioxide, captured and stored, with a sorbent-based direct air capture system, 100ktCO2</t>
  </si>
  <si>
    <t>carbon dioxide, captured and stored, with a sorbent-based direct air capture system, 100ktCO2, with waste heat, and grid electricity</t>
  </si>
  <si>
    <t>carbon dioxide, captured and stored, with a sorbent-based direct air capture system, 100ktCO2, with industrial steam heat, and grid electricity</t>
  </si>
  <si>
    <t>carbon dioxide, captured and stored, with a sorbent-based direct air capture system, 100ktCO2, with heat pump heat, and grid electricity</t>
  </si>
  <si>
    <t>carbon dioxide, captured</t>
  </si>
  <si>
    <t>carbon dioxide, captured, with a solvent-based direct air capture system, 1MtCO2, with industrial steam heat, and grid electricity</t>
  </si>
  <si>
    <t>carbon dioxide, captured, with a solvent-based direct air capture system, 1MtCO2, with heat pump heat, and grid electricity</t>
  </si>
  <si>
    <t>carbon dioxide, captured, with a sorbent-based direct air capture system, 100ktCO2</t>
  </si>
  <si>
    <t>carbon dioxide, captured, with a sorbent-based direct air capture system, 100ktCO2, with waste heat, and grid electricity</t>
  </si>
  <si>
    <t>carbon dioxide, captured, with a sorbent-based direct air capture system, 100ktCO2, with industrial steam heat, and grid electricity</t>
  </si>
  <si>
    <t>carbon dioxide, captured, with a sorbent-based direct air capture system, 100ktCO2, with heat pump heat, and grid electricity</t>
  </si>
  <si>
    <t>carbon dioxide, captured, at municipal solid waste incineration plant, for subsequent reuse</t>
  </si>
  <si>
    <t>carbon dioxide, captured, at cement production plant, for subsequent reuse</t>
  </si>
  <si>
    <t>carbon dioxide, captured, at cement production plant, using monoethanolamine</t>
  </si>
  <si>
    <t>carbon dioxide, captured, at cement production plant, using direct separation</t>
  </si>
  <si>
    <t>carbon dioxide, captured, at cement production plant, using oxyfuel</t>
  </si>
  <si>
    <t>carbon dioxide, captured and stored, by land-use change</t>
  </si>
  <si>
    <t>carbon dioxide, captured and stored, from a hydrogen production plant using steam methane reforming of biomethane</t>
  </si>
  <si>
    <t>Hydrogen production from natural gas and biomethane with carbon capture and storage – A techno-environmental analysis. 2020. Antonini et al. https://doi.org/10.1039/D0SE00222D</t>
  </si>
  <si>
    <t>This dataset models the pre-combustion capture and compression of carbon dioxide via aqueous methyl diethanolamine (MDEA) absorption in a steam methane reforming (SMR) plant using biomethane as feedstock. The functional unit is 1 kg of CO₂ captured and compressed to 110 bar, suitable for pipeline transport or geological storage. The dataset includes solvent circulation, regeneration via low-pressure steam, CO₂ dehydration and compression, electricity and cooling requirements, as well as infrastructure amortized over a 25-year plant lifetime with a hydrogen output of 75,000 tonnes per year. It excludes upstream hydrogen production, tail gas combustion, and biomethane generation. The system is modeled for European conditions using attributional life cycle assessment with the ecoinvent v3.5 database (cut-off system model), and simulation results derived from Aspen Plus v8.6. MDEA solvent losses are assumed at 5 g per kg of CO₂ captured, and electricity and steam requirements are based on optimized process performance with a CO₂ capture efficiency of 98%. The dataset supports prospective LCAs of low-carbon or net-negative hydrogen systems, and is consistent with data and assumptions reported in Antonini et al. (2020).</t>
  </si>
  <si>
    <t>For auxiliaries, controls, minor pumping/compression</t>
  </si>
  <si>
    <t>For condensing or cooling (varies by setup)</t>
  </si>
  <si>
    <t>Final compression of captured CO₂ for storage/transport</t>
  </si>
  <si>
    <t>MDEA losses from degradation or blowdown</t>
  </si>
  <si>
    <t>Solvent circulation, flue gas fans, CO₂ dehydration</t>
  </si>
  <si>
    <t>Allocation of capital goods per kg CO₂ (25-year life, 75 kt/y plant)</t>
  </si>
  <si>
    <t>Heat recovery &amp; regeneration infrastructure</t>
  </si>
  <si>
    <t>market for heat, district or industrial, natural gas</t>
  </si>
  <si>
    <t>carbon dioxide, captured and stored, from a biomass fermentation plant</t>
  </si>
  <si>
    <t>Dees J, Oke K, Goldstein H, McCoy ST, Sanchez DL, Simon AJ, Li W. Cost and Life Cycle Emissions of Ethanol Produced with an Oxyfuel Boiler and Carbon Capture and Storage. Environ Sci Technol. 2023 Apr 4;57(13):5391-5403. doi: 10.1021/acs.est.2c04784. Epub 2023 Mar 21. PMID: 36943504; PMCID: PMC10077580.</t>
  </si>
  <si>
    <t>For the fermentation-only CCS (FERMCCS) scenario, Dees et al. performed a full material balance to determine the quantity of CO2 capturable from a 40 M-gal (151 ML) per year ethanol plant. Fermentation CO2 is captured at a rate of 13,089 kg/h and assumed to be at 100% purity. Fermentation CO2 is dehydrated, compressed, liquefied, and pumped at 150 bar, which is assumed to be sufficient to transport the gas by pipeline 100 miles to geologic storage without need for further compression. This is carried out by the CO2 processing unit (CPU) and modeled using Aspen Plus V11. The additional electricity demand for the CPU is estimated to be 110 kWh/t CO2 using this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</si>
</sst>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 #,##0.00_ ;_ * \-#,##0.00_ ;_ * &quot;-&quot;??_ ;_ @_ "/>
    <numFmt numFmtId="165" formatCode="0.0E+00"/>
    <numFmt numFmtId="166" formatCode="_ * #,##0_ ;_ * \-#,##0_ ;_ * &quot;-&quot;??_ ;_ @_ "/>
    <numFmt numFmtId="167" formatCode="_ * #,##0.000_ ;_ * \-#,##0.000_ ;_ * &quot;-&quot;??_ ;_ @_ "/>
    <numFmt numFmtId="168" formatCode="0.000"/>
    <numFmt numFmtId="169" formatCode="0.0000"/>
    <numFmt numFmtId="170" formatCode="_ * #,##0.0000_ ;_ * \-#,##0.0000_ ;_ * &quot;-&quot;??_ ;_ @_ "/>
    <numFmt numFmtId="171" formatCode="0.00000"/>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b/>
      <sz val="12"/>
      <name val="Calibri (Body)"/>
    </font>
    <font>
      <sz val="12"/>
      <name val="Calibri (Body)"/>
    </font>
    <font>
      <sz val="11"/>
      <color theme="1"/>
      <name val="Calibri"/>
      <family val="2"/>
    </font>
    <font>
      <sz val="11"/>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2">
    <xf numFmtId="0" fontId="0" fillId="0" borderId="0"/>
    <xf numFmtId="164" fontId="8" fillId="0" borderId="0" applyFont="0" applyFill="0" applyBorder="0" applyAlignment="0" applyProtection="0"/>
  </cellStyleXfs>
  <cellXfs count="42">
    <xf numFmtId="0" fontId="0" fillId="0" borderId="0" xfId="0"/>
    <xf numFmtId="0" fontId="6" fillId="0" borderId="0" xfId="0" applyFont="1"/>
    <xf numFmtId="0" fontId="7" fillId="0" borderId="0" xfId="0" applyFont="1"/>
    <xf numFmtId="165" fontId="0" fillId="0" borderId="0" xfId="0" applyNumberFormat="1"/>
    <xf numFmtId="2" fontId="0" fillId="0" borderId="0" xfId="0" applyNumberFormat="1"/>
    <xf numFmtId="0" fontId="5" fillId="0" borderId="0" xfId="0" applyFont="1"/>
    <xf numFmtId="11" fontId="0" fillId="0" borderId="0" xfId="0" applyNumberFormat="1"/>
    <xf numFmtId="0" fontId="4" fillId="0" borderId="0" xfId="0" applyFont="1"/>
    <xf numFmtId="0" fontId="3" fillId="0" borderId="0" xfId="0" applyFont="1"/>
    <xf numFmtId="0" fontId="0" fillId="0" borderId="0" xfId="0" applyAlignment="1">
      <alignment wrapText="1"/>
    </xf>
    <xf numFmtId="0" fontId="9" fillId="0" borderId="0" xfId="0" applyFont="1"/>
    <xf numFmtId="166" fontId="0" fillId="0" borderId="0" xfId="1" applyNumberFormat="1" applyFont="1"/>
    <xf numFmtId="166" fontId="0" fillId="0" borderId="0" xfId="0" applyNumberFormat="1"/>
    <xf numFmtId="167" fontId="0" fillId="0" borderId="0" xfId="0" applyNumberFormat="1"/>
    <xf numFmtId="0" fontId="10" fillId="0" borderId="0" xfId="0" applyFont="1"/>
    <xf numFmtId="0" fontId="11" fillId="0" borderId="0" xfId="0" applyFont="1"/>
    <xf numFmtId="2" fontId="11" fillId="0" borderId="0" xfId="0" applyNumberFormat="1" applyFont="1"/>
    <xf numFmtId="9" fontId="11" fillId="0" borderId="0" xfId="0" applyNumberFormat="1" applyFont="1"/>
    <xf numFmtId="2" fontId="6" fillId="0" borderId="0" xfId="0" applyNumberFormat="1" applyFont="1"/>
    <xf numFmtId="168" fontId="11" fillId="0" borderId="0" xfId="0" applyNumberFormat="1" applyFont="1"/>
    <xf numFmtId="169" fontId="11" fillId="0" borderId="0" xfId="0" applyNumberFormat="1" applyFont="1"/>
    <xf numFmtId="0" fontId="2" fillId="0" borderId="0" xfId="0" applyFont="1"/>
    <xf numFmtId="0" fontId="1" fillId="0" borderId="0" xfId="0" applyFont="1"/>
    <xf numFmtId="168" fontId="0" fillId="0" borderId="0" xfId="0" applyNumberFormat="1"/>
    <xf numFmtId="167" fontId="0" fillId="0" borderId="0" xfId="1" applyNumberFormat="1" applyFont="1"/>
    <xf numFmtId="170" fontId="0" fillId="0" borderId="0" xfId="1" applyNumberFormat="1" applyFont="1"/>
    <xf numFmtId="0" fontId="13" fillId="0" borderId="0" xfId="0" applyFont="1"/>
    <xf numFmtId="0" fontId="12" fillId="0" borderId="0" xfId="0" applyFont="1"/>
    <xf numFmtId="0" fontId="14" fillId="0" borderId="0" xfId="0" applyFont="1"/>
    <xf numFmtId="11" fontId="14" fillId="0" borderId="0" xfId="0" applyNumberFormat="1" applyFont="1"/>
    <xf numFmtId="168" fontId="14" fillId="0" borderId="0" xfId="0" applyNumberFormat="1" applyFont="1"/>
    <xf numFmtId="168" fontId="12" fillId="0" borderId="0" xfId="0" applyNumberFormat="1" applyFont="1"/>
    <xf numFmtId="11" fontId="13" fillId="0" borderId="0" xfId="0" applyNumberFormat="1" applyFont="1"/>
    <xf numFmtId="169" fontId="0" fillId="0" borderId="0" xfId="0" applyNumberFormat="1"/>
    <xf numFmtId="0" fontId="6" fillId="0" borderId="0" xfId="0" applyFont="1" applyAlignment="1">
      <alignment horizontal="left"/>
    </xf>
    <xf numFmtId="0" fontId="0" fillId="0" borderId="0" xfId="0" applyAlignment="1">
      <alignment horizontal="left"/>
    </xf>
    <xf numFmtId="11" fontId="0" fillId="0" borderId="0" xfId="0" applyNumberFormat="1" applyAlignment="1">
      <alignment horizontal="left"/>
    </xf>
    <xf numFmtId="171" fontId="14" fillId="0" borderId="0" xfId="0" applyNumberFormat="1" applyFont="1"/>
    <xf numFmtId="171" fontId="0" fillId="0" borderId="0" xfId="0" applyNumberFormat="1"/>
    <xf numFmtId="171" fontId="11" fillId="0" borderId="0" xfId="0" applyNumberFormat="1" applyFont="1"/>
    <xf numFmtId="0" fontId="0" fillId="0" borderId="0" xfId="0" applyFill="1"/>
    <xf numFmtId="0" fontId="0" fillId="0" borderId="0" xfId="0"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57"/>
  <sheetViews>
    <sheetView tabSelected="1" topLeftCell="A336" zoomScale="112" workbookViewId="0">
      <selection activeCell="B345" sqref="B345"/>
    </sheetView>
  </sheetViews>
  <sheetFormatPr baseColWidth="10" defaultColWidth="8.83203125" defaultRowHeight="15" x14ac:dyDescent="0.2"/>
  <cols>
    <col min="1" max="1" width="47.33203125" customWidth="1"/>
    <col min="2" max="2" width="14.5" bestFit="1" customWidth="1"/>
    <col min="3" max="3" width="15.33203125" customWidth="1"/>
    <col min="5" max="5" width="45.83203125" bestFit="1" customWidth="1"/>
    <col min="6" max="6" width="24.6640625" bestFit="1" customWidth="1"/>
    <col min="7" max="7" width="24.5" customWidth="1"/>
    <col min="8" max="8" width="13" bestFit="1" customWidth="1"/>
    <col min="10" max="10" width="12.6640625" bestFit="1" customWidth="1"/>
    <col min="11" max="11" width="12.1640625" bestFit="1" customWidth="1"/>
    <col min="12" max="12" width="12.33203125" bestFit="1" customWidth="1"/>
    <col min="17" max="17" width="11.6640625" bestFit="1" customWidth="1"/>
    <col min="18" max="18" width="12" bestFit="1" customWidth="1"/>
  </cols>
  <sheetData>
    <row r="1" spans="1:13" x14ac:dyDescent="0.2">
      <c r="A1" s="5" t="s">
        <v>14</v>
      </c>
      <c r="B1" t="s">
        <v>19</v>
      </c>
    </row>
    <row r="2" spans="1:13" x14ac:dyDescent="0.2">
      <c r="A2" s="5"/>
    </row>
    <row r="3" spans="1:13" ht="16" x14ac:dyDescent="0.2">
      <c r="A3" s="1" t="s">
        <v>0</v>
      </c>
      <c r="B3" s="1" t="s">
        <v>286</v>
      </c>
    </row>
    <row r="4" spans="1:13" x14ac:dyDescent="0.2">
      <c r="A4" t="s">
        <v>1</v>
      </c>
      <c r="B4">
        <v>1</v>
      </c>
    </row>
    <row r="5" spans="1:13" x14ac:dyDescent="0.2">
      <c r="A5" t="s">
        <v>2</v>
      </c>
      <c r="B5" t="s">
        <v>294</v>
      </c>
    </row>
    <row r="6" spans="1:13" x14ac:dyDescent="0.2">
      <c r="A6" t="s">
        <v>3</v>
      </c>
      <c r="B6" t="s">
        <v>4</v>
      </c>
    </row>
    <row r="7" spans="1:13" x14ac:dyDescent="0.2">
      <c r="A7" t="s">
        <v>5</v>
      </c>
      <c r="B7" t="s">
        <v>6</v>
      </c>
    </row>
    <row r="8" spans="1:13" x14ac:dyDescent="0.2">
      <c r="A8" t="s">
        <v>7</v>
      </c>
      <c r="B8" t="s">
        <v>8</v>
      </c>
    </row>
    <row r="9" spans="1:13" x14ac:dyDescent="0.2">
      <c r="A9" t="s">
        <v>9</v>
      </c>
      <c r="B9" t="s">
        <v>41</v>
      </c>
    </row>
    <row r="10" spans="1:13" x14ac:dyDescent="0.2">
      <c r="A10" t="s">
        <v>18</v>
      </c>
      <c r="B10" t="s">
        <v>40</v>
      </c>
    </row>
    <row r="11" spans="1:13" ht="16" x14ac:dyDescent="0.2">
      <c r="A11" s="1" t="s">
        <v>10</v>
      </c>
    </row>
    <row r="12" spans="1:13" x14ac:dyDescent="0.2">
      <c r="A12" s="5" t="s">
        <v>11</v>
      </c>
      <c r="B12" s="5" t="s">
        <v>12</v>
      </c>
      <c r="C12" s="5" t="s">
        <v>7</v>
      </c>
      <c r="D12" s="5" t="s">
        <v>5</v>
      </c>
      <c r="E12" s="5" t="s">
        <v>13</v>
      </c>
      <c r="F12" s="5" t="s">
        <v>3</v>
      </c>
      <c r="G12" s="5" t="s">
        <v>2</v>
      </c>
      <c r="H12" s="5" t="s">
        <v>9</v>
      </c>
      <c r="I12" s="5" t="s">
        <v>172</v>
      </c>
      <c r="J12" s="5" t="s">
        <v>173</v>
      </c>
      <c r="K12" s="5" t="s">
        <v>215</v>
      </c>
      <c r="L12" s="5" t="s">
        <v>216</v>
      </c>
      <c r="M12" s="5" t="s">
        <v>182</v>
      </c>
    </row>
    <row r="13" spans="1:13" x14ac:dyDescent="0.2">
      <c r="A13" t="str">
        <f>B3</f>
        <v>carbon dioxide, captured, with a solvent-based direct air capture system, 1MtCO2</v>
      </c>
      <c r="B13">
        <v>1</v>
      </c>
      <c r="C13" t="s">
        <v>8</v>
      </c>
      <c r="D13" t="s">
        <v>6</v>
      </c>
      <c r="F13" t="s">
        <v>15</v>
      </c>
      <c r="G13" t="s">
        <v>294</v>
      </c>
    </row>
    <row r="14" spans="1:13" x14ac:dyDescent="0.2">
      <c r="A14" t="s">
        <v>62</v>
      </c>
      <c r="B14">
        <f>1/(1000000000*20)</f>
        <v>5.0000000000000002E-11</v>
      </c>
      <c r="C14" t="s">
        <v>8</v>
      </c>
      <c r="D14" t="s">
        <v>5</v>
      </c>
      <c r="F14" t="s">
        <v>16</v>
      </c>
      <c r="G14" t="s">
        <v>63</v>
      </c>
      <c r="H14" t="s">
        <v>75</v>
      </c>
      <c r="I14">
        <v>5</v>
      </c>
      <c r="J14" s="6">
        <f>B14</f>
        <v>5.0000000000000002E-11</v>
      </c>
      <c r="K14" s="6">
        <f>1/(1000000000*25)</f>
        <v>3.9999999999999998E-11</v>
      </c>
      <c r="L14" s="6">
        <f>1/(1000000000*15)</f>
        <v>6.6666666666666669E-11</v>
      </c>
    </row>
    <row r="15" spans="1:13" x14ac:dyDescent="0.2">
      <c r="A15" t="s">
        <v>64</v>
      </c>
      <c r="B15">
        <f>-1/(1000000000*20)</f>
        <v>-5.0000000000000002E-11</v>
      </c>
      <c r="C15" t="s">
        <v>8</v>
      </c>
      <c r="D15" t="s">
        <v>5</v>
      </c>
      <c r="F15" t="s">
        <v>16</v>
      </c>
      <c r="G15" t="s">
        <v>63</v>
      </c>
      <c r="H15" t="s">
        <v>76</v>
      </c>
      <c r="I15">
        <v>5</v>
      </c>
      <c r="J15">
        <f>-1/(1000000000*20)</f>
        <v>-5.0000000000000002E-11</v>
      </c>
      <c r="K15" s="6">
        <f>-1/(1000000000*15)</f>
        <v>-6.6666666666666669E-11</v>
      </c>
      <c r="L15" s="6">
        <f>-1/(1000000000*25)</f>
        <v>-3.9999999999999998E-11</v>
      </c>
      <c r="M15" t="b">
        <v>1</v>
      </c>
    </row>
    <row r="16" spans="1:13" x14ac:dyDescent="0.2">
      <c r="A16" t="s">
        <v>31</v>
      </c>
      <c r="B16">
        <v>3.4369999999999998</v>
      </c>
      <c r="C16" t="s">
        <v>131</v>
      </c>
      <c r="D16" t="s">
        <v>6</v>
      </c>
      <c r="F16" t="s">
        <v>16</v>
      </c>
      <c r="G16" t="s">
        <v>32</v>
      </c>
      <c r="H16" t="s">
        <v>109</v>
      </c>
    </row>
    <row r="17" spans="1:12" x14ac:dyDescent="0.2">
      <c r="A17" t="s">
        <v>164</v>
      </c>
      <c r="B17">
        <v>4.0000000000000001E-3</v>
      </c>
      <c r="C17" t="s">
        <v>17</v>
      </c>
      <c r="D17" t="s">
        <v>6</v>
      </c>
      <c r="F17" t="s">
        <v>16</v>
      </c>
      <c r="G17" t="s">
        <v>165</v>
      </c>
      <c r="H17" t="s">
        <v>109</v>
      </c>
    </row>
    <row r="18" spans="1:12" ht="16" x14ac:dyDescent="0.2">
      <c r="A18" s="9" t="s">
        <v>166</v>
      </c>
      <c r="B18">
        <v>3.5000000000000001E-3</v>
      </c>
      <c r="C18" t="s">
        <v>21</v>
      </c>
      <c r="D18" t="s">
        <v>6</v>
      </c>
      <c r="F18" t="s">
        <v>16</v>
      </c>
      <c r="G18" s="9" t="s">
        <v>167</v>
      </c>
      <c r="H18" t="s">
        <v>109</v>
      </c>
    </row>
    <row r="19" spans="1:12" x14ac:dyDescent="0.2">
      <c r="A19" t="s">
        <v>73</v>
      </c>
      <c r="B19" s="24">
        <f>-1*B17</f>
        <v>-4.0000000000000001E-3</v>
      </c>
      <c r="C19" t="s">
        <v>131</v>
      </c>
      <c r="D19" t="s">
        <v>6</v>
      </c>
      <c r="F19" t="s">
        <v>16</v>
      </c>
      <c r="G19" t="s">
        <v>140</v>
      </c>
      <c r="H19" s="12" t="s">
        <v>76</v>
      </c>
    </row>
    <row r="20" spans="1:12" x14ac:dyDescent="0.2">
      <c r="A20" t="s">
        <v>74</v>
      </c>
      <c r="B20" s="25">
        <f>-1*B18</f>
        <v>-3.5000000000000001E-3</v>
      </c>
      <c r="C20" t="s">
        <v>21</v>
      </c>
      <c r="D20" t="s">
        <v>6</v>
      </c>
      <c r="F20" t="s">
        <v>16</v>
      </c>
      <c r="G20" t="s">
        <v>154</v>
      </c>
      <c r="H20" s="12" t="s">
        <v>76</v>
      </c>
    </row>
    <row r="21" spans="1:12" x14ac:dyDescent="0.2">
      <c r="A21" t="s">
        <v>77</v>
      </c>
      <c r="B21">
        <v>0.34499999999999997</v>
      </c>
      <c r="C21" t="s">
        <v>8</v>
      </c>
      <c r="D21" t="s">
        <v>23</v>
      </c>
      <c r="F21" t="s">
        <v>16</v>
      </c>
      <c r="G21" t="s">
        <v>78</v>
      </c>
      <c r="H21" t="s">
        <v>224</v>
      </c>
      <c r="I21">
        <v>5</v>
      </c>
      <c r="J21">
        <f>B21</f>
        <v>0.34499999999999997</v>
      </c>
      <c r="K21">
        <v>0.33</v>
      </c>
      <c r="L21">
        <v>0.44</v>
      </c>
    </row>
    <row r="22" spans="1:12" x14ac:dyDescent="0.2">
      <c r="A22" t="s">
        <v>317</v>
      </c>
      <c r="B22">
        <v>6.28</v>
      </c>
      <c r="C22" t="s">
        <v>131</v>
      </c>
      <c r="D22" t="s">
        <v>22</v>
      </c>
      <c r="F22" t="s">
        <v>16</v>
      </c>
      <c r="G22" t="s">
        <v>162</v>
      </c>
      <c r="H22" t="s">
        <v>224</v>
      </c>
      <c r="I22">
        <v>5</v>
      </c>
      <c r="J22">
        <f>B22</f>
        <v>6.28</v>
      </c>
      <c r="K22">
        <v>5.0999999999999996</v>
      </c>
      <c r="L22">
        <v>8.3699999999999992</v>
      </c>
    </row>
    <row r="23" spans="1:12" x14ac:dyDescent="0.2">
      <c r="A23" t="s">
        <v>39</v>
      </c>
      <c r="B23">
        <v>1</v>
      </c>
      <c r="D23" t="s">
        <v>6</v>
      </c>
      <c r="E23" t="s">
        <v>37</v>
      </c>
      <c r="F23" t="s">
        <v>20</v>
      </c>
      <c r="H23" t="s">
        <v>168</v>
      </c>
    </row>
    <row r="25" spans="1:12" ht="16" x14ac:dyDescent="0.2">
      <c r="A25" s="1" t="s">
        <v>0</v>
      </c>
      <c r="B25" s="1" t="s">
        <v>287</v>
      </c>
    </row>
    <row r="26" spans="1:12" x14ac:dyDescent="0.2">
      <c r="A26" t="s">
        <v>1</v>
      </c>
      <c r="B26">
        <v>1</v>
      </c>
    </row>
    <row r="27" spans="1:12" x14ac:dyDescent="0.2">
      <c r="A27" t="s">
        <v>2</v>
      </c>
      <c r="B27" t="s">
        <v>294</v>
      </c>
    </row>
    <row r="28" spans="1:12" x14ac:dyDescent="0.2">
      <c r="A28" t="s">
        <v>3</v>
      </c>
      <c r="B28" t="s">
        <v>4</v>
      </c>
    </row>
    <row r="29" spans="1:12" x14ac:dyDescent="0.2">
      <c r="A29" t="s">
        <v>5</v>
      </c>
      <c r="B29" t="s">
        <v>6</v>
      </c>
    </row>
    <row r="30" spans="1:12" x14ac:dyDescent="0.2">
      <c r="A30" t="s">
        <v>7</v>
      </c>
      <c r="B30" t="s">
        <v>8</v>
      </c>
    </row>
    <row r="31" spans="1:12" x14ac:dyDescent="0.2">
      <c r="A31" t="s">
        <v>9</v>
      </c>
      <c r="B31" t="s">
        <v>41</v>
      </c>
    </row>
    <row r="32" spans="1:12" x14ac:dyDescent="0.2">
      <c r="A32" t="s">
        <v>18</v>
      </c>
      <c r="B32" t="s">
        <v>40</v>
      </c>
    </row>
    <row r="33" spans="1:13" ht="16" x14ac:dyDescent="0.2">
      <c r="A33" s="1" t="s">
        <v>10</v>
      </c>
    </row>
    <row r="34" spans="1:13" x14ac:dyDescent="0.2">
      <c r="A34" s="5" t="s">
        <v>11</v>
      </c>
      <c r="B34" s="5" t="s">
        <v>12</v>
      </c>
      <c r="C34" s="5" t="s">
        <v>7</v>
      </c>
      <c r="D34" s="5" t="s">
        <v>5</v>
      </c>
      <c r="E34" s="5" t="s">
        <v>13</v>
      </c>
      <c r="F34" s="5" t="s">
        <v>3</v>
      </c>
      <c r="G34" s="5" t="s">
        <v>2</v>
      </c>
      <c r="H34" s="5" t="s">
        <v>9</v>
      </c>
      <c r="I34" s="5" t="s">
        <v>172</v>
      </c>
      <c r="J34" s="5" t="s">
        <v>173</v>
      </c>
      <c r="K34" s="5" t="s">
        <v>215</v>
      </c>
      <c r="L34" s="5" t="s">
        <v>216</v>
      </c>
      <c r="M34" s="5" t="s">
        <v>182</v>
      </c>
    </row>
    <row r="35" spans="1:13" x14ac:dyDescent="0.2">
      <c r="A35" t="s">
        <v>287</v>
      </c>
      <c r="B35">
        <v>1</v>
      </c>
      <c r="C35" t="s">
        <v>8</v>
      </c>
      <c r="D35" t="s">
        <v>6</v>
      </c>
      <c r="F35" t="s">
        <v>15</v>
      </c>
      <c r="G35" t="s">
        <v>294</v>
      </c>
    </row>
    <row r="36" spans="1:13" x14ac:dyDescent="0.2">
      <c r="A36" t="s">
        <v>62</v>
      </c>
      <c r="B36">
        <f>1/(1000000000*20)</f>
        <v>5.0000000000000002E-11</v>
      </c>
      <c r="C36" t="s">
        <v>8</v>
      </c>
      <c r="D36" t="s">
        <v>5</v>
      </c>
      <c r="F36" t="s">
        <v>16</v>
      </c>
      <c r="G36" t="s">
        <v>63</v>
      </c>
      <c r="H36" t="s">
        <v>75</v>
      </c>
      <c r="I36">
        <v>5</v>
      </c>
      <c r="J36" s="6">
        <f>B36</f>
        <v>5.0000000000000002E-11</v>
      </c>
      <c r="K36" s="6">
        <f>1/(1000000000*25)</f>
        <v>3.9999999999999998E-11</v>
      </c>
      <c r="L36" s="6">
        <f>1/(1000000000*15)</f>
        <v>6.6666666666666669E-11</v>
      </c>
    </row>
    <row r="37" spans="1:13" x14ac:dyDescent="0.2">
      <c r="A37" t="s">
        <v>64</v>
      </c>
      <c r="B37">
        <f>-1/(1000000000*20)</f>
        <v>-5.0000000000000002E-11</v>
      </c>
      <c r="C37" t="s">
        <v>8</v>
      </c>
      <c r="D37" t="s">
        <v>5</v>
      </c>
      <c r="F37" t="s">
        <v>16</v>
      </c>
      <c r="G37" t="s">
        <v>63</v>
      </c>
      <c r="H37" t="s">
        <v>76</v>
      </c>
      <c r="I37">
        <v>5</v>
      </c>
      <c r="J37" s="6">
        <f>B37</f>
        <v>-5.0000000000000002E-11</v>
      </c>
      <c r="K37" s="6">
        <f>-1/(1000000000*15)</f>
        <v>-6.6666666666666669E-11</v>
      </c>
      <c r="L37" s="6">
        <f>-1/(1000000000*25)</f>
        <v>-3.9999999999999998E-11</v>
      </c>
      <c r="M37" t="b">
        <v>1</v>
      </c>
    </row>
    <row r="38" spans="1:13" x14ac:dyDescent="0.2">
      <c r="A38" t="s">
        <v>31</v>
      </c>
      <c r="B38">
        <v>3.4369999999999998</v>
      </c>
      <c r="C38" t="s">
        <v>131</v>
      </c>
      <c r="D38" t="s">
        <v>6</v>
      </c>
      <c r="F38" t="s">
        <v>16</v>
      </c>
      <c r="G38" t="s">
        <v>32</v>
      </c>
      <c r="H38" t="s">
        <v>109</v>
      </c>
    </row>
    <row r="39" spans="1:13" x14ac:dyDescent="0.2">
      <c r="A39" t="s">
        <v>164</v>
      </c>
      <c r="B39">
        <v>4.0000000000000001E-3</v>
      </c>
      <c r="C39" t="s">
        <v>17</v>
      </c>
      <c r="D39" t="s">
        <v>6</v>
      </c>
      <c r="F39" t="s">
        <v>16</v>
      </c>
      <c r="G39" t="s">
        <v>165</v>
      </c>
      <c r="H39" t="s">
        <v>109</v>
      </c>
    </row>
    <row r="40" spans="1:13" ht="16" x14ac:dyDescent="0.2">
      <c r="A40" s="9" t="s">
        <v>166</v>
      </c>
      <c r="B40">
        <v>3.5000000000000001E-3</v>
      </c>
      <c r="C40" t="s">
        <v>21</v>
      </c>
      <c r="D40" t="s">
        <v>6</v>
      </c>
      <c r="F40" t="s">
        <v>16</v>
      </c>
      <c r="G40" s="9" t="s">
        <v>167</v>
      </c>
      <c r="H40" t="s">
        <v>109</v>
      </c>
    </row>
    <row r="41" spans="1:13" x14ac:dyDescent="0.2">
      <c r="A41" t="s">
        <v>73</v>
      </c>
      <c r="B41" s="24">
        <f>-1*B39</f>
        <v>-4.0000000000000001E-3</v>
      </c>
      <c r="C41" t="s">
        <v>131</v>
      </c>
      <c r="D41" t="s">
        <v>6</v>
      </c>
      <c r="F41" t="s">
        <v>16</v>
      </c>
      <c r="G41" t="s">
        <v>140</v>
      </c>
      <c r="H41" s="12" t="s">
        <v>76</v>
      </c>
    </row>
    <row r="42" spans="1:13" x14ac:dyDescent="0.2">
      <c r="A42" t="s">
        <v>74</v>
      </c>
      <c r="B42" s="25">
        <f>-1*B40</f>
        <v>-3.5000000000000001E-3</v>
      </c>
      <c r="C42" t="s">
        <v>21</v>
      </c>
      <c r="D42" t="s">
        <v>6</v>
      </c>
      <c r="F42" t="s">
        <v>16</v>
      </c>
      <c r="G42" t="s">
        <v>154</v>
      </c>
      <c r="H42" s="12" t="s">
        <v>76</v>
      </c>
    </row>
    <row r="43" spans="1:13" x14ac:dyDescent="0.2">
      <c r="A43" t="s">
        <v>77</v>
      </c>
      <c r="B43">
        <v>0.34499999999999997</v>
      </c>
      <c r="C43" t="s">
        <v>8</v>
      </c>
      <c r="D43" t="s">
        <v>23</v>
      </c>
      <c r="F43" t="s">
        <v>16</v>
      </c>
      <c r="G43" t="s">
        <v>78</v>
      </c>
      <c r="H43" t="s">
        <v>224</v>
      </c>
      <c r="I43">
        <v>5</v>
      </c>
      <c r="J43">
        <f>B43</f>
        <v>0.34499999999999997</v>
      </c>
      <c r="K43">
        <v>0.33</v>
      </c>
      <c r="L43">
        <v>0.44</v>
      </c>
    </row>
    <row r="44" spans="1:13" x14ac:dyDescent="0.2">
      <c r="A44" t="s">
        <v>317</v>
      </c>
      <c r="B44">
        <v>6.28</v>
      </c>
      <c r="C44" t="s">
        <v>131</v>
      </c>
      <c r="D44" t="s">
        <v>22</v>
      </c>
      <c r="F44" t="s">
        <v>16</v>
      </c>
      <c r="G44" t="s">
        <v>162</v>
      </c>
      <c r="H44" t="s">
        <v>224</v>
      </c>
      <c r="I44">
        <v>5</v>
      </c>
      <c r="J44">
        <f>B44</f>
        <v>6.28</v>
      </c>
      <c r="K44">
        <v>5.0999999999999996</v>
      </c>
      <c r="L44">
        <v>8.3699999999999992</v>
      </c>
    </row>
    <row r="45" spans="1:13" ht="16" x14ac:dyDescent="0.2">
      <c r="A45" t="s">
        <v>97</v>
      </c>
      <c r="B45">
        <v>1</v>
      </c>
      <c r="C45" t="s">
        <v>8</v>
      </c>
      <c r="D45" t="s">
        <v>6</v>
      </c>
      <c r="F45" t="s">
        <v>16</v>
      </c>
      <c r="G45" s="8" t="s">
        <v>98</v>
      </c>
      <c r="H45" t="s">
        <v>163</v>
      </c>
    </row>
    <row r="46" spans="1:13" x14ac:dyDescent="0.2">
      <c r="A46" t="s">
        <v>39</v>
      </c>
      <c r="B46">
        <v>1</v>
      </c>
      <c r="D46" t="s">
        <v>6</v>
      </c>
      <c r="E46" t="s">
        <v>37</v>
      </c>
      <c r="F46" t="s">
        <v>20</v>
      </c>
      <c r="H46" t="s">
        <v>168</v>
      </c>
    </row>
    <row r="48" spans="1:13" ht="16" x14ac:dyDescent="0.2">
      <c r="A48" s="1" t="s">
        <v>0</v>
      </c>
      <c r="B48" s="1" t="s">
        <v>295</v>
      </c>
    </row>
    <row r="49" spans="1:13" x14ac:dyDescent="0.2">
      <c r="A49" t="s">
        <v>1</v>
      </c>
      <c r="B49">
        <v>1</v>
      </c>
    </row>
    <row r="50" spans="1:13" x14ac:dyDescent="0.2">
      <c r="A50" t="s">
        <v>2</v>
      </c>
      <c r="B50" t="s">
        <v>294</v>
      </c>
    </row>
    <row r="51" spans="1:13" x14ac:dyDescent="0.2">
      <c r="A51" t="s">
        <v>3</v>
      </c>
      <c r="B51" t="s">
        <v>4</v>
      </c>
    </row>
    <row r="52" spans="1:13" x14ac:dyDescent="0.2">
      <c r="A52" t="s">
        <v>5</v>
      </c>
      <c r="B52" t="s">
        <v>6</v>
      </c>
    </row>
    <row r="53" spans="1:13" x14ac:dyDescent="0.2">
      <c r="A53" t="s">
        <v>7</v>
      </c>
      <c r="B53" t="s">
        <v>8</v>
      </c>
    </row>
    <row r="54" spans="1:13" x14ac:dyDescent="0.2">
      <c r="A54" t="s">
        <v>9</v>
      </c>
      <c r="B54" t="s">
        <v>41</v>
      </c>
    </row>
    <row r="55" spans="1:13" x14ac:dyDescent="0.2">
      <c r="A55" t="s">
        <v>18</v>
      </c>
      <c r="B55" t="s">
        <v>40</v>
      </c>
    </row>
    <row r="56" spans="1:13" ht="16" x14ac:dyDescent="0.2">
      <c r="A56" s="1" t="s">
        <v>10</v>
      </c>
    </row>
    <row r="57" spans="1:13" x14ac:dyDescent="0.2">
      <c r="A57" s="5" t="s">
        <v>11</v>
      </c>
      <c r="B57" s="5" t="s">
        <v>12</v>
      </c>
      <c r="C57" s="5" t="s">
        <v>7</v>
      </c>
      <c r="D57" s="5" t="s">
        <v>5</v>
      </c>
      <c r="E57" s="5" t="s">
        <v>13</v>
      </c>
      <c r="F57" s="5" t="s">
        <v>3</v>
      </c>
      <c r="G57" s="5" t="s">
        <v>2</v>
      </c>
      <c r="H57" s="5" t="s">
        <v>9</v>
      </c>
      <c r="I57" s="5" t="s">
        <v>172</v>
      </c>
      <c r="J57" s="5" t="s">
        <v>173</v>
      </c>
      <c r="K57" s="5" t="s">
        <v>215</v>
      </c>
      <c r="L57" s="5" t="s">
        <v>216</v>
      </c>
      <c r="M57" s="5" t="s">
        <v>182</v>
      </c>
    </row>
    <row r="58" spans="1:13" x14ac:dyDescent="0.2">
      <c r="A58" t="s">
        <v>295</v>
      </c>
      <c r="B58">
        <v>1</v>
      </c>
      <c r="C58" t="s">
        <v>8</v>
      </c>
      <c r="D58" t="s">
        <v>6</v>
      </c>
      <c r="F58" t="s">
        <v>15</v>
      </c>
      <c r="G58" t="s">
        <v>294</v>
      </c>
    </row>
    <row r="59" spans="1:13" x14ac:dyDescent="0.2">
      <c r="A59" t="s">
        <v>62</v>
      </c>
      <c r="B59">
        <f>1/(1000000000*20)</f>
        <v>5.0000000000000002E-11</v>
      </c>
      <c r="C59" t="s">
        <v>8</v>
      </c>
      <c r="D59" t="s">
        <v>5</v>
      </c>
      <c r="F59" t="s">
        <v>16</v>
      </c>
      <c r="G59" t="s">
        <v>63</v>
      </c>
      <c r="H59" t="s">
        <v>75</v>
      </c>
      <c r="I59">
        <v>5</v>
      </c>
      <c r="J59" s="6">
        <f>B59</f>
        <v>5.0000000000000002E-11</v>
      </c>
      <c r="K59" s="6">
        <f>1/(1000000000*25)</f>
        <v>3.9999999999999998E-11</v>
      </c>
      <c r="L59" s="6">
        <f>1/(1000000000*15)</f>
        <v>6.6666666666666669E-11</v>
      </c>
    </row>
    <row r="60" spans="1:13" x14ac:dyDescent="0.2">
      <c r="A60" t="s">
        <v>64</v>
      </c>
      <c r="B60">
        <f>-1/(1000000000*20)</f>
        <v>-5.0000000000000002E-11</v>
      </c>
      <c r="C60" t="s">
        <v>8</v>
      </c>
      <c r="D60" t="s">
        <v>5</v>
      </c>
      <c r="F60" t="s">
        <v>16</v>
      </c>
      <c r="G60" t="s">
        <v>63</v>
      </c>
      <c r="H60" t="s">
        <v>76</v>
      </c>
      <c r="I60">
        <v>5</v>
      </c>
      <c r="J60">
        <f>-1/(1000000000*20)</f>
        <v>-5.0000000000000002E-11</v>
      </c>
      <c r="K60" s="6">
        <f>-1/(1000000000*15)</f>
        <v>-6.6666666666666669E-11</v>
      </c>
      <c r="L60" s="6">
        <f>-1/(1000000000*25)</f>
        <v>-3.9999999999999998E-11</v>
      </c>
      <c r="M60" t="b">
        <v>1</v>
      </c>
    </row>
    <row r="61" spans="1:13" x14ac:dyDescent="0.2">
      <c r="A61" t="s">
        <v>31</v>
      </c>
      <c r="B61">
        <v>3.4369999999999998</v>
      </c>
      <c r="C61" t="s">
        <v>131</v>
      </c>
      <c r="D61" t="s">
        <v>6</v>
      </c>
      <c r="F61" t="s">
        <v>16</v>
      </c>
      <c r="G61" t="s">
        <v>32</v>
      </c>
      <c r="H61" t="s">
        <v>109</v>
      </c>
    </row>
    <row r="62" spans="1:13" x14ac:dyDescent="0.2">
      <c r="A62" t="s">
        <v>164</v>
      </c>
      <c r="B62">
        <v>4.0000000000000001E-3</v>
      </c>
      <c r="C62" t="s">
        <v>17</v>
      </c>
      <c r="D62" t="s">
        <v>6</v>
      </c>
      <c r="F62" t="s">
        <v>16</v>
      </c>
      <c r="G62" t="s">
        <v>165</v>
      </c>
      <c r="H62" t="s">
        <v>109</v>
      </c>
    </row>
    <row r="63" spans="1:13" ht="16" x14ac:dyDescent="0.2">
      <c r="A63" s="9" t="s">
        <v>166</v>
      </c>
      <c r="B63">
        <v>3.5000000000000001E-3</v>
      </c>
      <c r="C63" t="s">
        <v>21</v>
      </c>
      <c r="D63" t="s">
        <v>6</v>
      </c>
      <c r="F63" t="s">
        <v>16</v>
      </c>
      <c r="G63" s="9" t="s">
        <v>167</v>
      </c>
      <c r="H63" t="s">
        <v>109</v>
      </c>
    </row>
    <row r="64" spans="1:13" x14ac:dyDescent="0.2">
      <c r="A64" t="s">
        <v>73</v>
      </c>
      <c r="B64" s="24">
        <f>-1*B62</f>
        <v>-4.0000000000000001E-3</v>
      </c>
      <c r="C64" t="s">
        <v>131</v>
      </c>
      <c r="D64" t="s">
        <v>6</v>
      </c>
      <c r="F64" t="s">
        <v>16</v>
      </c>
      <c r="G64" t="s">
        <v>140</v>
      </c>
      <c r="H64" s="12" t="s">
        <v>76</v>
      </c>
    </row>
    <row r="65" spans="1:13" x14ac:dyDescent="0.2">
      <c r="A65" t="s">
        <v>74</v>
      </c>
      <c r="B65" s="25">
        <f>-1*B63</f>
        <v>-3.5000000000000001E-3</v>
      </c>
      <c r="C65" t="s">
        <v>21</v>
      </c>
      <c r="D65" t="s">
        <v>6</v>
      </c>
      <c r="F65" t="s">
        <v>16</v>
      </c>
      <c r="G65" t="s">
        <v>154</v>
      </c>
      <c r="H65" s="12" t="s">
        <v>76</v>
      </c>
    </row>
    <row r="66" spans="1:13" x14ac:dyDescent="0.2">
      <c r="A66" t="s">
        <v>77</v>
      </c>
      <c r="B66">
        <v>0.34499999999999997</v>
      </c>
      <c r="C66" t="s">
        <v>8</v>
      </c>
      <c r="D66" t="s">
        <v>23</v>
      </c>
      <c r="F66" t="s">
        <v>16</v>
      </c>
      <c r="G66" t="s">
        <v>78</v>
      </c>
      <c r="H66" t="s">
        <v>224</v>
      </c>
      <c r="I66">
        <v>5</v>
      </c>
      <c r="J66">
        <f>B66</f>
        <v>0.34499999999999997</v>
      </c>
      <c r="K66">
        <v>0.33</v>
      </c>
      <c r="L66">
        <v>0.44</v>
      </c>
    </row>
    <row r="67" spans="1:13" x14ac:dyDescent="0.2">
      <c r="A67" t="s">
        <v>187</v>
      </c>
      <c r="B67">
        <v>6.28</v>
      </c>
      <c r="C67" t="s">
        <v>8</v>
      </c>
      <c r="D67" t="s">
        <v>22</v>
      </c>
      <c r="F67" t="s">
        <v>16</v>
      </c>
      <c r="G67" t="s">
        <v>188</v>
      </c>
      <c r="H67" t="s">
        <v>252</v>
      </c>
      <c r="I67">
        <v>5</v>
      </c>
      <c r="J67">
        <f>B67</f>
        <v>6.28</v>
      </c>
      <c r="K67">
        <v>5.0999999999999996</v>
      </c>
      <c r="L67">
        <v>8.3699999999999992</v>
      </c>
    </row>
    <row r="68" spans="1:13" x14ac:dyDescent="0.2">
      <c r="A68" t="s">
        <v>39</v>
      </c>
      <c r="B68">
        <v>1</v>
      </c>
      <c r="D68" t="s">
        <v>6</v>
      </c>
      <c r="E68" t="s">
        <v>37</v>
      </c>
      <c r="F68" t="s">
        <v>20</v>
      </c>
      <c r="H68" t="s">
        <v>168</v>
      </c>
    </row>
    <row r="70" spans="1:13" ht="16" x14ac:dyDescent="0.2">
      <c r="A70" s="1" t="s">
        <v>0</v>
      </c>
      <c r="B70" s="1" t="s">
        <v>288</v>
      </c>
    </row>
    <row r="71" spans="1:13" x14ac:dyDescent="0.2">
      <c r="A71" t="s">
        <v>1</v>
      </c>
      <c r="B71">
        <v>1</v>
      </c>
    </row>
    <row r="72" spans="1:13" x14ac:dyDescent="0.2">
      <c r="A72" t="s">
        <v>2</v>
      </c>
      <c r="B72" t="s">
        <v>294</v>
      </c>
    </row>
    <row r="73" spans="1:13" x14ac:dyDescent="0.2">
      <c r="A73" t="s">
        <v>3</v>
      </c>
      <c r="B73" t="s">
        <v>4</v>
      </c>
    </row>
    <row r="74" spans="1:13" x14ac:dyDescent="0.2">
      <c r="A74" t="s">
        <v>5</v>
      </c>
      <c r="B74" t="s">
        <v>6</v>
      </c>
    </row>
    <row r="75" spans="1:13" x14ac:dyDescent="0.2">
      <c r="A75" t="s">
        <v>7</v>
      </c>
      <c r="B75" t="s">
        <v>8</v>
      </c>
    </row>
    <row r="76" spans="1:13" x14ac:dyDescent="0.2">
      <c r="A76" t="s">
        <v>9</v>
      </c>
      <c r="B76" t="s">
        <v>41</v>
      </c>
    </row>
    <row r="77" spans="1:13" x14ac:dyDescent="0.2">
      <c r="A77" t="s">
        <v>18</v>
      </c>
      <c r="B77" t="s">
        <v>40</v>
      </c>
    </row>
    <row r="78" spans="1:13" ht="16" x14ac:dyDescent="0.2">
      <c r="A78" s="1" t="s">
        <v>10</v>
      </c>
    </row>
    <row r="79" spans="1:13" x14ac:dyDescent="0.2">
      <c r="A79" s="5" t="s">
        <v>11</v>
      </c>
      <c r="B79" s="5" t="s">
        <v>12</v>
      </c>
      <c r="C79" s="5" t="s">
        <v>7</v>
      </c>
      <c r="D79" s="5" t="s">
        <v>5</v>
      </c>
      <c r="E79" s="5" t="s">
        <v>13</v>
      </c>
      <c r="F79" s="5" t="s">
        <v>3</v>
      </c>
      <c r="G79" s="5" t="s">
        <v>2</v>
      </c>
      <c r="H79" s="5" t="s">
        <v>9</v>
      </c>
      <c r="I79" s="5" t="s">
        <v>172</v>
      </c>
      <c r="J79" s="5" t="s">
        <v>173</v>
      </c>
      <c r="K79" s="5" t="s">
        <v>215</v>
      </c>
      <c r="L79" s="5" t="s">
        <v>216</v>
      </c>
      <c r="M79" s="5" t="s">
        <v>182</v>
      </c>
    </row>
    <row r="80" spans="1:13" x14ac:dyDescent="0.2">
      <c r="A80" t="s">
        <v>288</v>
      </c>
      <c r="B80">
        <v>1</v>
      </c>
      <c r="C80" t="s">
        <v>8</v>
      </c>
      <c r="D80" t="s">
        <v>6</v>
      </c>
      <c r="F80" t="s">
        <v>15</v>
      </c>
      <c r="G80" t="s">
        <v>294</v>
      </c>
    </row>
    <row r="81" spans="1:13" x14ac:dyDescent="0.2">
      <c r="A81" t="s">
        <v>62</v>
      </c>
      <c r="B81">
        <f>1/(1000000000*20)</f>
        <v>5.0000000000000002E-11</v>
      </c>
      <c r="C81" t="s">
        <v>8</v>
      </c>
      <c r="D81" t="s">
        <v>5</v>
      </c>
      <c r="F81" t="s">
        <v>16</v>
      </c>
      <c r="G81" t="s">
        <v>63</v>
      </c>
      <c r="H81" t="s">
        <v>75</v>
      </c>
      <c r="I81">
        <v>5</v>
      </c>
      <c r="J81" s="6">
        <f>B81</f>
        <v>5.0000000000000002E-11</v>
      </c>
      <c r="K81" s="6">
        <f>1/(1000000000*25)</f>
        <v>3.9999999999999998E-11</v>
      </c>
      <c r="L81" s="6">
        <f>1/(1000000000*15)</f>
        <v>6.6666666666666669E-11</v>
      </c>
    </row>
    <row r="82" spans="1:13" x14ac:dyDescent="0.2">
      <c r="A82" t="s">
        <v>64</v>
      </c>
      <c r="B82">
        <f>-1/(1000000000*20)</f>
        <v>-5.0000000000000002E-11</v>
      </c>
      <c r="C82" t="s">
        <v>8</v>
      </c>
      <c r="D82" t="s">
        <v>5</v>
      </c>
      <c r="F82" t="s">
        <v>16</v>
      </c>
      <c r="G82" t="s">
        <v>63</v>
      </c>
      <c r="H82" t="s">
        <v>76</v>
      </c>
      <c r="I82">
        <v>5</v>
      </c>
      <c r="J82" s="6">
        <f>B82</f>
        <v>-5.0000000000000002E-11</v>
      </c>
      <c r="K82" s="6">
        <f>-1/(1000000000*15)</f>
        <v>-6.6666666666666669E-11</v>
      </c>
      <c r="L82" s="6">
        <f>-1/(1000000000*25)</f>
        <v>-3.9999999999999998E-11</v>
      </c>
      <c r="M82" t="b">
        <v>1</v>
      </c>
    </row>
    <row r="83" spans="1:13" x14ac:dyDescent="0.2">
      <c r="A83" t="s">
        <v>31</v>
      </c>
      <c r="B83">
        <v>3.4369999999999998</v>
      </c>
      <c r="C83" t="s">
        <v>131</v>
      </c>
      <c r="D83" t="s">
        <v>6</v>
      </c>
      <c r="F83" t="s">
        <v>16</v>
      </c>
      <c r="G83" t="s">
        <v>32</v>
      </c>
      <c r="H83" t="s">
        <v>109</v>
      </c>
    </row>
    <row r="84" spans="1:13" x14ac:dyDescent="0.2">
      <c r="A84" t="s">
        <v>164</v>
      </c>
      <c r="B84">
        <v>4.0000000000000001E-3</v>
      </c>
      <c r="C84" t="s">
        <v>17</v>
      </c>
      <c r="D84" t="s">
        <v>6</v>
      </c>
      <c r="F84" t="s">
        <v>16</v>
      </c>
      <c r="G84" t="s">
        <v>165</v>
      </c>
      <c r="H84" t="s">
        <v>109</v>
      </c>
    </row>
    <row r="85" spans="1:13" ht="16" x14ac:dyDescent="0.2">
      <c r="A85" s="9" t="s">
        <v>166</v>
      </c>
      <c r="B85">
        <v>3.5000000000000001E-3</v>
      </c>
      <c r="C85" t="s">
        <v>21</v>
      </c>
      <c r="D85" t="s">
        <v>6</v>
      </c>
      <c r="F85" t="s">
        <v>16</v>
      </c>
      <c r="G85" s="9" t="s">
        <v>167</v>
      </c>
      <c r="H85" t="s">
        <v>109</v>
      </c>
    </row>
    <row r="86" spans="1:13" x14ac:dyDescent="0.2">
      <c r="A86" t="s">
        <v>73</v>
      </c>
      <c r="B86" s="24">
        <f>-1*B84</f>
        <v>-4.0000000000000001E-3</v>
      </c>
      <c r="C86" t="s">
        <v>131</v>
      </c>
      <c r="D86" t="s">
        <v>6</v>
      </c>
      <c r="F86" t="s">
        <v>16</v>
      </c>
      <c r="G86" t="s">
        <v>140</v>
      </c>
      <c r="H86" s="12" t="s">
        <v>76</v>
      </c>
    </row>
    <row r="87" spans="1:13" x14ac:dyDescent="0.2">
      <c r="A87" t="s">
        <v>74</v>
      </c>
      <c r="B87" s="25">
        <f>-1*B85</f>
        <v>-3.5000000000000001E-3</v>
      </c>
      <c r="C87" t="s">
        <v>21</v>
      </c>
      <c r="D87" t="s">
        <v>6</v>
      </c>
      <c r="F87" t="s">
        <v>16</v>
      </c>
      <c r="G87" t="s">
        <v>154</v>
      </c>
      <c r="H87" s="12" t="s">
        <v>76</v>
      </c>
    </row>
    <row r="88" spans="1:13" x14ac:dyDescent="0.2">
      <c r="A88" t="s">
        <v>77</v>
      </c>
      <c r="B88">
        <v>0.34499999999999997</v>
      </c>
      <c r="C88" t="s">
        <v>8</v>
      </c>
      <c r="D88" t="s">
        <v>23</v>
      </c>
      <c r="F88" t="s">
        <v>16</v>
      </c>
      <c r="G88" t="s">
        <v>78</v>
      </c>
      <c r="H88" t="s">
        <v>224</v>
      </c>
      <c r="I88">
        <v>5</v>
      </c>
      <c r="J88">
        <f>B88</f>
        <v>0.34499999999999997</v>
      </c>
      <c r="K88">
        <v>0.33</v>
      </c>
      <c r="L88">
        <v>0.44</v>
      </c>
    </row>
    <row r="89" spans="1:13" x14ac:dyDescent="0.2">
      <c r="A89" t="s">
        <v>187</v>
      </c>
      <c r="B89">
        <v>6.28</v>
      </c>
      <c r="C89" t="s">
        <v>8</v>
      </c>
      <c r="D89" t="s">
        <v>22</v>
      </c>
      <c r="F89" t="s">
        <v>16</v>
      </c>
      <c r="G89" t="s">
        <v>188</v>
      </c>
      <c r="H89" t="s">
        <v>252</v>
      </c>
      <c r="I89">
        <v>5</v>
      </c>
      <c r="J89">
        <f>B89</f>
        <v>6.28</v>
      </c>
      <c r="K89">
        <v>5.0999999999999996</v>
      </c>
      <c r="L89">
        <v>8.3699999999999992</v>
      </c>
    </row>
    <row r="90" spans="1:13" ht="16" x14ac:dyDescent="0.2">
      <c r="A90" t="s">
        <v>97</v>
      </c>
      <c r="B90">
        <v>1</v>
      </c>
      <c r="C90" t="s">
        <v>8</v>
      </c>
      <c r="D90" t="s">
        <v>6</v>
      </c>
      <c r="F90" t="s">
        <v>16</v>
      </c>
      <c r="G90" s="8" t="s">
        <v>98</v>
      </c>
      <c r="H90" t="s">
        <v>163</v>
      </c>
    </row>
    <row r="91" spans="1:13" x14ac:dyDescent="0.2">
      <c r="A91" t="s">
        <v>39</v>
      </c>
      <c r="B91">
        <v>1</v>
      </c>
      <c r="D91" t="s">
        <v>6</v>
      </c>
      <c r="E91" t="s">
        <v>37</v>
      </c>
      <c r="F91" t="s">
        <v>20</v>
      </c>
      <c r="H91" t="s">
        <v>168</v>
      </c>
    </row>
    <row r="93" spans="1:13" ht="16" x14ac:dyDescent="0.2">
      <c r="A93" s="1" t="s">
        <v>0</v>
      </c>
      <c r="B93" s="1" t="s">
        <v>296</v>
      </c>
    </row>
    <row r="94" spans="1:13" x14ac:dyDescent="0.2">
      <c r="A94" t="s">
        <v>1</v>
      </c>
      <c r="B94">
        <v>1</v>
      </c>
    </row>
    <row r="95" spans="1:13" x14ac:dyDescent="0.2">
      <c r="A95" t="s">
        <v>2</v>
      </c>
      <c r="B95" t="s">
        <v>294</v>
      </c>
    </row>
    <row r="96" spans="1:13" x14ac:dyDescent="0.2">
      <c r="A96" t="s">
        <v>3</v>
      </c>
      <c r="B96" t="s">
        <v>4</v>
      </c>
    </row>
    <row r="97" spans="1:13" x14ac:dyDescent="0.2">
      <c r="A97" t="s">
        <v>5</v>
      </c>
      <c r="B97" t="s">
        <v>6</v>
      </c>
    </row>
    <row r="98" spans="1:13" x14ac:dyDescent="0.2">
      <c r="A98" t="s">
        <v>7</v>
      </c>
      <c r="B98" t="s">
        <v>8</v>
      </c>
    </row>
    <row r="99" spans="1:13" x14ac:dyDescent="0.2">
      <c r="A99" t="s">
        <v>9</v>
      </c>
      <c r="B99" t="s">
        <v>41</v>
      </c>
    </row>
    <row r="100" spans="1:13" x14ac:dyDescent="0.2">
      <c r="A100" t="s">
        <v>18</v>
      </c>
      <c r="B100" t="s">
        <v>40</v>
      </c>
    </row>
    <row r="101" spans="1:13" ht="16" x14ac:dyDescent="0.2">
      <c r="A101" s="1" t="s">
        <v>10</v>
      </c>
    </row>
    <row r="102" spans="1:13" x14ac:dyDescent="0.2">
      <c r="A102" s="5" t="s">
        <v>11</v>
      </c>
      <c r="B102" s="5" t="s">
        <v>12</v>
      </c>
      <c r="C102" s="5" t="s">
        <v>7</v>
      </c>
      <c r="D102" s="5" t="s">
        <v>5</v>
      </c>
      <c r="E102" s="5" t="s">
        <v>13</v>
      </c>
      <c r="F102" s="5" t="s">
        <v>3</v>
      </c>
      <c r="G102" s="5" t="s">
        <v>2</v>
      </c>
      <c r="H102" s="5" t="s">
        <v>9</v>
      </c>
      <c r="I102" s="5" t="s">
        <v>172</v>
      </c>
      <c r="J102" s="5" t="s">
        <v>173</v>
      </c>
      <c r="K102" s="5" t="s">
        <v>215</v>
      </c>
      <c r="L102" s="5" t="s">
        <v>216</v>
      </c>
      <c r="M102" s="5" t="s">
        <v>182</v>
      </c>
    </row>
    <row r="103" spans="1:13" x14ac:dyDescent="0.2">
      <c r="A103" t="s">
        <v>296</v>
      </c>
      <c r="B103">
        <v>1</v>
      </c>
      <c r="C103" t="s">
        <v>8</v>
      </c>
      <c r="D103" t="s">
        <v>6</v>
      </c>
      <c r="F103" t="s">
        <v>15</v>
      </c>
      <c r="G103" t="s">
        <v>294</v>
      </c>
    </row>
    <row r="104" spans="1:13" x14ac:dyDescent="0.2">
      <c r="A104" t="s">
        <v>62</v>
      </c>
      <c r="B104">
        <f>1/(1000000000*20)</f>
        <v>5.0000000000000002E-11</v>
      </c>
      <c r="C104" t="s">
        <v>8</v>
      </c>
      <c r="D104" t="s">
        <v>5</v>
      </c>
      <c r="F104" t="s">
        <v>16</v>
      </c>
      <c r="G104" t="s">
        <v>63</v>
      </c>
      <c r="H104" t="s">
        <v>75</v>
      </c>
      <c r="I104">
        <v>5</v>
      </c>
      <c r="J104" s="6">
        <f>B104</f>
        <v>5.0000000000000002E-11</v>
      </c>
      <c r="K104" s="6">
        <f>1/(1000000000*25)</f>
        <v>3.9999999999999998E-11</v>
      </c>
      <c r="L104" s="6">
        <f>1/(1000000000*15)</f>
        <v>6.6666666666666669E-11</v>
      </c>
    </row>
    <row r="105" spans="1:13" x14ac:dyDescent="0.2">
      <c r="A105" t="s">
        <v>64</v>
      </c>
      <c r="B105">
        <f>-1/(1000000000*20)</f>
        <v>-5.0000000000000002E-11</v>
      </c>
      <c r="C105" t="s">
        <v>8</v>
      </c>
      <c r="D105" t="s">
        <v>5</v>
      </c>
      <c r="F105" t="s">
        <v>16</v>
      </c>
      <c r="G105" t="s">
        <v>63</v>
      </c>
      <c r="H105" t="s">
        <v>76</v>
      </c>
      <c r="I105">
        <v>5</v>
      </c>
      <c r="J105">
        <f>-1/(1000000000*20)</f>
        <v>-5.0000000000000002E-11</v>
      </c>
      <c r="K105" s="6">
        <f>-1/(1000000000*15)</f>
        <v>-6.6666666666666669E-11</v>
      </c>
      <c r="L105" s="6">
        <f>-1/(1000000000*25)</f>
        <v>-3.9999999999999998E-11</v>
      </c>
      <c r="M105" t="b">
        <v>1</v>
      </c>
    </row>
    <row r="106" spans="1:13" x14ac:dyDescent="0.2">
      <c r="A106" t="s">
        <v>31</v>
      </c>
      <c r="B106">
        <v>3.4369999999999998</v>
      </c>
      <c r="C106" t="s">
        <v>131</v>
      </c>
      <c r="D106" t="s">
        <v>6</v>
      </c>
      <c r="F106" t="s">
        <v>16</v>
      </c>
      <c r="G106" t="s">
        <v>32</v>
      </c>
      <c r="H106" t="s">
        <v>109</v>
      </c>
    </row>
    <row r="107" spans="1:13" x14ac:dyDescent="0.2">
      <c r="A107" t="s">
        <v>164</v>
      </c>
      <c r="B107">
        <v>4.0000000000000001E-3</v>
      </c>
      <c r="C107" t="s">
        <v>17</v>
      </c>
      <c r="D107" t="s">
        <v>6</v>
      </c>
      <c r="F107" t="s">
        <v>16</v>
      </c>
      <c r="G107" t="s">
        <v>165</v>
      </c>
      <c r="H107" t="s">
        <v>109</v>
      </c>
    </row>
    <row r="108" spans="1:13" ht="16" x14ac:dyDescent="0.2">
      <c r="A108" s="9" t="s">
        <v>166</v>
      </c>
      <c r="B108">
        <v>3.5000000000000001E-3</v>
      </c>
      <c r="C108" t="s">
        <v>21</v>
      </c>
      <c r="D108" t="s">
        <v>6</v>
      </c>
      <c r="F108" t="s">
        <v>16</v>
      </c>
      <c r="G108" s="9" t="s">
        <v>167</v>
      </c>
      <c r="H108" t="s">
        <v>109</v>
      </c>
    </row>
    <row r="109" spans="1:13" x14ac:dyDescent="0.2">
      <c r="A109" t="s">
        <v>73</v>
      </c>
      <c r="B109" s="24">
        <f>-1*B107</f>
        <v>-4.0000000000000001E-3</v>
      </c>
      <c r="C109" t="s">
        <v>131</v>
      </c>
      <c r="D109" t="s">
        <v>6</v>
      </c>
      <c r="F109" t="s">
        <v>16</v>
      </c>
      <c r="G109" t="s">
        <v>140</v>
      </c>
      <c r="H109" s="12" t="s">
        <v>76</v>
      </c>
    </row>
    <row r="110" spans="1:13" x14ac:dyDescent="0.2">
      <c r="A110" t="s">
        <v>74</v>
      </c>
      <c r="B110" s="25">
        <f>-1*B108</f>
        <v>-3.5000000000000001E-3</v>
      </c>
      <c r="C110" t="s">
        <v>21</v>
      </c>
      <c r="D110" t="s">
        <v>6</v>
      </c>
      <c r="F110" t="s">
        <v>16</v>
      </c>
      <c r="G110" t="s">
        <v>154</v>
      </c>
      <c r="H110" s="12" t="s">
        <v>76</v>
      </c>
    </row>
    <row r="111" spans="1:13" x14ac:dyDescent="0.2">
      <c r="A111" t="s">
        <v>77</v>
      </c>
      <c r="B111">
        <v>0.34499999999999997</v>
      </c>
      <c r="C111" t="s">
        <v>8</v>
      </c>
      <c r="D111" t="s">
        <v>23</v>
      </c>
      <c r="F111" t="s">
        <v>16</v>
      </c>
      <c r="G111" t="s">
        <v>78</v>
      </c>
      <c r="H111" t="s">
        <v>224</v>
      </c>
      <c r="I111">
        <v>5</v>
      </c>
      <c r="J111">
        <f>B111</f>
        <v>0.34499999999999997</v>
      </c>
      <c r="K111">
        <v>0.33</v>
      </c>
      <c r="L111">
        <v>0.44</v>
      </c>
    </row>
    <row r="112" spans="1:13" x14ac:dyDescent="0.2">
      <c r="A112" t="s">
        <v>77</v>
      </c>
      <c r="B112" s="33">
        <f>6.28/2.9/3.6</f>
        <v>0.60153256704980851</v>
      </c>
      <c r="C112" t="s">
        <v>8</v>
      </c>
      <c r="D112" t="s">
        <v>23</v>
      </c>
      <c r="F112" t="s">
        <v>16</v>
      </c>
      <c r="G112" t="s">
        <v>78</v>
      </c>
      <c r="H112" t="s">
        <v>253</v>
      </c>
      <c r="I112">
        <v>5</v>
      </c>
      <c r="J112">
        <f>B112</f>
        <v>0.60153256704980851</v>
      </c>
      <c r="K112">
        <f>5.1/2.9/3.6</f>
        <v>0.48850574712643674</v>
      </c>
      <c r="L112">
        <f>8.37/2.9/3.6</f>
        <v>0.80172413793103448</v>
      </c>
    </row>
    <row r="113" spans="1:13" x14ac:dyDescent="0.2">
      <c r="A113" t="s">
        <v>39</v>
      </c>
      <c r="B113">
        <v>1</v>
      </c>
      <c r="D113" t="s">
        <v>6</v>
      </c>
      <c r="E113" t="s">
        <v>37</v>
      </c>
      <c r="F113" t="s">
        <v>20</v>
      </c>
      <c r="H113" t="s">
        <v>168</v>
      </c>
    </row>
    <row r="115" spans="1:13" ht="16" x14ac:dyDescent="0.2">
      <c r="A115" s="1" t="s">
        <v>0</v>
      </c>
      <c r="B115" s="1" t="s">
        <v>289</v>
      </c>
    </row>
    <row r="116" spans="1:13" x14ac:dyDescent="0.2">
      <c r="A116" t="s">
        <v>1</v>
      </c>
      <c r="B116">
        <v>1</v>
      </c>
    </row>
    <row r="117" spans="1:13" x14ac:dyDescent="0.2">
      <c r="A117" t="s">
        <v>2</v>
      </c>
      <c r="B117" t="s">
        <v>294</v>
      </c>
    </row>
    <row r="118" spans="1:13" x14ac:dyDescent="0.2">
      <c r="A118" t="s">
        <v>3</v>
      </c>
      <c r="B118" t="s">
        <v>4</v>
      </c>
    </row>
    <row r="119" spans="1:13" x14ac:dyDescent="0.2">
      <c r="A119" t="s">
        <v>5</v>
      </c>
      <c r="B119" t="s">
        <v>6</v>
      </c>
    </row>
    <row r="120" spans="1:13" x14ac:dyDescent="0.2">
      <c r="A120" t="s">
        <v>7</v>
      </c>
      <c r="B120" t="s">
        <v>8</v>
      </c>
    </row>
    <row r="121" spans="1:13" x14ac:dyDescent="0.2">
      <c r="A121" t="s">
        <v>9</v>
      </c>
      <c r="B121" t="s">
        <v>41</v>
      </c>
    </row>
    <row r="122" spans="1:13" x14ac:dyDescent="0.2">
      <c r="A122" t="s">
        <v>18</v>
      </c>
      <c r="B122" t="s">
        <v>40</v>
      </c>
    </row>
    <row r="123" spans="1:13" ht="16" x14ac:dyDescent="0.2">
      <c r="A123" s="1" t="s">
        <v>10</v>
      </c>
    </row>
    <row r="124" spans="1:13" x14ac:dyDescent="0.2">
      <c r="A124" s="5" t="s">
        <v>11</v>
      </c>
      <c r="B124" s="5" t="s">
        <v>12</v>
      </c>
      <c r="C124" s="5" t="s">
        <v>7</v>
      </c>
      <c r="D124" s="5" t="s">
        <v>5</v>
      </c>
      <c r="E124" s="5" t="s">
        <v>13</v>
      </c>
      <c r="F124" s="5" t="s">
        <v>3</v>
      </c>
      <c r="G124" s="5" t="s">
        <v>2</v>
      </c>
      <c r="H124" s="5" t="s">
        <v>9</v>
      </c>
      <c r="I124" s="5" t="s">
        <v>172</v>
      </c>
      <c r="J124" s="5" t="s">
        <v>173</v>
      </c>
      <c r="K124" s="5" t="s">
        <v>215</v>
      </c>
      <c r="L124" s="5" t="s">
        <v>216</v>
      </c>
      <c r="M124" s="5" t="s">
        <v>182</v>
      </c>
    </row>
    <row r="125" spans="1:13" x14ac:dyDescent="0.2">
      <c r="A125" t="s">
        <v>289</v>
      </c>
      <c r="B125">
        <v>1</v>
      </c>
      <c r="C125" t="s">
        <v>8</v>
      </c>
      <c r="D125" t="s">
        <v>6</v>
      </c>
      <c r="F125" t="s">
        <v>15</v>
      </c>
      <c r="G125" t="s">
        <v>294</v>
      </c>
    </row>
    <row r="126" spans="1:13" x14ac:dyDescent="0.2">
      <c r="A126" t="s">
        <v>62</v>
      </c>
      <c r="B126">
        <f>1/(1000000000*20)</f>
        <v>5.0000000000000002E-11</v>
      </c>
      <c r="C126" t="s">
        <v>8</v>
      </c>
      <c r="D126" t="s">
        <v>5</v>
      </c>
      <c r="F126" t="s">
        <v>16</v>
      </c>
      <c r="G126" t="s">
        <v>63</v>
      </c>
      <c r="H126" t="s">
        <v>75</v>
      </c>
      <c r="I126">
        <v>5</v>
      </c>
      <c r="J126" s="6">
        <f>B126</f>
        <v>5.0000000000000002E-11</v>
      </c>
      <c r="K126" s="6">
        <f>1/(1000000000*25)</f>
        <v>3.9999999999999998E-11</v>
      </c>
      <c r="L126" s="6">
        <f>1/(1000000000*15)</f>
        <v>6.6666666666666669E-11</v>
      </c>
    </row>
    <row r="127" spans="1:13" x14ac:dyDescent="0.2">
      <c r="A127" t="s">
        <v>64</v>
      </c>
      <c r="B127">
        <f>-1/(1000000000*20)</f>
        <v>-5.0000000000000002E-11</v>
      </c>
      <c r="C127" t="s">
        <v>8</v>
      </c>
      <c r="D127" t="s">
        <v>5</v>
      </c>
      <c r="F127" t="s">
        <v>16</v>
      </c>
      <c r="G127" t="s">
        <v>63</v>
      </c>
      <c r="H127" t="s">
        <v>76</v>
      </c>
      <c r="I127">
        <v>5</v>
      </c>
      <c r="J127" s="6">
        <f>B127</f>
        <v>-5.0000000000000002E-11</v>
      </c>
      <c r="K127" s="6">
        <f>-1/(1000000000*15)</f>
        <v>-6.6666666666666669E-11</v>
      </c>
      <c r="L127" s="6">
        <f>-1/(1000000000*25)</f>
        <v>-3.9999999999999998E-11</v>
      </c>
      <c r="M127" t="b">
        <v>1</v>
      </c>
    </row>
    <row r="128" spans="1:13" x14ac:dyDescent="0.2">
      <c r="A128" t="s">
        <v>31</v>
      </c>
      <c r="B128">
        <v>3.4369999999999998</v>
      </c>
      <c r="C128" t="s">
        <v>131</v>
      </c>
      <c r="D128" t="s">
        <v>6</v>
      </c>
      <c r="F128" t="s">
        <v>16</v>
      </c>
      <c r="G128" t="s">
        <v>32</v>
      </c>
      <c r="H128" t="s">
        <v>109</v>
      </c>
    </row>
    <row r="129" spans="1:12" x14ac:dyDescent="0.2">
      <c r="A129" t="s">
        <v>164</v>
      </c>
      <c r="B129">
        <v>4.0000000000000001E-3</v>
      </c>
      <c r="C129" t="s">
        <v>17</v>
      </c>
      <c r="D129" t="s">
        <v>6</v>
      </c>
      <c r="F129" t="s">
        <v>16</v>
      </c>
      <c r="G129" t="s">
        <v>165</v>
      </c>
      <c r="H129" t="s">
        <v>109</v>
      </c>
    </row>
    <row r="130" spans="1:12" ht="16" x14ac:dyDescent="0.2">
      <c r="A130" s="9" t="s">
        <v>166</v>
      </c>
      <c r="B130">
        <v>3.5000000000000001E-3</v>
      </c>
      <c r="C130" t="s">
        <v>21</v>
      </c>
      <c r="D130" t="s">
        <v>6</v>
      </c>
      <c r="F130" t="s">
        <v>16</v>
      </c>
      <c r="G130" s="9" t="s">
        <v>167</v>
      </c>
      <c r="H130" t="s">
        <v>109</v>
      </c>
    </row>
    <row r="131" spans="1:12" x14ac:dyDescent="0.2">
      <c r="A131" t="s">
        <v>73</v>
      </c>
      <c r="B131" s="24">
        <f>-1*B129</f>
        <v>-4.0000000000000001E-3</v>
      </c>
      <c r="C131" t="s">
        <v>131</v>
      </c>
      <c r="D131" t="s">
        <v>6</v>
      </c>
      <c r="F131" t="s">
        <v>16</v>
      </c>
      <c r="G131" t="s">
        <v>140</v>
      </c>
      <c r="H131" s="12" t="s">
        <v>76</v>
      </c>
    </row>
    <row r="132" spans="1:12" x14ac:dyDescent="0.2">
      <c r="A132" t="s">
        <v>74</v>
      </c>
      <c r="B132" s="25">
        <f>-1*B130</f>
        <v>-3.5000000000000001E-3</v>
      </c>
      <c r="C132" t="s">
        <v>21</v>
      </c>
      <c r="D132" t="s">
        <v>6</v>
      </c>
      <c r="F132" t="s">
        <v>16</v>
      </c>
      <c r="G132" t="s">
        <v>154</v>
      </c>
      <c r="H132" s="12" t="s">
        <v>76</v>
      </c>
    </row>
    <row r="133" spans="1:12" x14ac:dyDescent="0.2">
      <c r="A133" t="s">
        <v>77</v>
      </c>
      <c r="B133">
        <v>0.34499999999999997</v>
      </c>
      <c r="C133" t="s">
        <v>8</v>
      </c>
      <c r="D133" t="s">
        <v>23</v>
      </c>
      <c r="F133" t="s">
        <v>16</v>
      </c>
      <c r="G133" t="s">
        <v>78</v>
      </c>
      <c r="H133" t="s">
        <v>224</v>
      </c>
      <c r="I133">
        <v>5</v>
      </c>
      <c r="J133">
        <f>B133</f>
        <v>0.34499999999999997</v>
      </c>
      <c r="K133">
        <v>0.33</v>
      </c>
      <c r="L133">
        <v>0.44</v>
      </c>
    </row>
    <row r="134" spans="1:12" x14ac:dyDescent="0.2">
      <c r="A134" t="s">
        <v>77</v>
      </c>
      <c r="B134" s="33">
        <f>6.28/2.9/3.6</f>
        <v>0.60153256704980851</v>
      </c>
      <c r="C134" t="s">
        <v>8</v>
      </c>
      <c r="D134" t="s">
        <v>23</v>
      </c>
      <c r="F134" t="s">
        <v>16</v>
      </c>
      <c r="G134" t="s">
        <v>78</v>
      </c>
      <c r="H134" t="s">
        <v>253</v>
      </c>
      <c r="I134">
        <v>5</v>
      </c>
      <c r="J134">
        <f>B134</f>
        <v>0.60153256704980851</v>
      </c>
      <c r="K134">
        <f>5.1/2.9/3.6</f>
        <v>0.48850574712643674</v>
      </c>
      <c r="L134">
        <f>8.37/2.9/3.6</f>
        <v>0.80172413793103448</v>
      </c>
    </row>
    <row r="135" spans="1:12" ht="16" x14ac:dyDescent="0.2">
      <c r="A135" t="s">
        <v>97</v>
      </c>
      <c r="B135">
        <v>1</v>
      </c>
      <c r="C135" t="s">
        <v>8</v>
      </c>
      <c r="D135" t="s">
        <v>6</v>
      </c>
      <c r="F135" t="s">
        <v>16</v>
      </c>
      <c r="G135" s="8" t="s">
        <v>98</v>
      </c>
      <c r="H135" t="s">
        <v>163</v>
      </c>
    </row>
    <row r="136" spans="1:12" x14ac:dyDescent="0.2">
      <c r="A136" t="s">
        <v>39</v>
      </c>
      <c r="B136">
        <v>1</v>
      </c>
      <c r="D136" t="s">
        <v>6</v>
      </c>
      <c r="E136" t="s">
        <v>37</v>
      </c>
      <c r="F136" t="s">
        <v>20</v>
      </c>
      <c r="H136" t="s">
        <v>168</v>
      </c>
    </row>
    <row r="138" spans="1:12" ht="14" customHeight="1" x14ac:dyDescent="0.2">
      <c r="A138" s="1" t="s">
        <v>0</v>
      </c>
      <c r="B138" s="1" t="s">
        <v>62</v>
      </c>
    </row>
    <row r="139" spans="1:12" x14ac:dyDescent="0.2">
      <c r="A139" t="s">
        <v>1</v>
      </c>
      <c r="B139">
        <v>1</v>
      </c>
    </row>
    <row r="140" spans="1:12" ht="16" x14ac:dyDescent="0.2">
      <c r="A140" t="s">
        <v>2</v>
      </c>
      <c r="B140" s="7" t="s">
        <v>63</v>
      </c>
    </row>
    <row r="141" spans="1:12" x14ac:dyDescent="0.2">
      <c r="A141" t="s">
        <v>3</v>
      </c>
      <c r="B141" t="s">
        <v>4</v>
      </c>
    </row>
    <row r="142" spans="1:12" x14ac:dyDescent="0.2">
      <c r="A142" t="s">
        <v>5</v>
      </c>
      <c r="B142" t="s">
        <v>5</v>
      </c>
    </row>
    <row r="143" spans="1:12" x14ac:dyDescent="0.2">
      <c r="A143" t="s">
        <v>7</v>
      </c>
      <c r="B143" t="s">
        <v>8</v>
      </c>
    </row>
    <row r="144" spans="1:12" x14ac:dyDescent="0.2">
      <c r="A144" t="s">
        <v>9</v>
      </c>
      <c r="B144" t="s">
        <v>209</v>
      </c>
    </row>
    <row r="145" spans="1:8" x14ac:dyDescent="0.2">
      <c r="A145" t="s">
        <v>18</v>
      </c>
      <c r="B145" t="s">
        <v>40</v>
      </c>
    </row>
    <row r="146" spans="1:8" ht="16" x14ac:dyDescent="0.2">
      <c r="A146" s="1" t="s">
        <v>10</v>
      </c>
    </row>
    <row r="147" spans="1:8" x14ac:dyDescent="0.2">
      <c r="A147" t="s">
        <v>11</v>
      </c>
      <c r="B147" t="s">
        <v>12</v>
      </c>
      <c r="C147" t="s">
        <v>7</v>
      </c>
      <c r="D147" t="s">
        <v>5</v>
      </c>
      <c r="E147" t="s">
        <v>13</v>
      </c>
      <c r="F147" t="s">
        <v>3</v>
      </c>
      <c r="G147" t="s">
        <v>2</v>
      </c>
      <c r="H147" t="s">
        <v>9</v>
      </c>
    </row>
    <row r="148" spans="1:8" ht="16" x14ac:dyDescent="0.2">
      <c r="A148" t="s">
        <v>62</v>
      </c>
      <c r="B148">
        <v>1</v>
      </c>
      <c r="C148" t="s">
        <v>8</v>
      </c>
      <c r="D148" t="s">
        <v>5</v>
      </c>
      <c r="F148" t="s">
        <v>15</v>
      </c>
      <c r="G148" s="7" t="s">
        <v>63</v>
      </c>
    </row>
    <row r="149" spans="1:8" x14ac:dyDescent="0.2">
      <c r="A149" t="s">
        <v>194</v>
      </c>
      <c r="B149">
        <v>134000</v>
      </c>
      <c r="C149" t="s">
        <v>26</v>
      </c>
      <c r="D149" t="s">
        <v>49</v>
      </c>
      <c r="F149" t="s">
        <v>16</v>
      </c>
      <c r="G149" t="s">
        <v>196</v>
      </c>
      <c r="H149" t="s">
        <v>48</v>
      </c>
    </row>
    <row r="150" spans="1:8" x14ac:dyDescent="0.2">
      <c r="A150" t="s">
        <v>42</v>
      </c>
      <c r="B150">
        <v>5400000</v>
      </c>
      <c r="C150" t="s">
        <v>17</v>
      </c>
      <c r="D150" t="s">
        <v>6</v>
      </c>
      <c r="F150" t="s">
        <v>16</v>
      </c>
      <c r="G150" t="s">
        <v>30</v>
      </c>
      <c r="H150" t="s">
        <v>48</v>
      </c>
    </row>
    <row r="151" spans="1:8" x14ac:dyDescent="0.2">
      <c r="A151" t="s">
        <v>43</v>
      </c>
      <c r="B151">
        <v>34000</v>
      </c>
      <c r="C151" t="s">
        <v>26</v>
      </c>
      <c r="D151" t="s">
        <v>6</v>
      </c>
      <c r="F151" t="s">
        <v>16</v>
      </c>
      <c r="G151" t="s">
        <v>50</v>
      </c>
      <c r="H151" t="s">
        <v>48</v>
      </c>
    </row>
    <row r="152" spans="1:8" ht="16" x14ac:dyDescent="0.2">
      <c r="A152" t="s">
        <v>44</v>
      </c>
      <c r="B152" s="2">
        <v>10000</v>
      </c>
      <c r="C152" t="s">
        <v>26</v>
      </c>
      <c r="D152" t="s">
        <v>6</v>
      </c>
      <c r="F152" t="s">
        <v>16</v>
      </c>
      <c r="G152" t="s">
        <v>51</v>
      </c>
      <c r="H152" t="s">
        <v>48</v>
      </c>
    </row>
    <row r="153" spans="1:8" x14ac:dyDescent="0.2">
      <c r="A153" t="s">
        <v>45</v>
      </c>
      <c r="B153">
        <v>76000</v>
      </c>
      <c r="C153" t="s">
        <v>17</v>
      </c>
      <c r="D153" t="s">
        <v>6</v>
      </c>
      <c r="F153" t="s">
        <v>16</v>
      </c>
      <c r="G153" t="s">
        <v>52</v>
      </c>
      <c r="H153" t="s">
        <v>48</v>
      </c>
    </row>
    <row r="154" spans="1:8" x14ac:dyDescent="0.2">
      <c r="A154" t="s">
        <v>46</v>
      </c>
      <c r="B154">
        <v>16000</v>
      </c>
      <c r="C154" t="s">
        <v>17</v>
      </c>
      <c r="D154" t="s">
        <v>6</v>
      </c>
      <c r="F154" t="s">
        <v>16</v>
      </c>
      <c r="G154" t="s">
        <v>53</v>
      </c>
      <c r="H154" t="s">
        <v>48</v>
      </c>
    </row>
    <row r="155" spans="1:8" x14ac:dyDescent="0.2">
      <c r="A155" t="s">
        <v>47</v>
      </c>
      <c r="B155">
        <v>15200000</v>
      </c>
      <c r="C155" t="s">
        <v>17</v>
      </c>
      <c r="D155" t="s">
        <v>6</v>
      </c>
      <c r="F155" t="s">
        <v>16</v>
      </c>
      <c r="G155" t="s">
        <v>29</v>
      </c>
      <c r="H155" t="s">
        <v>48</v>
      </c>
    </row>
    <row r="156" spans="1:8" x14ac:dyDescent="0.2">
      <c r="A156" t="s">
        <v>194</v>
      </c>
      <c r="B156">
        <v>66000</v>
      </c>
      <c r="C156" t="s">
        <v>26</v>
      </c>
      <c r="D156" t="s">
        <v>49</v>
      </c>
      <c r="F156" t="s">
        <v>16</v>
      </c>
      <c r="G156" t="s">
        <v>196</v>
      </c>
      <c r="H156" t="s">
        <v>54</v>
      </c>
    </row>
    <row r="157" spans="1:8" x14ac:dyDescent="0.2">
      <c r="A157" t="s">
        <v>43</v>
      </c>
      <c r="B157">
        <v>460000</v>
      </c>
      <c r="C157" t="s">
        <v>26</v>
      </c>
      <c r="D157" t="s">
        <v>6</v>
      </c>
      <c r="F157" t="s">
        <v>16</v>
      </c>
      <c r="G157" t="s">
        <v>50</v>
      </c>
      <c r="H157" t="s">
        <v>54</v>
      </c>
    </row>
    <row r="158" spans="1:8" x14ac:dyDescent="0.2">
      <c r="A158" t="s">
        <v>194</v>
      </c>
      <c r="B158">
        <v>42000</v>
      </c>
      <c r="C158" t="s">
        <v>26</v>
      </c>
      <c r="D158" t="s">
        <v>49</v>
      </c>
      <c r="F158" t="s">
        <v>16</v>
      </c>
      <c r="G158" t="s">
        <v>196</v>
      </c>
      <c r="H158" t="s">
        <v>56</v>
      </c>
    </row>
    <row r="159" spans="1:8" x14ac:dyDescent="0.2">
      <c r="A159" t="s">
        <v>42</v>
      </c>
      <c r="B159">
        <v>1180000</v>
      </c>
      <c r="C159" t="s">
        <v>17</v>
      </c>
      <c r="D159" t="s">
        <v>6</v>
      </c>
      <c r="F159" t="s">
        <v>16</v>
      </c>
      <c r="G159" t="s">
        <v>30</v>
      </c>
      <c r="H159" t="s">
        <v>56</v>
      </c>
    </row>
    <row r="160" spans="1:8" x14ac:dyDescent="0.2">
      <c r="A160" t="s">
        <v>55</v>
      </c>
      <c r="B160">
        <v>2400000</v>
      </c>
      <c r="C160" t="s">
        <v>17</v>
      </c>
      <c r="D160" t="s">
        <v>6</v>
      </c>
      <c r="F160" t="s">
        <v>16</v>
      </c>
      <c r="G160" t="s">
        <v>57</v>
      </c>
      <c r="H160" t="s">
        <v>56</v>
      </c>
    </row>
    <row r="161" spans="1:19" x14ac:dyDescent="0.2">
      <c r="A161" t="s">
        <v>194</v>
      </c>
      <c r="B161">
        <v>74000</v>
      </c>
      <c r="C161" t="s">
        <v>26</v>
      </c>
      <c r="D161" t="s">
        <v>49</v>
      </c>
      <c r="F161" t="s">
        <v>16</v>
      </c>
      <c r="G161" t="s">
        <v>196</v>
      </c>
      <c r="H161" t="s">
        <v>61</v>
      </c>
      <c r="Q161" s="3"/>
      <c r="S161" s="3"/>
    </row>
    <row r="162" spans="1:19" x14ac:dyDescent="0.2">
      <c r="A162" t="s">
        <v>58</v>
      </c>
      <c r="B162">
        <v>50000</v>
      </c>
      <c r="C162" t="s">
        <v>17</v>
      </c>
      <c r="D162" t="s">
        <v>6</v>
      </c>
      <c r="F162" t="s">
        <v>16</v>
      </c>
      <c r="G162" t="s">
        <v>60</v>
      </c>
      <c r="H162" t="s">
        <v>61</v>
      </c>
      <c r="Q162" s="4"/>
      <c r="S162" s="4"/>
    </row>
    <row r="163" spans="1:19" x14ac:dyDescent="0.2">
      <c r="A163" t="s">
        <v>42</v>
      </c>
      <c r="B163">
        <v>960000</v>
      </c>
      <c r="C163" t="s">
        <v>17</v>
      </c>
      <c r="D163" t="s">
        <v>6</v>
      </c>
      <c r="F163" t="s">
        <v>16</v>
      </c>
      <c r="G163" t="s">
        <v>30</v>
      </c>
      <c r="H163" t="s">
        <v>61</v>
      </c>
      <c r="Q163" s="3"/>
      <c r="S163" s="3"/>
    </row>
    <row r="164" spans="1:19" x14ac:dyDescent="0.2">
      <c r="A164" t="s">
        <v>43</v>
      </c>
      <c r="B164">
        <v>660000</v>
      </c>
      <c r="C164" t="s">
        <v>26</v>
      </c>
      <c r="D164" t="s">
        <v>6</v>
      </c>
      <c r="F164" t="s">
        <v>16</v>
      </c>
      <c r="G164" t="s">
        <v>50</v>
      </c>
      <c r="H164" t="s">
        <v>61</v>
      </c>
      <c r="Q164" s="3"/>
      <c r="S164" s="3"/>
    </row>
    <row r="165" spans="1:19" x14ac:dyDescent="0.2">
      <c r="A165" t="s">
        <v>59</v>
      </c>
      <c r="B165">
        <v>5400000</v>
      </c>
      <c r="C165" t="s">
        <v>17</v>
      </c>
      <c r="D165" t="s">
        <v>6</v>
      </c>
      <c r="F165" t="s">
        <v>16</v>
      </c>
      <c r="G165" t="s">
        <v>128</v>
      </c>
      <c r="H165" t="s">
        <v>61</v>
      </c>
    </row>
    <row r="166" spans="1:19" x14ac:dyDescent="0.2">
      <c r="A166" t="s">
        <v>200</v>
      </c>
      <c r="B166">
        <f>78380*20</f>
        <v>1567600</v>
      </c>
      <c r="D166" t="s">
        <v>201</v>
      </c>
      <c r="E166" t="s">
        <v>205</v>
      </c>
      <c r="F166" t="s">
        <v>20</v>
      </c>
      <c r="H166" t="s">
        <v>202</v>
      </c>
    </row>
    <row r="167" spans="1:19" x14ac:dyDescent="0.2">
      <c r="A167" t="s">
        <v>203</v>
      </c>
      <c r="B167">
        <f>78380</f>
        <v>78380</v>
      </c>
      <c r="D167" t="s">
        <v>204</v>
      </c>
      <c r="E167" t="s">
        <v>205</v>
      </c>
      <c r="F167" t="s">
        <v>20</v>
      </c>
      <c r="H167" t="s">
        <v>206</v>
      </c>
    </row>
    <row r="168" spans="1:19" x14ac:dyDescent="0.2">
      <c r="A168" t="s">
        <v>207</v>
      </c>
      <c r="B168">
        <f>78380</f>
        <v>78380</v>
      </c>
      <c r="D168" t="s">
        <v>204</v>
      </c>
      <c r="E168" t="s">
        <v>205</v>
      </c>
      <c r="F168" t="s">
        <v>20</v>
      </c>
      <c r="H168" t="s">
        <v>206</v>
      </c>
    </row>
    <row r="169" spans="1:19" ht="16" x14ac:dyDescent="0.2">
      <c r="A169" s="1"/>
      <c r="B169" s="1"/>
    </row>
    <row r="170" spans="1:19" ht="16" x14ac:dyDescent="0.2">
      <c r="A170" s="1" t="s">
        <v>0</v>
      </c>
      <c r="B170" s="1" t="s">
        <v>64</v>
      </c>
    </row>
    <row r="171" spans="1:19" x14ac:dyDescent="0.2">
      <c r="A171" t="s">
        <v>1</v>
      </c>
      <c r="B171">
        <v>1</v>
      </c>
    </row>
    <row r="172" spans="1:19" ht="16" x14ac:dyDescent="0.2">
      <c r="A172" t="s">
        <v>2</v>
      </c>
      <c r="B172" s="7" t="s">
        <v>63</v>
      </c>
    </row>
    <row r="173" spans="1:19" x14ac:dyDescent="0.2">
      <c r="A173" t="s">
        <v>3</v>
      </c>
      <c r="B173" t="s">
        <v>4</v>
      </c>
    </row>
    <row r="174" spans="1:19" x14ac:dyDescent="0.2">
      <c r="A174" t="s">
        <v>5</v>
      </c>
      <c r="B174" t="s">
        <v>5</v>
      </c>
    </row>
    <row r="175" spans="1:19" x14ac:dyDescent="0.2">
      <c r="A175" t="s">
        <v>7</v>
      </c>
      <c r="B175" t="s">
        <v>8</v>
      </c>
    </row>
    <row r="176" spans="1:19" x14ac:dyDescent="0.2">
      <c r="A176" t="s">
        <v>9</v>
      </c>
      <c r="B176" t="s">
        <v>41</v>
      </c>
    </row>
    <row r="177" spans="1:19" x14ac:dyDescent="0.2">
      <c r="A177" t="s">
        <v>18</v>
      </c>
      <c r="B177" t="s">
        <v>40</v>
      </c>
    </row>
    <row r="178" spans="1:19" ht="16" x14ac:dyDescent="0.2">
      <c r="A178" s="1" t="s">
        <v>10</v>
      </c>
    </row>
    <row r="179" spans="1:19" x14ac:dyDescent="0.2">
      <c r="A179" t="s">
        <v>11</v>
      </c>
      <c r="B179" t="s">
        <v>12</v>
      </c>
      <c r="C179" t="s">
        <v>7</v>
      </c>
      <c r="D179" t="s">
        <v>5</v>
      </c>
      <c r="E179" t="s">
        <v>13</v>
      </c>
      <c r="F179" t="s">
        <v>3</v>
      </c>
      <c r="G179" t="s">
        <v>2</v>
      </c>
      <c r="H179" t="s">
        <v>9</v>
      </c>
    </row>
    <row r="180" spans="1:19" ht="16" x14ac:dyDescent="0.2">
      <c r="A180" t="s">
        <v>64</v>
      </c>
      <c r="B180">
        <v>-1</v>
      </c>
      <c r="C180" t="s">
        <v>8</v>
      </c>
      <c r="D180" t="s">
        <v>5</v>
      </c>
      <c r="F180" t="s">
        <v>15</v>
      </c>
      <c r="G180" s="7" t="s">
        <v>63</v>
      </c>
    </row>
    <row r="181" spans="1:19" x14ac:dyDescent="0.2">
      <c r="A181" t="s">
        <v>65</v>
      </c>
      <c r="B181" s="11">
        <v>-760000000</v>
      </c>
      <c r="C181" t="s">
        <v>131</v>
      </c>
      <c r="D181" t="s">
        <v>6</v>
      </c>
      <c r="F181" t="s">
        <v>16</v>
      </c>
      <c r="G181" t="s">
        <v>161</v>
      </c>
      <c r="H181" s="12"/>
      <c r="Q181" s="4"/>
      <c r="S181" s="4"/>
    </row>
    <row r="182" spans="1:19" x14ac:dyDescent="0.2">
      <c r="A182" t="s">
        <v>66</v>
      </c>
      <c r="B182" s="11">
        <v>-12000000</v>
      </c>
      <c r="C182" t="s">
        <v>21</v>
      </c>
      <c r="D182" t="s">
        <v>6</v>
      </c>
      <c r="F182" t="s">
        <v>16</v>
      </c>
      <c r="G182" t="s">
        <v>160</v>
      </c>
      <c r="H182" s="12"/>
      <c r="Q182" s="3"/>
      <c r="S182" s="3"/>
    </row>
    <row r="183" spans="1:19" x14ac:dyDescent="0.2">
      <c r="A183" t="s">
        <v>67</v>
      </c>
      <c r="B183" s="11">
        <v>-76000</v>
      </c>
      <c r="C183" t="s">
        <v>21</v>
      </c>
      <c r="D183" t="s">
        <v>6</v>
      </c>
      <c r="F183" t="s">
        <v>16</v>
      </c>
      <c r="G183" t="s">
        <v>159</v>
      </c>
      <c r="H183" s="12"/>
      <c r="Q183" s="3"/>
      <c r="S183" s="3"/>
    </row>
    <row r="184" spans="1:19" x14ac:dyDescent="0.2">
      <c r="A184" t="s">
        <v>68</v>
      </c>
      <c r="B184" s="11">
        <v>-15200000</v>
      </c>
      <c r="C184" t="s">
        <v>21</v>
      </c>
      <c r="D184" t="s">
        <v>6</v>
      </c>
      <c r="F184" t="s">
        <v>16</v>
      </c>
      <c r="G184" t="s">
        <v>158</v>
      </c>
      <c r="H184" s="12"/>
      <c r="I184" s="13"/>
    </row>
    <row r="185" spans="1:19" x14ac:dyDescent="0.2">
      <c r="A185" t="s">
        <v>69</v>
      </c>
      <c r="B185" s="11">
        <v>-16000</v>
      </c>
      <c r="C185" t="s">
        <v>21</v>
      </c>
      <c r="D185" t="s">
        <v>6</v>
      </c>
      <c r="F185" t="s">
        <v>16</v>
      </c>
      <c r="G185" t="s">
        <v>157</v>
      </c>
      <c r="H185" s="12"/>
    </row>
    <row r="186" spans="1:19" x14ac:dyDescent="0.2">
      <c r="A186" t="s">
        <v>70</v>
      </c>
      <c r="B186" s="11">
        <v>-10000</v>
      </c>
      <c r="C186" t="s">
        <v>21</v>
      </c>
      <c r="D186" t="s">
        <v>6</v>
      </c>
      <c r="F186" t="s">
        <v>16</v>
      </c>
      <c r="G186" t="s">
        <v>156</v>
      </c>
      <c r="H186" s="12"/>
    </row>
    <row r="187" spans="1:19" x14ac:dyDescent="0.2">
      <c r="A187" t="s">
        <v>71</v>
      </c>
      <c r="B187" s="11">
        <v>-2400000</v>
      </c>
      <c r="C187" t="s">
        <v>21</v>
      </c>
      <c r="D187" t="s">
        <v>6</v>
      </c>
      <c r="F187" t="s">
        <v>16</v>
      </c>
      <c r="G187" t="s">
        <v>155</v>
      </c>
      <c r="H187" s="12"/>
    </row>
    <row r="188" spans="1:19" x14ac:dyDescent="0.2">
      <c r="A188" t="s">
        <v>72</v>
      </c>
      <c r="B188" s="11">
        <v>-46000</v>
      </c>
      <c r="C188" t="s">
        <v>8</v>
      </c>
      <c r="D188" t="s">
        <v>6</v>
      </c>
      <c r="F188" t="s">
        <v>16</v>
      </c>
      <c r="G188" t="s">
        <v>60</v>
      </c>
      <c r="H188" s="12"/>
    </row>
    <row r="190" spans="1:19" ht="16" x14ac:dyDescent="0.2">
      <c r="A190" s="1" t="s">
        <v>0</v>
      </c>
      <c r="B190" s="1" t="s">
        <v>297</v>
      </c>
    </row>
    <row r="191" spans="1:19" x14ac:dyDescent="0.2">
      <c r="A191" t="s">
        <v>1</v>
      </c>
      <c r="B191">
        <v>1</v>
      </c>
    </row>
    <row r="192" spans="1:19" x14ac:dyDescent="0.2">
      <c r="A192" t="s">
        <v>2</v>
      </c>
      <c r="B192" t="s">
        <v>294</v>
      </c>
    </row>
    <row r="193" spans="1:13" x14ac:dyDescent="0.2">
      <c r="A193" t="s">
        <v>3</v>
      </c>
      <c r="B193" t="s">
        <v>4</v>
      </c>
    </row>
    <row r="194" spans="1:13" x14ac:dyDescent="0.2">
      <c r="A194" t="s">
        <v>5</v>
      </c>
      <c r="B194" t="s">
        <v>6</v>
      </c>
    </row>
    <row r="195" spans="1:13" x14ac:dyDescent="0.2">
      <c r="A195" t="s">
        <v>7</v>
      </c>
      <c r="B195" t="s">
        <v>8</v>
      </c>
    </row>
    <row r="196" spans="1:13" x14ac:dyDescent="0.2">
      <c r="A196" t="s">
        <v>9</v>
      </c>
      <c r="B196" t="s">
        <v>113</v>
      </c>
    </row>
    <row r="197" spans="1:13" x14ac:dyDescent="0.2">
      <c r="A197" t="s">
        <v>18</v>
      </c>
      <c r="B197" t="s">
        <v>40</v>
      </c>
    </row>
    <row r="198" spans="1:13" ht="16" x14ac:dyDescent="0.2">
      <c r="A198" s="1" t="s">
        <v>10</v>
      </c>
    </row>
    <row r="199" spans="1:13" x14ac:dyDescent="0.2">
      <c r="A199" s="5" t="s">
        <v>11</v>
      </c>
      <c r="B199" s="5" t="s">
        <v>12</v>
      </c>
      <c r="C199" s="5" t="s">
        <v>7</v>
      </c>
      <c r="D199" s="5" t="s">
        <v>5</v>
      </c>
      <c r="E199" s="5" t="s">
        <v>13</v>
      </c>
      <c r="F199" s="5" t="s">
        <v>3</v>
      </c>
      <c r="G199" s="5" t="s">
        <v>2</v>
      </c>
      <c r="H199" s="5" t="s">
        <v>9</v>
      </c>
      <c r="I199" s="5" t="s">
        <v>172</v>
      </c>
      <c r="J199" s="5" t="s">
        <v>173</v>
      </c>
      <c r="K199" s="5" t="s">
        <v>215</v>
      </c>
      <c r="L199" s="5" t="s">
        <v>216</v>
      </c>
      <c r="M199" s="5" t="s">
        <v>182</v>
      </c>
    </row>
    <row r="200" spans="1:13" x14ac:dyDescent="0.2">
      <c r="A200" t="s">
        <v>297</v>
      </c>
      <c r="B200">
        <v>1</v>
      </c>
      <c r="C200" t="s">
        <v>8</v>
      </c>
      <c r="D200" t="s">
        <v>6</v>
      </c>
      <c r="F200" t="s">
        <v>15</v>
      </c>
      <c r="G200" t="s">
        <v>294</v>
      </c>
    </row>
    <row r="201" spans="1:13" ht="16" x14ac:dyDescent="0.2">
      <c r="A201" t="s">
        <v>79</v>
      </c>
      <c r="B201">
        <v>3.0000000000000001E-3</v>
      </c>
      <c r="C201" t="s">
        <v>8</v>
      </c>
      <c r="D201" t="s">
        <v>6</v>
      </c>
      <c r="F201" t="s">
        <v>16</v>
      </c>
      <c r="G201" s="7" t="s">
        <v>80</v>
      </c>
      <c r="H201" t="s">
        <v>169</v>
      </c>
      <c r="I201">
        <v>5</v>
      </c>
      <c r="J201" s="23">
        <v>3.0000000000000001E-3</v>
      </c>
      <c r="K201">
        <v>3.0000000000000001E-3</v>
      </c>
      <c r="L201">
        <v>7.0000000000000001E-3</v>
      </c>
    </row>
    <row r="202" spans="1:13" x14ac:dyDescent="0.2">
      <c r="A202" t="s">
        <v>114</v>
      </c>
      <c r="B202">
        <f>1/(100000000*20)</f>
        <v>5.0000000000000003E-10</v>
      </c>
      <c r="C202" t="s">
        <v>8</v>
      </c>
      <c r="D202" t="s">
        <v>5</v>
      </c>
      <c r="F202" t="s">
        <v>16</v>
      </c>
      <c r="G202" t="s">
        <v>63</v>
      </c>
      <c r="H202" t="s">
        <v>75</v>
      </c>
      <c r="I202">
        <v>5</v>
      </c>
      <c r="J202" s="6">
        <f>B202</f>
        <v>5.0000000000000003E-10</v>
      </c>
      <c r="K202">
        <f>1/(100000000*25)</f>
        <v>4.0000000000000001E-10</v>
      </c>
      <c r="L202" s="6">
        <f>1/(100000000*15)</f>
        <v>6.6666666666666664E-10</v>
      </c>
    </row>
    <row r="203" spans="1:13" x14ac:dyDescent="0.2">
      <c r="A203" t="s">
        <v>129</v>
      </c>
      <c r="B203">
        <f>-1/(100000000*20)</f>
        <v>-5.0000000000000003E-10</v>
      </c>
      <c r="C203" t="s">
        <v>8</v>
      </c>
      <c r="D203" t="s">
        <v>5</v>
      </c>
      <c r="F203" t="s">
        <v>16</v>
      </c>
      <c r="G203" t="s">
        <v>63</v>
      </c>
      <c r="H203" t="s">
        <v>76</v>
      </c>
      <c r="I203">
        <v>5</v>
      </c>
      <c r="J203">
        <f>-1/(100000000*20)</f>
        <v>-5.0000000000000003E-10</v>
      </c>
      <c r="K203">
        <f>-1/(100000000*15)</f>
        <v>-6.6666666666666664E-10</v>
      </c>
      <c r="L203">
        <f>-1/(100000000*25)</f>
        <v>-4.0000000000000001E-10</v>
      </c>
      <c r="M203" t="b">
        <v>1</v>
      </c>
    </row>
    <row r="204" spans="1:13" x14ac:dyDescent="0.2">
      <c r="A204" t="s">
        <v>77</v>
      </c>
      <c r="B204">
        <v>0.5</v>
      </c>
      <c r="C204" t="s">
        <v>8</v>
      </c>
      <c r="D204" t="s">
        <v>23</v>
      </c>
      <c r="F204" t="s">
        <v>16</v>
      </c>
      <c r="G204" t="s">
        <v>78</v>
      </c>
      <c r="H204" t="s">
        <v>223</v>
      </c>
      <c r="I204">
        <v>5</v>
      </c>
      <c r="J204">
        <v>0.5</v>
      </c>
      <c r="K204">
        <v>0.5</v>
      </c>
      <c r="L204">
        <v>0.7</v>
      </c>
    </row>
    <row r="205" spans="1:13" x14ac:dyDescent="0.2">
      <c r="A205" t="s">
        <v>317</v>
      </c>
      <c r="B205">
        <v>5.4</v>
      </c>
      <c r="C205" t="s">
        <v>131</v>
      </c>
      <c r="D205" t="s">
        <v>22</v>
      </c>
      <c r="F205" t="s">
        <v>16</v>
      </c>
      <c r="G205" t="s">
        <v>162</v>
      </c>
      <c r="H205" t="s">
        <v>222</v>
      </c>
      <c r="I205">
        <v>5</v>
      </c>
      <c r="J205">
        <v>5.4</v>
      </c>
      <c r="K205">
        <v>5.4</v>
      </c>
      <c r="L205">
        <v>11.9</v>
      </c>
    </row>
    <row r="206" spans="1:13" x14ac:dyDescent="0.2">
      <c r="A206" t="s">
        <v>39</v>
      </c>
      <c r="B206">
        <v>1</v>
      </c>
      <c r="D206" t="s">
        <v>6</v>
      </c>
      <c r="E206" t="s">
        <v>37</v>
      </c>
      <c r="F206" t="s">
        <v>20</v>
      </c>
      <c r="H206" t="s">
        <v>168</v>
      </c>
    </row>
    <row r="208" spans="1:13" ht="16" x14ac:dyDescent="0.2">
      <c r="A208" s="1" t="s">
        <v>0</v>
      </c>
      <c r="B208" s="1" t="s">
        <v>290</v>
      </c>
    </row>
    <row r="209" spans="1:13" x14ac:dyDescent="0.2">
      <c r="A209" t="s">
        <v>1</v>
      </c>
      <c r="B209">
        <v>1</v>
      </c>
    </row>
    <row r="210" spans="1:13" x14ac:dyDescent="0.2">
      <c r="A210" t="s">
        <v>2</v>
      </c>
      <c r="B210" t="s">
        <v>294</v>
      </c>
    </row>
    <row r="211" spans="1:13" x14ac:dyDescent="0.2">
      <c r="A211" t="s">
        <v>3</v>
      </c>
      <c r="B211" t="s">
        <v>4</v>
      </c>
    </row>
    <row r="212" spans="1:13" x14ac:dyDescent="0.2">
      <c r="A212" t="s">
        <v>5</v>
      </c>
      <c r="B212" t="s">
        <v>6</v>
      </c>
    </row>
    <row r="213" spans="1:13" x14ac:dyDescent="0.2">
      <c r="A213" t="s">
        <v>7</v>
      </c>
      <c r="B213" t="s">
        <v>8</v>
      </c>
    </row>
    <row r="214" spans="1:13" x14ac:dyDescent="0.2">
      <c r="A214" t="s">
        <v>9</v>
      </c>
      <c r="B214" t="s">
        <v>210</v>
      </c>
    </row>
    <row r="215" spans="1:13" x14ac:dyDescent="0.2">
      <c r="A215" t="s">
        <v>18</v>
      </c>
      <c r="B215" t="s">
        <v>221</v>
      </c>
    </row>
    <row r="216" spans="1:13" ht="16" x14ac:dyDescent="0.2">
      <c r="A216" s="1" t="s">
        <v>10</v>
      </c>
    </row>
    <row r="217" spans="1:13" x14ac:dyDescent="0.2">
      <c r="A217" t="s">
        <v>11</v>
      </c>
      <c r="B217" t="s">
        <v>12</v>
      </c>
      <c r="C217" t="s">
        <v>7</v>
      </c>
      <c r="D217" t="s">
        <v>5</v>
      </c>
      <c r="E217" t="s">
        <v>13</v>
      </c>
      <c r="F217" t="s">
        <v>3</v>
      </c>
      <c r="G217" t="s">
        <v>2</v>
      </c>
      <c r="H217" t="s">
        <v>9</v>
      </c>
      <c r="I217" t="s">
        <v>172</v>
      </c>
      <c r="J217" t="s">
        <v>173</v>
      </c>
      <c r="K217" t="s">
        <v>215</v>
      </c>
      <c r="L217" t="s">
        <v>216</v>
      </c>
      <c r="M217" s="5" t="s">
        <v>182</v>
      </c>
    </row>
    <row r="218" spans="1:13" x14ac:dyDescent="0.2">
      <c r="A218" t="s">
        <v>290</v>
      </c>
      <c r="B218">
        <v>1</v>
      </c>
      <c r="C218" t="s">
        <v>8</v>
      </c>
      <c r="D218" t="s">
        <v>6</v>
      </c>
      <c r="F218" t="s">
        <v>15</v>
      </c>
      <c r="G218" t="s">
        <v>294</v>
      </c>
    </row>
    <row r="219" spans="1:13" ht="16" x14ac:dyDescent="0.2">
      <c r="A219" t="s">
        <v>79</v>
      </c>
      <c r="B219">
        <v>3.0000000000000001E-3</v>
      </c>
      <c r="C219" t="s">
        <v>8</v>
      </c>
      <c r="D219" t="s">
        <v>6</v>
      </c>
      <c r="F219" t="s">
        <v>16</v>
      </c>
      <c r="G219" s="7" t="s">
        <v>80</v>
      </c>
      <c r="H219" t="s">
        <v>109</v>
      </c>
      <c r="I219">
        <v>5</v>
      </c>
      <c r="J219">
        <v>3.0000000000000001E-3</v>
      </c>
      <c r="K219">
        <v>3.0000000000000001E-3</v>
      </c>
      <c r="L219">
        <v>7.0000000000000001E-3</v>
      </c>
    </row>
    <row r="220" spans="1:13" x14ac:dyDescent="0.2">
      <c r="A220" t="s">
        <v>114</v>
      </c>
      <c r="B220">
        <f>1/(100000000*20)</f>
        <v>5.0000000000000003E-10</v>
      </c>
      <c r="C220" t="s">
        <v>8</v>
      </c>
      <c r="D220" t="s">
        <v>5</v>
      </c>
      <c r="F220" t="s">
        <v>16</v>
      </c>
      <c r="G220" t="s">
        <v>63</v>
      </c>
      <c r="H220" t="s">
        <v>75</v>
      </c>
      <c r="I220">
        <v>5</v>
      </c>
      <c r="J220" s="6">
        <f>B220</f>
        <v>5.0000000000000003E-10</v>
      </c>
      <c r="K220">
        <f>1/(100000000*25)</f>
        <v>4.0000000000000001E-10</v>
      </c>
      <c r="L220" s="6">
        <f>1/(100000000*15)</f>
        <v>6.6666666666666664E-10</v>
      </c>
    </row>
    <row r="221" spans="1:13" x14ac:dyDescent="0.2">
      <c r="A221" t="s">
        <v>129</v>
      </c>
      <c r="B221">
        <f>-1/(100000000*20)</f>
        <v>-5.0000000000000003E-10</v>
      </c>
      <c r="C221" t="s">
        <v>8</v>
      </c>
      <c r="D221" t="s">
        <v>5</v>
      </c>
      <c r="F221" t="s">
        <v>16</v>
      </c>
      <c r="G221" t="s">
        <v>63</v>
      </c>
      <c r="H221" t="s">
        <v>76</v>
      </c>
      <c r="I221">
        <v>5</v>
      </c>
      <c r="J221">
        <f>-1/(100000000*20)</f>
        <v>-5.0000000000000003E-10</v>
      </c>
      <c r="K221">
        <f>-1/(100000000*15)</f>
        <v>-6.6666666666666664E-10</v>
      </c>
      <c r="L221">
        <f>-1/(100000000*25)</f>
        <v>-4.0000000000000001E-10</v>
      </c>
      <c r="M221" t="b">
        <v>1</v>
      </c>
    </row>
    <row r="222" spans="1:13" x14ac:dyDescent="0.2">
      <c r="A222" t="s">
        <v>77</v>
      </c>
      <c r="B222">
        <v>0.5</v>
      </c>
      <c r="C222" t="s">
        <v>8</v>
      </c>
      <c r="D222" t="s">
        <v>23</v>
      </c>
      <c r="F222" t="s">
        <v>16</v>
      </c>
      <c r="G222" t="s">
        <v>78</v>
      </c>
      <c r="H222" t="s">
        <v>223</v>
      </c>
      <c r="I222">
        <v>5</v>
      </c>
      <c r="J222">
        <v>0.5</v>
      </c>
      <c r="K222">
        <v>0.5</v>
      </c>
      <c r="L222">
        <v>0.7</v>
      </c>
    </row>
    <row r="223" spans="1:13" x14ac:dyDescent="0.2">
      <c r="A223" t="s">
        <v>317</v>
      </c>
      <c r="B223">
        <v>5.4</v>
      </c>
      <c r="C223" t="s">
        <v>131</v>
      </c>
      <c r="D223" t="s">
        <v>22</v>
      </c>
      <c r="F223" t="s">
        <v>16</v>
      </c>
      <c r="G223" t="s">
        <v>162</v>
      </c>
      <c r="H223" t="s">
        <v>222</v>
      </c>
      <c r="I223">
        <v>5</v>
      </c>
      <c r="J223">
        <v>5.4</v>
      </c>
      <c r="K223">
        <v>5.4</v>
      </c>
      <c r="L223">
        <v>11.9</v>
      </c>
    </row>
    <row r="224" spans="1:13" ht="16" x14ac:dyDescent="0.2">
      <c r="A224" t="s">
        <v>97</v>
      </c>
      <c r="B224">
        <v>1</v>
      </c>
      <c r="C224" t="s">
        <v>8</v>
      </c>
      <c r="D224" t="s">
        <v>6</v>
      </c>
      <c r="F224" t="s">
        <v>16</v>
      </c>
      <c r="G224" s="8" t="s">
        <v>98</v>
      </c>
      <c r="H224" t="s">
        <v>163</v>
      </c>
    </row>
    <row r="225" spans="1:13" x14ac:dyDescent="0.2">
      <c r="A225" t="s">
        <v>39</v>
      </c>
      <c r="B225">
        <v>1</v>
      </c>
      <c r="D225" t="s">
        <v>6</v>
      </c>
      <c r="E225" t="s">
        <v>37</v>
      </c>
      <c r="F225" t="s">
        <v>20</v>
      </c>
      <c r="H225" t="s">
        <v>168</v>
      </c>
    </row>
    <row r="227" spans="1:13" ht="16" x14ac:dyDescent="0.2">
      <c r="A227" s="1" t="s">
        <v>0</v>
      </c>
      <c r="B227" s="1" t="s">
        <v>298</v>
      </c>
    </row>
    <row r="228" spans="1:13" x14ac:dyDescent="0.2">
      <c r="A228" t="s">
        <v>1</v>
      </c>
      <c r="B228">
        <v>1</v>
      </c>
    </row>
    <row r="229" spans="1:13" x14ac:dyDescent="0.2">
      <c r="A229" t="s">
        <v>2</v>
      </c>
      <c r="B229" t="s">
        <v>294</v>
      </c>
    </row>
    <row r="230" spans="1:13" x14ac:dyDescent="0.2">
      <c r="A230" t="s">
        <v>3</v>
      </c>
      <c r="B230" t="s">
        <v>4</v>
      </c>
    </row>
    <row r="231" spans="1:13" x14ac:dyDescent="0.2">
      <c r="A231" t="s">
        <v>5</v>
      </c>
      <c r="B231" t="s">
        <v>6</v>
      </c>
    </row>
    <row r="232" spans="1:13" x14ac:dyDescent="0.2">
      <c r="A232" t="s">
        <v>7</v>
      </c>
      <c r="B232" t="s">
        <v>8</v>
      </c>
    </row>
    <row r="233" spans="1:13" x14ac:dyDescent="0.2">
      <c r="A233" t="s">
        <v>9</v>
      </c>
      <c r="B233" t="s">
        <v>113</v>
      </c>
    </row>
    <row r="234" spans="1:13" x14ac:dyDescent="0.2">
      <c r="A234" t="s">
        <v>18</v>
      </c>
      <c r="B234" t="s">
        <v>40</v>
      </c>
    </row>
    <row r="235" spans="1:13" ht="16" x14ac:dyDescent="0.2">
      <c r="A235" s="1" t="s">
        <v>10</v>
      </c>
    </row>
    <row r="236" spans="1:13" x14ac:dyDescent="0.2">
      <c r="A236" s="5" t="s">
        <v>11</v>
      </c>
      <c r="B236" s="5" t="s">
        <v>12</v>
      </c>
      <c r="C236" s="5" t="s">
        <v>7</v>
      </c>
      <c r="D236" s="5" t="s">
        <v>5</v>
      </c>
      <c r="E236" s="5" t="s">
        <v>13</v>
      </c>
      <c r="F236" s="5" t="s">
        <v>3</v>
      </c>
      <c r="G236" s="5" t="s">
        <v>2</v>
      </c>
      <c r="H236" s="5" t="s">
        <v>9</v>
      </c>
      <c r="I236" s="5" t="s">
        <v>172</v>
      </c>
      <c r="J236" s="5" t="s">
        <v>173</v>
      </c>
      <c r="K236" s="5" t="s">
        <v>215</v>
      </c>
      <c r="L236" s="5" t="s">
        <v>216</v>
      </c>
      <c r="M236" s="5" t="s">
        <v>182</v>
      </c>
    </row>
    <row r="237" spans="1:13" x14ac:dyDescent="0.2">
      <c r="A237" t="s">
        <v>298</v>
      </c>
      <c r="B237">
        <v>1</v>
      </c>
      <c r="C237" t="s">
        <v>8</v>
      </c>
      <c r="D237" t="s">
        <v>6</v>
      </c>
      <c r="F237" t="s">
        <v>15</v>
      </c>
      <c r="G237" t="s">
        <v>294</v>
      </c>
    </row>
    <row r="238" spans="1:13" ht="16" x14ac:dyDescent="0.2">
      <c r="A238" t="s">
        <v>79</v>
      </c>
      <c r="B238">
        <v>3.0000000000000001E-3</v>
      </c>
      <c r="C238" t="s">
        <v>8</v>
      </c>
      <c r="D238" t="s">
        <v>6</v>
      </c>
      <c r="F238" t="s">
        <v>16</v>
      </c>
      <c r="G238" s="7" t="s">
        <v>80</v>
      </c>
      <c r="H238" t="s">
        <v>169</v>
      </c>
      <c r="I238">
        <v>5</v>
      </c>
      <c r="J238" s="23">
        <v>3.0000000000000001E-3</v>
      </c>
      <c r="K238">
        <v>3.0000000000000001E-3</v>
      </c>
      <c r="L238">
        <v>7.0000000000000001E-3</v>
      </c>
    </row>
    <row r="239" spans="1:13" x14ac:dyDescent="0.2">
      <c r="A239" t="s">
        <v>114</v>
      </c>
      <c r="B239">
        <f>1/(100000000*20)</f>
        <v>5.0000000000000003E-10</v>
      </c>
      <c r="C239" t="s">
        <v>8</v>
      </c>
      <c r="D239" t="s">
        <v>5</v>
      </c>
      <c r="F239" t="s">
        <v>16</v>
      </c>
      <c r="G239" t="s">
        <v>63</v>
      </c>
      <c r="H239" t="s">
        <v>75</v>
      </c>
      <c r="I239">
        <v>5</v>
      </c>
      <c r="J239" s="6">
        <f>B239</f>
        <v>5.0000000000000003E-10</v>
      </c>
      <c r="K239">
        <f>1/(100000000*25)</f>
        <v>4.0000000000000001E-10</v>
      </c>
      <c r="L239" s="6">
        <f>1/(100000000*15)</f>
        <v>6.6666666666666664E-10</v>
      </c>
    </row>
    <row r="240" spans="1:13" x14ac:dyDescent="0.2">
      <c r="A240" t="s">
        <v>129</v>
      </c>
      <c r="B240">
        <f>-1/(100000000*20)</f>
        <v>-5.0000000000000003E-10</v>
      </c>
      <c r="C240" t="s">
        <v>8</v>
      </c>
      <c r="D240" t="s">
        <v>5</v>
      </c>
      <c r="F240" t="s">
        <v>16</v>
      </c>
      <c r="G240" t="s">
        <v>63</v>
      </c>
      <c r="H240" t="s">
        <v>76</v>
      </c>
      <c r="I240">
        <v>5</v>
      </c>
      <c r="J240">
        <f>-1/(100000000*20)</f>
        <v>-5.0000000000000003E-10</v>
      </c>
      <c r="K240">
        <f>-1/(100000000*15)</f>
        <v>-6.6666666666666664E-10</v>
      </c>
      <c r="L240">
        <f>-1/(100000000*25)</f>
        <v>-4.0000000000000001E-10</v>
      </c>
      <c r="M240" t="b">
        <v>1</v>
      </c>
    </row>
    <row r="241" spans="1:13" x14ac:dyDescent="0.2">
      <c r="A241" t="s">
        <v>77</v>
      </c>
      <c r="B241">
        <v>0.5</v>
      </c>
      <c r="C241" t="s">
        <v>8</v>
      </c>
      <c r="D241" t="s">
        <v>23</v>
      </c>
      <c r="F241" t="s">
        <v>16</v>
      </c>
      <c r="G241" t="s">
        <v>78</v>
      </c>
      <c r="H241" t="s">
        <v>223</v>
      </c>
      <c r="I241">
        <v>5</v>
      </c>
      <c r="J241">
        <v>0.5</v>
      </c>
      <c r="K241">
        <v>0.5</v>
      </c>
      <c r="L241">
        <v>0.7</v>
      </c>
    </row>
    <row r="242" spans="1:13" x14ac:dyDescent="0.2">
      <c r="A242" t="s">
        <v>249</v>
      </c>
      <c r="B242">
        <v>5.4</v>
      </c>
      <c r="C242" t="s">
        <v>21</v>
      </c>
      <c r="D242" t="s">
        <v>22</v>
      </c>
      <c r="F242" t="s">
        <v>16</v>
      </c>
      <c r="G242" t="s">
        <v>250</v>
      </c>
      <c r="H242" t="s">
        <v>251</v>
      </c>
      <c r="I242">
        <v>5</v>
      </c>
      <c r="J242">
        <v>5.4</v>
      </c>
      <c r="K242">
        <v>5.4</v>
      </c>
      <c r="L242">
        <v>11.9</v>
      </c>
    </row>
    <row r="243" spans="1:13" x14ac:dyDescent="0.2">
      <c r="A243" t="s">
        <v>39</v>
      </c>
      <c r="B243">
        <v>1</v>
      </c>
      <c r="D243" t="s">
        <v>6</v>
      </c>
      <c r="E243" t="s">
        <v>37</v>
      </c>
      <c r="F243" t="s">
        <v>20</v>
      </c>
      <c r="H243" t="s">
        <v>168</v>
      </c>
    </row>
    <row r="245" spans="1:13" ht="16" x14ac:dyDescent="0.2">
      <c r="A245" s="1" t="s">
        <v>0</v>
      </c>
      <c r="B245" s="1" t="s">
        <v>291</v>
      </c>
    </row>
    <row r="246" spans="1:13" x14ac:dyDescent="0.2">
      <c r="A246" t="s">
        <v>1</v>
      </c>
      <c r="B246">
        <v>1</v>
      </c>
    </row>
    <row r="247" spans="1:13" x14ac:dyDescent="0.2">
      <c r="A247" t="s">
        <v>2</v>
      </c>
      <c r="B247" t="s">
        <v>294</v>
      </c>
    </row>
    <row r="248" spans="1:13" x14ac:dyDescent="0.2">
      <c r="A248" t="s">
        <v>3</v>
      </c>
      <c r="B248" t="s">
        <v>4</v>
      </c>
    </row>
    <row r="249" spans="1:13" x14ac:dyDescent="0.2">
      <c r="A249" t="s">
        <v>5</v>
      </c>
      <c r="B249" t="s">
        <v>6</v>
      </c>
    </row>
    <row r="250" spans="1:13" x14ac:dyDescent="0.2">
      <c r="A250" t="s">
        <v>7</v>
      </c>
      <c r="B250" t="s">
        <v>8</v>
      </c>
    </row>
    <row r="251" spans="1:13" x14ac:dyDescent="0.2">
      <c r="A251" t="s">
        <v>9</v>
      </c>
      <c r="B251" t="s">
        <v>210</v>
      </c>
    </row>
    <row r="252" spans="1:13" x14ac:dyDescent="0.2">
      <c r="A252" t="s">
        <v>18</v>
      </c>
      <c r="B252" t="s">
        <v>221</v>
      </c>
    </row>
    <row r="253" spans="1:13" ht="16" x14ac:dyDescent="0.2">
      <c r="A253" s="1" t="s">
        <v>10</v>
      </c>
    </row>
    <row r="254" spans="1:13" x14ac:dyDescent="0.2">
      <c r="A254" t="s">
        <v>11</v>
      </c>
      <c r="B254" t="s">
        <v>12</v>
      </c>
      <c r="C254" t="s">
        <v>7</v>
      </c>
      <c r="D254" t="s">
        <v>5</v>
      </c>
      <c r="E254" t="s">
        <v>13</v>
      </c>
      <c r="F254" t="s">
        <v>3</v>
      </c>
      <c r="G254" t="s">
        <v>2</v>
      </c>
      <c r="H254" t="s">
        <v>9</v>
      </c>
      <c r="I254" t="s">
        <v>172</v>
      </c>
      <c r="J254" t="s">
        <v>173</v>
      </c>
      <c r="K254" t="s">
        <v>215</v>
      </c>
      <c r="L254" t="s">
        <v>216</v>
      </c>
      <c r="M254" s="5" t="s">
        <v>182</v>
      </c>
    </row>
    <row r="255" spans="1:13" x14ac:dyDescent="0.2">
      <c r="A255" t="s">
        <v>291</v>
      </c>
      <c r="B255">
        <v>1</v>
      </c>
      <c r="C255" t="s">
        <v>8</v>
      </c>
      <c r="D255" t="s">
        <v>6</v>
      </c>
      <c r="F255" t="s">
        <v>15</v>
      </c>
      <c r="G255" t="s">
        <v>294</v>
      </c>
    </row>
    <row r="256" spans="1:13" ht="16" x14ac:dyDescent="0.2">
      <c r="A256" t="s">
        <v>79</v>
      </c>
      <c r="B256">
        <v>3.0000000000000001E-3</v>
      </c>
      <c r="C256" t="s">
        <v>8</v>
      </c>
      <c r="D256" t="s">
        <v>6</v>
      </c>
      <c r="F256" t="s">
        <v>16</v>
      </c>
      <c r="G256" s="7" t="s">
        <v>80</v>
      </c>
      <c r="H256" t="s">
        <v>109</v>
      </c>
      <c r="I256">
        <v>5</v>
      </c>
      <c r="J256">
        <v>3.0000000000000001E-3</v>
      </c>
      <c r="K256">
        <v>3.0000000000000001E-3</v>
      </c>
      <c r="L256">
        <v>7.0000000000000001E-3</v>
      </c>
    </row>
    <row r="257" spans="1:13" x14ac:dyDescent="0.2">
      <c r="A257" t="s">
        <v>114</v>
      </c>
      <c r="B257">
        <f>1/(100000000*20)</f>
        <v>5.0000000000000003E-10</v>
      </c>
      <c r="C257" t="s">
        <v>8</v>
      </c>
      <c r="D257" t="s">
        <v>5</v>
      </c>
      <c r="F257" t="s">
        <v>16</v>
      </c>
      <c r="G257" t="s">
        <v>63</v>
      </c>
      <c r="H257" t="s">
        <v>75</v>
      </c>
      <c r="I257">
        <v>5</v>
      </c>
      <c r="J257" s="6">
        <f>B257</f>
        <v>5.0000000000000003E-10</v>
      </c>
      <c r="K257">
        <f>1/(100000000*25)</f>
        <v>4.0000000000000001E-10</v>
      </c>
      <c r="L257" s="6">
        <f>1/(100000000*15)</f>
        <v>6.6666666666666664E-10</v>
      </c>
    </row>
    <row r="258" spans="1:13" x14ac:dyDescent="0.2">
      <c r="A258" t="s">
        <v>129</v>
      </c>
      <c r="B258">
        <f>-1/(100000000*20)</f>
        <v>-5.0000000000000003E-10</v>
      </c>
      <c r="C258" t="s">
        <v>8</v>
      </c>
      <c r="D258" t="s">
        <v>5</v>
      </c>
      <c r="F258" t="s">
        <v>16</v>
      </c>
      <c r="G258" t="s">
        <v>63</v>
      </c>
      <c r="H258" t="s">
        <v>76</v>
      </c>
      <c r="I258">
        <v>5</v>
      </c>
      <c r="J258">
        <f>-1/(100000000*20)</f>
        <v>-5.0000000000000003E-10</v>
      </c>
      <c r="K258">
        <f>-1/(100000000*15)</f>
        <v>-6.6666666666666664E-10</v>
      </c>
      <c r="L258">
        <f>-1/(100000000*25)</f>
        <v>-4.0000000000000001E-10</v>
      </c>
      <c r="M258" t="b">
        <v>1</v>
      </c>
    </row>
    <row r="259" spans="1:13" x14ac:dyDescent="0.2">
      <c r="A259" t="s">
        <v>77</v>
      </c>
      <c r="B259">
        <v>0.5</v>
      </c>
      <c r="C259" t="s">
        <v>8</v>
      </c>
      <c r="D259" t="s">
        <v>23</v>
      </c>
      <c r="F259" t="s">
        <v>16</v>
      </c>
      <c r="G259" t="s">
        <v>78</v>
      </c>
      <c r="H259" t="s">
        <v>223</v>
      </c>
      <c r="I259">
        <v>5</v>
      </c>
      <c r="J259">
        <v>0.5</v>
      </c>
      <c r="K259">
        <v>0.5</v>
      </c>
      <c r="L259">
        <v>0.7</v>
      </c>
    </row>
    <row r="260" spans="1:13" x14ac:dyDescent="0.2">
      <c r="A260" t="s">
        <v>249</v>
      </c>
      <c r="B260">
        <v>5.4</v>
      </c>
      <c r="C260" t="s">
        <v>21</v>
      </c>
      <c r="D260" t="s">
        <v>22</v>
      </c>
      <c r="F260" t="s">
        <v>16</v>
      </c>
      <c r="G260" t="s">
        <v>250</v>
      </c>
      <c r="H260" t="s">
        <v>251</v>
      </c>
      <c r="I260">
        <v>5</v>
      </c>
      <c r="J260">
        <v>5.4</v>
      </c>
      <c r="K260">
        <v>5.4</v>
      </c>
      <c r="L260">
        <v>11.9</v>
      </c>
    </row>
    <row r="261" spans="1:13" ht="16" x14ac:dyDescent="0.2">
      <c r="A261" t="s">
        <v>97</v>
      </c>
      <c r="B261">
        <v>1</v>
      </c>
      <c r="C261" t="s">
        <v>8</v>
      </c>
      <c r="D261" t="s">
        <v>6</v>
      </c>
      <c r="F261" t="s">
        <v>16</v>
      </c>
      <c r="G261" s="8" t="s">
        <v>98</v>
      </c>
      <c r="H261" t="s">
        <v>163</v>
      </c>
    </row>
    <row r="262" spans="1:13" x14ac:dyDescent="0.2">
      <c r="A262" t="s">
        <v>39</v>
      </c>
      <c r="B262">
        <v>1</v>
      </c>
      <c r="D262" t="s">
        <v>6</v>
      </c>
      <c r="E262" t="s">
        <v>37</v>
      </c>
      <c r="F262" t="s">
        <v>20</v>
      </c>
      <c r="H262" t="s">
        <v>168</v>
      </c>
    </row>
    <row r="264" spans="1:13" ht="16" x14ac:dyDescent="0.2">
      <c r="A264" s="1" t="s">
        <v>0</v>
      </c>
      <c r="B264" s="1" t="s">
        <v>299</v>
      </c>
    </row>
    <row r="265" spans="1:13" x14ac:dyDescent="0.2">
      <c r="A265" t="s">
        <v>1</v>
      </c>
      <c r="B265">
        <v>1</v>
      </c>
    </row>
    <row r="266" spans="1:13" x14ac:dyDescent="0.2">
      <c r="A266" t="s">
        <v>2</v>
      </c>
      <c r="B266" t="s">
        <v>294</v>
      </c>
    </row>
    <row r="267" spans="1:13" x14ac:dyDescent="0.2">
      <c r="A267" t="s">
        <v>3</v>
      </c>
      <c r="B267" t="s">
        <v>4</v>
      </c>
    </row>
    <row r="268" spans="1:13" x14ac:dyDescent="0.2">
      <c r="A268" t="s">
        <v>5</v>
      </c>
      <c r="B268" t="s">
        <v>6</v>
      </c>
    </row>
    <row r="269" spans="1:13" x14ac:dyDescent="0.2">
      <c r="A269" t="s">
        <v>7</v>
      </c>
      <c r="B269" t="s">
        <v>8</v>
      </c>
    </row>
    <row r="270" spans="1:13" x14ac:dyDescent="0.2">
      <c r="A270" t="s">
        <v>9</v>
      </c>
      <c r="B270" t="s">
        <v>113</v>
      </c>
    </row>
    <row r="271" spans="1:13" x14ac:dyDescent="0.2">
      <c r="A271" t="s">
        <v>18</v>
      </c>
      <c r="B271" t="s">
        <v>40</v>
      </c>
    </row>
    <row r="272" spans="1:13" ht="16" x14ac:dyDescent="0.2">
      <c r="A272" s="1" t="s">
        <v>10</v>
      </c>
    </row>
    <row r="273" spans="1:13" x14ac:dyDescent="0.2">
      <c r="A273" s="5" t="s">
        <v>11</v>
      </c>
      <c r="B273" s="5" t="s">
        <v>12</v>
      </c>
      <c r="C273" s="5" t="s">
        <v>7</v>
      </c>
      <c r="D273" s="5" t="s">
        <v>5</v>
      </c>
      <c r="E273" s="5" t="s">
        <v>13</v>
      </c>
      <c r="F273" s="5" t="s">
        <v>3</v>
      </c>
      <c r="G273" s="5" t="s">
        <v>2</v>
      </c>
      <c r="H273" s="5" t="s">
        <v>9</v>
      </c>
      <c r="I273" s="5" t="s">
        <v>172</v>
      </c>
      <c r="J273" s="5" t="s">
        <v>173</v>
      </c>
      <c r="K273" s="5" t="s">
        <v>215</v>
      </c>
      <c r="L273" s="5" t="s">
        <v>216</v>
      </c>
      <c r="M273" s="5" t="s">
        <v>182</v>
      </c>
    </row>
    <row r="274" spans="1:13" x14ac:dyDescent="0.2">
      <c r="A274" t="s">
        <v>299</v>
      </c>
      <c r="B274">
        <v>1</v>
      </c>
      <c r="C274" t="s">
        <v>8</v>
      </c>
      <c r="D274" t="s">
        <v>6</v>
      </c>
      <c r="F274" t="s">
        <v>15</v>
      </c>
      <c r="G274" t="s">
        <v>294</v>
      </c>
    </row>
    <row r="275" spans="1:13" ht="16" x14ac:dyDescent="0.2">
      <c r="A275" t="s">
        <v>79</v>
      </c>
      <c r="B275">
        <v>3.0000000000000001E-3</v>
      </c>
      <c r="C275" t="s">
        <v>8</v>
      </c>
      <c r="D275" t="s">
        <v>6</v>
      </c>
      <c r="F275" t="s">
        <v>16</v>
      </c>
      <c r="G275" s="7" t="s">
        <v>80</v>
      </c>
      <c r="H275" t="s">
        <v>169</v>
      </c>
      <c r="I275">
        <v>5</v>
      </c>
      <c r="J275" s="23">
        <v>3.0000000000000001E-3</v>
      </c>
      <c r="K275">
        <v>3.0000000000000001E-3</v>
      </c>
      <c r="L275">
        <v>7.0000000000000001E-3</v>
      </c>
    </row>
    <row r="276" spans="1:13" x14ac:dyDescent="0.2">
      <c r="A276" t="s">
        <v>114</v>
      </c>
      <c r="B276">
        <f>1/(100000000*20)</f>
        <v>5.0000000000000003E-10</v>
      </c>
      <c r="C276" t="s">
        <v>8</v>
      </c>
      <c r="D276" t="s">
        <v>5</v>
      </c>
      <c r="F276" t="s">
        <v>16</v>
      </c>
      <c r="G276" t="s">
        <v>63</v>
      </c>
      <c r="H276" t="s">
        <v>75</v>
      </c>
      <c r="I276">
        <v>5</v>
      </c>
      <c r="J276" s="6">
        <f>B276</f>
        <v>5.0000000000000003E-10</v>
      </c>
      <c r="K276">
        <f>1/(100000000*25)</f>
        <v>4.0000000000000001E-10</v>
      </c>
      <c r="L276" s="6">
        <f>1/(100000000*15)</f>
        <v>6.6666666666666664E-10</v>
      </c>
    </row>
    <row r="277" spans="1:13" x14ac:dyDescent="0.2">
      <c r="A277" t="s">
        <v>129</v>
      </c>
      <c r="B277">
        <f>-1/(100000000*20)</f>
        <v>-5.0000000000000003E-10</v>
      </c>
      <c r="C277" t="s">
        <v>8</v>
      </c>
      <c r="D277" t="s">
        <v>5</v>
      </c>
      <c r="F277" t="s">
        <v>16</v>
      </c>
      <c r="G277" t="s">
        <v>63</v>
      </c>
      <c r="H277" t="s">
        <v>76</v>
      </c>
      <c r="I277">
        <v>5</v>
      </c>
      <c r="J277">
        <f>-1/(100000000*20)</f>
        <v>-5.0000000000000003E-10</v>
      </c>
      <c r="K277">
        <f>-1/(100000000*15)</f>
        <v>-6.6666666666666664E-10</v>
      </c>
      <c r="L277">
        <f>-1/(100000000*25)</f>
        <v>-4.0000000000000001E-10</v>
      </c>
      <c r="M277" t="b">
        <v>1</v>
      </c>
    </row>
    <row r="278" spans="1:13" x14ac:dyDescent="0.2">
      <c r="A278" t="s">
        <v>77</v>
      </c>
      <c r="B278">
        <v>0.5</v>
      </c>
      <c r="C278" t="s">
        <v>8</v>
      </c>
      <c r="D278" t="s">
        <v>23</v>
      </c>
      <c r="F278" t="s">
        <v>16</v>
      </c>
      <c r="G278" t="s">
        <v>78</v>
      </c>
      <c r="H278" t="s">
        <v>223</v>
      </c>
      <c r="I278">
        <v>5</v>
      </c>
      <c r="J278">
        <v>0.5</v>
      </c>
      <c r="K278">
        <v>0.5</v>
      </c>
      <c r="L278">
        <v>0.7</v>
      </c>
    </row>
    <row r="279" spans="1:13" x14ac:dyDescent="0.2">
      <c r="A279" t="s">
        <v>187</v>
      </c>
      <c r="B279">
        <v>5.4</v>
      </c>
      <c r="C279" t="s">
        <v>8</v>
      </c>
      <c r="D279" t="s">
        <v>22</v>
      </c>
      <c r="F279" t="s">
        <v>16</v>
      </c>
      <c r="G279" t="s">
        <v>188</v>
      </c>
      <c r="H279" t="s">
        <v>252</v>
      </c>
      <c r="I279">
        <v>5</v>
      </c>
      <c r="J279">
        <v>5.4</v>
      </c>
      <c r="K279">
        <v>5.4</v>
      </c>
      <c r="L279">
        <v>11.9</v>
      </c>
    </row>
    <row r="280" spans="1:13" x14ac:dyDescent="0.2">
      <c r="A280" t="s">
        <v>39</v>
      </c>
      <c r="B280">
        <v>1</v>
      </c>
      <c r="D280" t="s">
        <v>6</v>
      </c>
      <c r="E280" t="s">
        <v>37</v>
      </c>
      <c r="F280" t="s">
        <v>20</v>
      </c>
      <c r="H280" t="s">
        <v>168</v>
      </c>
    </row>
    <row r="282" spans="1:13" ht="16" x14ac:dyDescent="0.2">
      <c r="A282" s="1" t="s">
        <v>0</v>
      </c>
      <c r="B282" s="1" t="s">
        <v>292</v>
      </c>
    </row>
    <row r="283" spans="1:13" x14ac:dyDescent="0.2">
      <c r="A283" t="s">
        <v>1</v>
      </c>
      <c r="B283">
        <v>1</v>
      </c>
    </row>
    <row r="284" spans="1:13" x14ac:dyDescent="0.2">
      <c r="A284" t="s">
        <v>2</v>
      </c>
      <c r="B284" t="s">
        <v>294</v>
      </c>
    </row>
    <row r="285" spans="1:13" x14ac:dyDescent="0.2">
      <c r="A285" t="s">
        <v>3</v>
      </c>
      <c r="B285" t="s">
        <v>4</v>
      </c>
    </row>
    <row r="286" spans="1:13" x14ac:dyDescent="0.2">
      <c r="A286" t="s">
        <v>5</v>
      </c>
      <c r="B286" t="s">
        <v>6</v>
      </c>
    </row>
    <row r="287" spans="1:13" x14ac:dyDescent="0.2">
      <c r="A287" t="s">
        <v>7</v>
      </c>
      <c r="B287" t="s">
        <v>8</v>
      </c>
    </row>
    <row r="288" spans="1:13" x14ac:dyDescent="0.2">
      <c r="A288" t="s">
        <v>9</v>
      </c>
      <c r="B288" t="s">
        <v>210</v>
      </c>
    </row>
    <row r="289" spans="1:13" x14ac:dyDescent="0.2">
      <c r="A289" t="s">
        <v>18</v>
      </c>
      <c r="B289" t="s">
        <v>221</v>
      </c>
    </row>
    <row r="290" spans="1:13" ht="16" x14ac:dyDescent="0.2">
      <c r="A290" s="1" t="s">
        <v>10</v>
      </c>
    </row>
    <row r="291" spans="1:13" x14ac:dyDescent="0.2">
      <c r="A291" t="s">
        <v>11</v>
      </c>
      <c r="B291" t="s">
        <v>12</v>
      </c>
      <c r="C291" t="s">
        <v>7</v>
      </c>
      <c r="D291" t="s">
        <v>5</v>
      </c>
      <c r="E291" t="s">
        <v>13</v>
      </c>
      <c r="F291" t="s">
        <v>3</v>
      </c>
      <c r="G291" t="s">
        <v>2</v>
      </c>
      <c r="H291" t="s">
        <v>9</v>
      </c>
      <c r="I291" t="s">
        <v>172</v>
      </c>
      <c r="J291" t="s">
        <v>173</v>
      </c>
      <c r="K291" t="s">
        <v>215</v>
      </c>
      <c r="L291" t="s">
        <v>216</v>
      </c>
      <c r="M291" s="5" t="s">
        <v>182</v>
      </c>
    </row>
    <row r="292" spans="1:13" x14ac:dyDescent="0.2">
      <c r="A292" t="s">
        <v>292</v>
      </c>
      <c r="B292">
        <v>1</v>
      </c>
      <c r="C292" t="s">
        <v>8</v>
      </c>
      <c r="D292" t="s">
        <v>6</v>
      </c>
      <c r="F292" t="s">
        <v>15</v>
      </c>
      <c r="G292" t="s">
        <v>294</v>
      </c>
    </row>
    <row r="293" spans="1:13" ht="16" x14ac:dyDescent="0.2">
      <c r="A293" t="s">
        <v>79</v>
      </c>
      <c r="B293">
        <v>3.0000000000000001E-3</v>
      </c>
      <c r="C293" t="s">
        <v>8</v>
      </c>
      <c r="D293" t="s">
        <v>6</v>
      </c>
      <c r="F293" t="s">
        <v>16</v>
      </c>
      <c r="G293" s="7" t="s">
        <v>80</v>
      </c>
      <c r="H293" t="s">
        <v>109</v>
      </c>
      <c r="I293">
        <v>5</v>
      </c>
      <c r="J293">
        <v>3.0000000000000001E-3</v>
      </c>
      <c r="K293">
        <v>3.0000000000000001E-3</v>
      </c>
      <c r="L293">
        <v>7.0000000000000001E-3</v>
      </c>
    </row>
    <row r="294" spans="1:13" x14ac:dyDescent="0.2">
      <c r="A294" t="s">
        <v>114</v>
      </c>
      <c r="B294">
        <f>1/(100000000*20)</f>
        <v>5.0000000000000003E-10</v>
      </c>
      <c r="C294" t="s">
        <v>8</v>
      </c>
      <c r="D294" t="s">
        <v>5</v>
      </c>
      <c r="F294" t="s">
        <v>16</v>
      </c>
      <c r="G294" t="s">
        <v>63</v>
      </c>
      <c r="H294" t="s">
        <v>75</v>
      </c>
      <c r="I294">
        <v>5</v>
      </c>
      <c r="J294" s="6">
        <f>B294</f>
        <v>5.0000000000000003E-10</v>
      </c>
      <c r="K294">
        <f>1/(100000000*25)</f>
        <v>4.0000000000000001E-10</v>
      </c>
      <c r="L294" s="6">
        <f>1/(100000000*15)</f>
        <v>6.6666666666666664E-10</v>
      </c>
    </row>
    <row r="295" spans="1:13" x14ac:dyDescent="0.2">
      <c r="A295" t="s">
        <v>129</v>
      </c>
      <c r="B295">
        <f>-1/(100000000*20)</f>
        <v>-5.0000000000000003E-10</v>
      </c>
      <c r="C295" t="s">
        <v>8</v>
      </c>
      <c r="D295" t="s">
        <v>5</v>
      </c>
      <c r="F295" t="s">
        <v>16</v>
      </c>
      <c r="G295" t="s">
        <v>63</v>
      </c>
      <c r="H295" t="s">
        <v>76</v>
      </c>
      <c r="I295">
        <v>5</v>
      </c>
      <c r="J295">
        <f>-1/(100000000*20)</f>
        <v>-5.0000000000000003E-10</v>
      </c>
      <c r="K295">
        <f>-1/(100000000*15)</f>
        <v>-6.6666666666666664E-10</v>
      </c>
      <c r="L295">
        <f>-1/(100000000*25)</f>
        <v>-4.0000000000000001E-10</v>
      </c>
      <c r="M295" t="b">
        <v>1</v>
      </c>
    </row>
    <row r="296" spans="1:13" x14ac:dyDescent="0.2">
      <c r="A296" t="s">
        <v>77</v>
      </c>
      <c r="B296">
        <v>0.5</v>
      </c>
      <c r="C296" t="s">
        <v>8</v>
      </c>
      <c r="D296" t="s">
        <v>23</v>
      </c>
      <c r="F296" t="s">
        <v>16</v>
      </c>
      <c r="G296" t="s">
        <v>78</v>
      </c>
      <c r="H296" t="s">
        <v>223</v>
      </c>
      <c r="I296">
        <v>5</v>
      </c>
      <c r="J296">
        <v>0.5</v>
      </c>
      <c r="K296">
        <v>0.5</v>
      </c>
      <c r="L296">
        <v>0.7</v>
      </c>
    </row>
    <row r="297" spans="1:13" x14ac:dyDescent="0.2">
      <c r="A297" t="s">
        <v>187</v>
      </c>
      <c r="B297">
        <v>5.4</v>
      </c>
      <c r="C297" t="s">
        <v>8</v>
      </c>
      <c r="D297" t="s">
        <v>22</v>
      </c>
      <c r="F297" t="s">
        <v>16</v>
      </c>
      <c r="G297" t="s">
        <v>188</v>
      </c>
      <c r="H297" t="s">
        <v>252</v>
      </c>
      <c r="I297">
        <v>5</v>
      </c>
      <c r="J297">
        <v>5.4</v>
      </c>
      <c r="K297">
        <v>5.4</v>
      </c>
      <c r="L297">
        <v>11.9</v>
      </c>
    </row>
    <row r="298" spans="1:13" ht="16" x14ac:dyDescent="0.2">
      <c r="A298" t="s">
        <v>97</v>
      </c>
      <c r="B298">
        <v>1</v>
      </c>
      <c r="C298" t="s">
        <v>8</v>
      </c>
      <c r="D298" t="s">
        <v>6</v>
      </c>
      <c r="F298" t="s">
        <v>16</v>
      </c>
      <c r="G298" s="8" t="s">
        <v>98</v>
      </c>
      <c r="H298" t="s">
        <v>163</v>
      </c>
    </row>
    <row r="299" spans="1:13" x14ac:dyDescent="0.2">
      <c r="A299" t="s">
        <v>39</v>
      </c>
      <c r="B299">
        <v>1</v>
      </c>
      <c r="D299" t="s">
        <v>6</v>
      </c>
      <c r="E299" t="s">
        <v>37</v>
      </c>
      <c r="F299" t="s">
        <v>20</v>
      </c>
      <c r="H299" t="s">
        <v>168</v>
      </c>
    </row>
    <row r="301" spans="1:13" ht="16" x14ac:dyDescent="0.2">
      <c r="A301" s="1" t="s">
        <v>0</v>
      </c>
      <c r="B301" s="1" t="s">
        <v>300</v>
      </c>
    </row>
    <row r="302" spans="1:13" x14ac:dyDescent="0.2">
      <c r="A302" t="s">
        <v>1</v>
      </c>
      <c r="B302">
        <v>1</v>
      </c>
    </row>
    <row r="303" spans="1:13" x14ac:dyDescent="0.2">
      <c r="A303" t="s">
        <v>2</v>
      </c>
      <c r="B303" t="s">
        <v>294</v>
      </c>
    </row>
    <row r="304" spans="1:13" x14ac:dyDescent="0.2">
      <c r="A304" t="s">
        <v>3</v>
      </c>
      <c r="B304" t="s">
        <v>4</v>
      </c>
    </row>
    <row r="305" spans="1:13" x14ac:dyDescent="0.2">
      <c r="A305" t="s">
        <v>5</v>
      </c>
      <c r="B305" t="s">
        <v>6</v>
      </c>
    </row>
    <row r="306" spans="1:13" x14ac:dyDescent="0.2">
      <c r="A306" t="s">
        <v>7</v>
      </c>
      <c r="B306" t="s">
        <v>8</v>
      </c>
    </row>
    <row r="307" spans="1:13" x14ac:dyDescent="0.2">
      <c r="A307" t="s">
        <v>9</v>
      </c>
      <c r="B307" t="s">
        <v>113</v>
      </c>
    </row>
    <row r="308" spans="1:13" x14ac:dyDescent="0.2">
      <c r="A308" t="s">
        <v>18</v>
      </c>
      <c r="B308" t="s">
        <v>40</v>
      </c>
    </row>
    <row r="309" spans="1:13" ht="16" x14ac:dyDescent="0.2">
      <c r="A309" s="1" t="s">
        <v>10</v>
      </c>
    </row>
    <row r="310" spans="1:13" x14ac:dyDescent="0.2">
      <c r="A310" s="5" t="s">
        <v>11</v>
      </c>
      <c r="B310" s="5" t="s">
        <v>12</v>
      </c>
      <c r="C310" s="5" t="s">
        <v>7</v>
      </c>
      <c r="D310" s="5" t="s">
        <v>5</v>
      </c>
      <c r="E310" s="5" t="s">
        <v>13</v>
      </c>
      <c r="F310" s="5" t="s">
        <v>3</v>
      </c>
      <c r="G310" s="5" t="s">
        <v>2</v>
      </c>
      <c r="H310" s="5" t="s">
        <v>9</v>
      </c>
      <c r="I310" s="5" t="s">
        <v>172</v>
      </c>
      <c r="J310" s="5" t="s">
        <v>173</v>
      </c>
      <c r="K310" s="5" t="s">
        <v>215</v>
      </c>
      <c r="L310" s="5" t="s">
        <v>216</v>
      </c>
      <c r="M310" s="5" t="s">
        <v>182</v>
      </c>
    </row>
    <row r="311" spans="1:13" x14ac:dyDescent="0.2">
      <c r="A311" t="s">
        <v>300</v>
      </c>
      <c r="B311">
        <v>1</v>
      </c>
      <c r="C311" t="s">
        <v>8</v>
      </c>
      <c r="D311" t="s">
        <v>6</v>
      </c>
      <c r="F311" t="s">
        <v>15</v>
      </c>
      <c r="G311" t="s">
        <v>294</v>
      </c>
    </row>
    <row r="312" spans="1:13" ht="16" x14ac:dyDescent="0.2">
      <c r="A312" t="s">
        <v>79</v>
      </c>
      <c r="B312">
        <v>3.0000000000000001E-3</v>
      </c>
      <c r="C312" t="s">
        <v>8</v>
      </c>
      <c r="D312" t="s">
        <v>6</v>
      </c>
      <c r="F312" t="s">
        <v>16</v>
      </c>
      <c r="G312" s="7" t="s">
        <v>80</v>
      </c>
      <c r="H312" t="s">
        <v>169</v>
      </c>
      <c r="I312">
        <v>5</v>
      </c>
      <c r="J312" s="23">
        <v>3.0000000000000001E-3</v>
      </c>
      <c r="K312">
        <v>3.0000000000000001E-3</v>
      </c>
      <c r="L312">
        <v>7.0000000000000001E-3</v>
      </c>
    </row>
    <row r="313" spans="1:13" x14ac:dyDescent="0.2">
      <c r="A313" t="s">
        <v>114</v>
      </c>
      <c r="B313">
        <f>1/(100000000*20)</f>
        <v>5.0000000000000003E-10</v>
      </c>
      <c r="C313" t="s">
        <v>8</v>
      </c>
      <c r="D313" t="s">
        <v>5</v>
      </c>
      <c r="F313" t="s">
        <v>16</v>
      </c>
      <c r="G313" t="s">
        <v>63</v>
      </c>
      <c r="H313" t="s">
        <v>75</v>
      </c>
      <c r="I313">
        <v>5</v>
      </c>
      <c r="J313" s="6">
        <f>B313</f>
        <v>5.0000000000000003E-10</v>
      </c>
      <c r="K313">
        <f>1/(100000000*25)</f>
        <v>4.0000000000000001E-10</v>
      </c>
      <c r="L313" s="6">
        <f>1/(100000000*15)</f>
        <v>6.6666666666666664E-10</v>
      </c>
    </row>
    <row r="314" spans="1:13" x14ac:dyDescent="0.2">
      <c r="A314" t="s">
        <v>129</v>
      </c>
      <c r="B314">
        <f>-1/(100000000*20)</f>
        <v>-5.0000000000000003E-10</v>
      </c>
      <c r="C314" t="s">
        <v>8</v>
      </c>
      <c r="D314" t="s">
        <v>5</v>
      </c>
      <c r="F314" t="s">
        <v>16</v>
      </c>
      <c r="G314" t="s">
        <v>63</v>
      </c>
      <c r="H314" t="s">
        <v>76</v>
      </c>
      <c r="I314">
        <v>5</v>
      </c>
      <c r="J314">
        <f>-1/(100000000*20)</f>
        <v>-5.0000000000000003E-10</v>
      </c>
      <c r="K314">
        <f>-1/(100000000*15)</f>
        <v>-6.6666666666666664E-10</v>
      </c>
      <c r="L314">
        <f>-1/(100000000*25)</f>
        <v>-4.0000000000000001E-10</v>
      </c>
      <c r="M314" t="b">
        <v>1</v>
      </c>
    </row>
    <row r="315" spans="1:13" x14ac:dyDescent="0.2">
      <c r="A315" t="s">
        <v>77</v>
      </c>
      <c r="B315">
        <v>0.5</v>
      </c>
      <c r="C315" t="s">
        <v>8</v>
      </c>
      <c r="D315" t="s">
        <v>23</v>
      </c>
      <c r="F315" t="s">
        <v>16</v>
      </c>
      <c r="G315" t="s">
        <v>78</v>
      </c>
      <c r="H315" t="s">
        <v>223</v>
      </c>
      <c r="I315">
        <v>5</v>
      </c>
      <c r="J315">
        <v>0.5</v>
      </c>
      <c r="K315">
        <v>0.5</v>
      </c>
      <c r="L315">
        <v>0.7</v>
      </c>
    </row>
    <row r="316" spans="1:13" x14ac:dyDescent="0.2">
      <c r="A316" t="s">
        <v>77</v>
      </c>
      <c r="B316" s="23">
        <f>5.4/2.9/3.6</f>
        <v>0.51724137931034486</v>
      </c>
      <c r="C316" t="s">
        <v>8</v>
      </c>
      <c r="D316" t="s">
        <v>23</v>
      </c>
      <c r="F316" t="s">
        <v>16</v>
      </c>
      <c r="G316" t="s">
        <v>78</v>
      </c>
      <c r="H316" t="s">
        <v>252</v>
      </c>
      <c r="I316">
        <v>5</v>
      </c>
      <c r="J316" s="23">
        <f>B316</f>
        <v>0.51724137931034486</v>
      </c>
      <c r="K316">
        <f>5.4/2.9/3.6</f>
        <v>0.51724137931034486</v>
      </c>
      <c r="L316">
        <f>11.9/2.9/3.6</f>
        <v>1.1398467432950192</v>
      </c>
    </row>
    <row r="317" spans="1:13" x14ac:dyDescent="0.2">
      <c r="A317" t="s">
        <v>39</v>
      </c>
      <c r="B317">
        <v>1</v>
      </c>
      <c r="D317" t="s">
        <v>6</v>
      </c>
      <c r="E317" t="s">
        <v>37</v>
      </c>
      <c r="F317" t="s">
        <v>20</v>
      </c>
      <c r="H317" t="s">
        <v>168</v>
      </c>
    </row>
    <row r="319" spans="1:13" ht="16" x14ac:dyDescent="0.2">
      <c r="A319" s="1" t="s">
        <v>0</v>
      </c>
      <c r="B319" s="1" t="s">
        <v>293</v>
      </c>
    </row>
    <row r="320" spans="1:13" x14ac:dyDescent="0.2">
      <c r="A320" t="s">
        <v>1</v>
      </c>
      <c r="B320">
        <v>1</v>
      </c>
    </row>
    <row r="321" spans="1:13" x14ac:dyDescent="0.2">
      <c r="A321" t="s">
        <v>2</v>
      </c>
      <c r="B321" t="s">
        <v>294</v>
      </c>
    </row>
    <row r="322" spans="1:13" x14ac:dyDescent="0.2">
      <c r="A322" t="s">
        <v>3</v>
      </c>
      <c r="B322" t="s">
        <v>4</v>
      </c>
    </row>
    <row r="323" spans="1:13" x14ac:dyDescent="0.2">
      <c r="A323" t="s">
        <v>5</v>
      </c>
      <c r="B323" t="s">
        <v>6</v>
      </c>
    </row>
    <row r="324" spans="1:13" x14ac:dyDescent="0.2">
      <c r="A324" t="s">
        <v>7</v>
      </c>
      <c r="B324" t="s">
        <v>8</v>
      </c>
    </row>
    <row r="325" spans="1:13" x14ac:dyDescent="0.2">
      <c r="A325" t="s">
        <v>9</v>
      </c>
      <c r="B325" t="s">
        <v>210</v>
      </c>
    </row>
    <row r="326" spans="1:13" x14ac:dyDescent="0.2">
      <c r="A326" t="s">
        <v>18</v>
      </c>
      <c r="B326" t="s">
        <v>221</v>
      </c>
    </row>
    <row r="327" spans="1:13" ht="16" x14ac:dyDescent="0.2">
      <c r="A327" s="1" t="s">
        <v>10</v>
      </c>
    </row>
    <row r="328" spans="1:13" x14ac:dyDescent="0.2">
      <c r="A328" t="s">
        <v>11</v>
      </c>
      <c r="B328" t="s">
        <v>12</v>
      </c>
      <c r="C328" t="s">
        <v>7</v>
      </c>
      <c r="D328" t="s">
        <v>5</v>
      </c>
      <c r="E328" t="s">
        <v>13</v>
      </c>
      <c r="F328" t="s">
        <v>3</v>
      </c>
      <c r="G328" t="s">
        <v>2</v>
      </c>
      <c r="H328" t="s">
        <v>9</v>
      </c>
      <c r="I328" t="s">
        <v>172</v>
      </c>
      <c r="J328" t="s">
        <v>173</v>
      </c>
      <c r="K328" t="s">
        <v>215</v>
      </c>
      <c r="L328" t="s">
        <v>216</v>
      </c>
      <c r="M328" s="5" t="s">
        <v>182</v>
      </c>
    </row>
    <row r="329" spans="1:13" x14ac:dyDescent="0.2">
      <c r="A329" t="s">
        <v>293</v>
      </c>
      <c r="B329">
        <v>1</v>
      </c>
      <c r="C329" t="s">
        <v>8</v>
      </c>
      <c r="D329" t="s">
        <v>6</v>
      </c>
      <c r="F329" t="s">
        <v>15</v>
      </c>
      <c r="G329" t="s">
        <v>294</v>
      </c>
    </row>
    <row r="330" spans="1:13" ht="16" x14ac:dyDescent="0.2">
      <c r="A330" t="s">
        <v>79</v>
      </c>
      <c r="B330">
        <v>3.0000000000000001E-3</v>
      </c>
      <c r="C330" t="s">
        <v>8</v>
      </c>
      <c r="D330" t="s">
        <v>6</v>
      </c>
      <c r="F330" t="s">
        <v>16</v>
      </c>
      <c r="G330" s="7" t="s">
        <v>80</v>
      </c>
      <c r="H330" t="s">
        <v>109</v>
      </c>
      <c r="I330">
        <v>5</v>
      </c>
      <c r="J330">
        <v>3.0000000000000001E-3</v>
      </c>
      <c r="K330">
        <v>3.0000000000000001E-3</v>
      </c>
      <c r="L330">
        <v>7.0000000000000001E-3</v>
      </c>
    </row>
    <row r="331" spans="1:13" x14ac:dyDescent="0.2">
      <c r="A331" t="s">
        <v>114</v>
      </c>
      <c r="B331">
        <f>1/(100000000*20)</f>
        <v>5.0000000000000003E-10</v>
      </c>
      <c r="C331" t="s">
        <v>8</v>
      </c>
      <c r="D331" t="s">
        <v>5</v>
      </c>
      <c r="F331" t="s">
        <v>16</v>
      </c>
      <c r="G331" t="s">
        <v>63</v>
      </c>
      <c r="H331" t="s">
        <v>75</v>
      </c>
      <c r="I331">
        <v>5</v>
      </c>
      <c r="J331" s="6">
        <f>B331</f>
        <v>5.0000000000000003E-10</v>
      </c>
      <c r="K331">
        <f>1/(100000000*25)</f>
        <v>4.0000000000000001E-10</v>
      </c>
      <c r="L331" s="6">
        <f>1/(100000000*15)</f>
        <v>6.6666666666666664E-10</v>
      </c>
    </row>
    <row r="332" spans="1:13" x14ac:dyDescent="0.2">
      <c r="A332" t="s">
        <v>129</v>
      </c>
      <c r="B332">
        <f>-1/(100000000*20)</f>
        <v>-5.0000000000000003E-10</v>
      </c>
      <c r="C332" t="s">
        <v>8</v>
      </c>
      <c r="D332" t="s">
        <v>5</v>
      </c>
      <c r="F332" t="s">
        <v>16</v>
      </c>
      <c r="G332" t="s">
        <v>63</v>
      </c>
      <c r="H332" t="s">
        <v>76</v>
      </c>
      <c r="I332">
        <v>5</v>
      </c>
      <c r="J332">
        <f>-1/(100000000*20)</f>
        <v>-5.0000000000000003E-10</v>
      </c>
      <c r="K332">
        <f>-1/(100000000*15)</f>
        <v>-6.6666666666666664E-10</v>
      </c>
      <c r="L332">
        <f>-1/(100000000*25)</f>
        <v>-4.0000000000000001E-10</v>
      </c>
      <c r="M332" t="b">
        <v>1</v>
      </c>
    </row>
    <row r="333" spans="1:13" x14ac:dyDescent="0.2">
      <c r="A333" t="s">
        <v>77</v>
      </c>
      <c r="B333">
        <v>0.5</v>
      </c>
      <c r="C333" t="s">
        <v>8</v>
      </c>
      <c r="D333" t="s">
        <v>23</v>
      </c>
      <c r="F333" t="s">
        <v>16</v>
      </c>
      <c r="G333" t="s">
        <v>78</v>
      </c>
      <c r="H333" t="s">
        <v>223</v>
      </c>
      <c r="I333">
        <v>5</v>
      </c>
      <c r="J333">
        <v>0.5</v>
      </c>
      <c r="K333">
        <v>0.5</v>
      </c>
      <c r="L333">
        <v>0.7</v>
      </c>
    </row>
    <row r="334" spans="1:13" x14ac:dyDescent="0.2">
      <c r="A334" t="s">
        <v>77</v>
      </c>
      <c r="B334" s="23">
        <f>5.4/2.9/3.6</f>
        <v>0.51724137931034486</v>
      </c>
      <c r="C334" t="s">
        <v>8</v>
      </c>
      <c r="D334" t="s">
        <v>23</v>
      </c>
      <c r="F334" t="s">
        <v>16</v>
      </c>
      <c r="G334" t="s">
        <v>78</v>
      </c>
      <c r="H334" t="s">
        <v>252</v>
      </c>
      <c r="I334">
        <v>5</v>
      </c>
      <c r="J334" s="23">
        <f>B334</f>
        <v>0.51724137931034486</v>
      </c>
      <c r="K334">
        <f>5.4/2.9/3.6</f>
        <v>0.51724137931034486</v>
      </c>
      <c r="L334">
        <f>11.9/2.9/3.6</f>
        <v>1.1398467432950192</v>
      </c>
    </row>
    <row r="335" spans="1:13" ht="16" x14ac:dyDescent="0.2">
      <c r="A335" t="s">
        <v>97</v>
      </c>
      <c r="B335">
        <v>1</v>
      </c>
      <c r="C335" t="s">
        <v>8</v>
      </c>
      <c r="D335" t="s">
        <v>6</v>
      </c>
      <c r="F335" t="s">
        <v>16</v>
      </c>
      <c r="G335" s="8" t="s">
        <v>98</v>
      </c>
      <c r="H335" t="s">
        <v>163</v>
      </c>
    </row>
    <row r="336" spans="1:13" x14ac:dyDescent="0.2">
      <c r="A336" t="s">
        <v>39</v>
      </c>
      <c r="B336">
        <v>1</v>
      </c>
      <c r="D336" t="s">
        <v>6</v>
      </c>
      <c r="E336" t="s">
        <v>37</v>
      </c>
      <c r="F336" t="s">
        <v>20</v>
      </c>
      <c r="H336" t="s">
        <v>168</v>
      </c>
    </row>
    <row r="338" spans="1:8" ht="16" x14ac:dyDescent="0.2">
      <c r="A338" s="1" t="s">
        <v>0</v>
      </c>
      <c r="B338" s="1" t="s">
        <v>114</v>
      </c>
    </row>
    <row r="339" spans="1:8" x14ac:dyDescent="0.2">
      <c r="A339" t="s">
        <v>1</v>
      </c>
      <c r="B339">
        <v>1</v>
      </c>
    </row>
    <row r="340" spans="1:8" ht="16" x14ac:dyDescent="0.2">
      <c r="A340" t="s">
        <v>2</v>
      </c>
      <c r="B340" s="7" t="s">
        <v>63</v>
      </c>
    </row>
    <row r="341" spans="1:8" x14ac:dyDescent="0.2">
      <c r="A341" t="s">
        <v>3</v>
      </c>
      <c r="B341" t="s">
        <v>4</v>
      </c>
    </row>
    <row r="342" spans="1:8" x14ac:dyDescent="0.2">
      <c r="A342" t="s">
        <v>5</v>
      </c>
      <c r="B342" t="s">
        <v>5</v>
      </c>
    </row>
    <row r="343" spans="1:8" x14ac:dyDescent="0.2">
      <c r="A343" t="s">
        <v>7</v>
      </c>
      <c r="B343" t="s">
        <v>8</v>
      </c>
    </row>
    <row r="344" spans="1:8" x14ac:dyDescent="0.2">
      <c r="A344" t="s">
        <v>9</v>
      </c>
      <c r="B344" t="s">
        <v>208</v>
      </c>
    </row>
    <row r="345" spans="1:8" x14ac:dyDescent="0.2">
      <c r="A345" t="s">
        <v>18</v>
      </c>
      <c r="B345" s="41" t="s">
        <v>221</v>
      </c>
    </row>
    <row r="346" spans="1:8" ht="16" x14ac:dyDescent="0.2">
      <c r="A346" s="1" t="s">
        <v>10</v>
      </c>
    </row>
    <row r="347" spans="1:8" x14ac:dyDescent="0.2">
      <c r="A347" t="s">
        <v>11</v>
      </c>
      <c r="B347" t="s">
        <v>12</v>
      </c>
      <c r="C347" t="s">
        <v>7</v>
      </c>
      <c r="D347" t="s">
        <v>5</v>
      </c>
      <c r="E347" t="s">
        <v>13</v>
      </c>
      <c r="F347" t="s">
        <v>3</v>
      </c>
      <c r="G347" t="s">
        <v>2</v>
      </c>
      <c r="H347" t="s">
        <v>9</v>
      </c>
    </row>
    <row r="348" spans="1:8" ht="16" x14ac:dyDescent="0.2">
      <c r="A348" t="s">
        <v>114</v>
      </c>
      <c r="B348">
        <v>1</v>
      </c>
      <c r="C348" t="s">
        <v>8</v>
      </c>
      <c r="D348" t="s">
        <v>5</v>
      </c>
      <c r="F348" t="s">
        <v>15</v>
      </c>
      <c r="G348" s="7" t="s">
        <v>63</v>
      </c>
    </row>
    <row r="349" spans="1:8" x14ac:dyDescent="0.2">
      <c r="A349" t="s">
        <v>194</v>
      </c>
      <c r="B349" s="40">
        <v>8000</v>
      </c>
      <c r="C349" t="s">
        <v>21</v>
      </c>
      <c r="D349" t="s">
        <v>49</v>
      </c>
      <c r="F349" t="s">
        <v>16</v>
      </c>
      <c r="G349" t="s">
        <v>196</v>
      </c>
      <c r="H349" t="s">
        <v>118</v>
      </c>
    </row>
    <row r="350" spans="1:8" x14ac:dyDescent="0.2">
      <c r="A350" t="s">
        <v>103</v>
      </c>
      <c r="B350" s="40">
        <v>942000</v>
      </c>
      <c r="C350" t="s">
        <v>17</v>
      </c>
      <c r="D350" t="s">
        <v>6</v>
      </c>
      <c r="F350" t="s">
        <v>16</v>
      </c>
      <c r="G350" t="s">
        <v>33</v>
      </c>
      <c r="H350" t="s">
        <v>118</v>
      </c>
    </row>
    <row r="351" spans="1:8" x14ac:dyDescent="0.2">
      <c r="A351" t="s">
        <v>194</v>
      </c>
      <c r="B351" s="40">
        <v>6000</v>
      </c>
      <c r="C351" t="s">
        <v>21</v>
      </c>
      <c r="D351" t="s">
        <v>49</v>
      </c>
      <c r="F351" t="s">
        <v>16</v>
      </c>
      <c r="G351" t="s">
        <v>196</v>
      </c>
      <c r="H351" t="s">
        <v>119</v>
      </c>
    </row>
    <row r="352" spans="1:8" x14ac:dyDescent="0.2">
      <c r="A352" t="s">
        <v>103</v>
      </c>
      <c r="B352" s="40">
        <v>548000.00000000012</v>
      </c>
      <c r="C352" t="s">
        <v>17</v>
      </c>
      <c r="D352" s="10" t="s">
        <v>6</v>
      </c>
      <c r="F352" t="s">
        <v>16</v>
      </c>
      <c r="G352" t="s">
        <v>33</v>
      </c>
      <c r="H352" t="s">
        <v>119</v>
      </c>
    </row>
    <row r="353" spans="1:8" x14ac:dyDescent="0.2">
      <c r="A353" t="s">
        <v>42</v>
      </c>
      <c r="B353" s="40">
        <v>120000</v>
      </c>
      <c r="C353" t="s">
        <v>17</v>
      </c>
      <c r="D353" s="10" t="s">
        <v>6</v>
      </c>
      <c r="F353" t="s">
        <v>16</v>
      </c>
      <c r="G353" t="s">
        <v>30</v>
      </c>
      <c r="H353" t="s">
        <v>119</v>
      </c>
    </row>
    <row r="354" spans="1:8" x14ac:dyDescent="0.2">
      <c r="A354" t="s">
        <v>115</v>
      </c>
      <c r="B354" s="40">
        <v>16000</v>
      </c>
      <c r="C354" t="s">
        <v>17</v>
      </c>
      <c r="D354" s="10" t="s">
        <v>6</v>
      </c>
      <c r="F354" t="s">
        <v>16</v>
      </c>
      <c r="G354" t="s">
        <v>124</v>
      </c>
      <c r="H354" t="s">
        <v>119</v>
      </c>
    </row>
    <row r="355" spans="1:8" x14ac:dyDescent="0.2">
      <c r="A355" t="s">
        <v>59</v>
      </c>
      <c r="B355" s="40">
        <v>276000.00000000006</v>
      </c>
      <c r="C355" t="s">
        <v>17</v>
      </c>
      <c r="D355" s="10" t="s">
        <v>6</v>
      </c>
      <c r="F355" t="s">
        <v>16</v>
      </c>
      <c r="G355" t="s">
        <v>128</v>
      </c>
      <c r="H355" t="s">
        <v>120</v>
      </c>
    </row>
    <row r="356" spans="1:8" x14ac:dyDescent="0.2">
      <c r="A356" t="s">
        <v>43</v>
      </c>
      <c r="B356" s="40">
        <v>224000</v>
      </c>
      <c r="C356" t="s">
        <v>8</v>
      </c>
      <c r="D356" s="10" t="s">
        <v>6</v>
      </c>
      <c r="F356" t="s">
        <v>16</v>
      </c>
      <c r="G356" t="s">
        <v>50</v>
      </c>
      <c r="H356" t="s">
        <v>120</v>
      </c>
    </row>
    <row r="357" spans="1:8" x14ac:dyDescent="0.2">
      <c r="A357" t="s">
        <v>115</v>
      </c>
      <c r="B357" s="40">
        <v>10000</v>
      </c>
      <c r="C357" t="s">
        <v>17</v>
      </c>
      <c r="D357" s="10" t="s">
        <v>6</v>
      </c>
      <c r="F357" t="s">
        <v>16</v>
      </c>
      <c r="G357" t="s">
        <v>124</v>
      </c>
      <c r="H357" t="s">
        <v>120</v>
      </c>
    </row>
    <row r="358" spans="1:8" x14ac:dyDescent="0.2">
      <c r="A358" t="s">
        <v>116</v>
      </c>
      <c r="B358" s="40">
        <v>12000</v>
      </c>
      <c r="C358" t="s">
        <v>8</v>
      </c>
      <c r="D358" s="10" t="s">
        <v>6</v>
      </c>
      <c r="F358" t="s">
        <v>16</v>
      </c>
      <c r="G358" t="s">
        <v>125</v>
      </c>
      <c r="H358" t="s">
        <v>120</v>
      </c>
    </row>
    <row r="359" spans="1:8" x14ac:dyDescent="0.2">
      <c r="A359" t="s">
        <v>152</v>
      </c>
      <c r="B359" s="40">
        <v>10000</v>
      </c>
      <c r="C359" t="s">
        <v>17</v>
      </c>
      <c r="D359" s="10" t="s">
        <v>6</v>
      </c>
      <c r="F359" t="s">
        <v>16</v>
      </c>
      <c r="G359" t="s">
        <v>153</v>
      </c>
      <c r="H359" t="s">
        <v>120</v>
      </c>
    </row>
    <row r="360" spans="1:8" x14ac:dyDescent="0.2">
      <c r="A360" t="s">
        <v>58</v>
      </c>
      <c r="B360" s="40">
        <v>160000</v>
      </c>
      <c r="C360" t="s">
        <v>17</v>
      </c>
      <c r="D360" s="10" t="s">
        <v>6</v>
      </c>
      <c r="F360" t="s">
        <v>16</v>
      </c>
      <c r="G360" t="s">
        <v>60</v>
      </c>
      <c r="H360" t="s">
        <v>120</v>
      </c>
    </row>
    <row r="361" spans="1:8" x14ac:dyDescent="0.2">
      <c r="A361" t="s">
        <v>117</v>
      </c>
      <c r="B361" s="40">
        <v>10000</v>
      </c>
      <c r="C361" t="s">
        <v>8</v>
      </c>
      <c r="D361" s="10" t="s">
        <v>6</v>
      </c>
      <c r="F361" t="s">
        <v>16</v>
      </c>
      <c r="G361" t="s">
        <v>126</v>
      </c>
      <c r="H361" t="s">
        <v>120</v>
      </c>
    </row>
    <row r="362" spans="1:8" x14ac:dyDescent="0.2">
      <c r="A362" t="s">
        <v>43</v>
      </c>
      <c r="B362" s="40">
        <v>338000</v>
      </c>
      <c r="C362" t="s">
        <v>8</v>
      </c>
      <c r="D362" s="10" t="s">
        <v>6</v>
      </c>
      <c r="F362" t="s">
        <v>16</v>
      </c>
      <c r="G362" t="s">
        <v>50</v>
      </c>
      <c r="H362" t="s">
        <v>122</v>
      </c>
    </row>
    <row r="363" spans="1:8" x14ac:dyDescent="0.2">
      <c r="A363" t="s">
        <v>42</v>
      </c>
      <c r="B363" s="40">
        <v>28000</v>
      </c>
      <c r="C363" t="s">
        <v>17</v>
      </c>
      <c r="D363" s="10" t="s">
        <v>6</v>
      </c>
      <c r="F363" t="s">
        <v>16</v>
      </c>
      <c r="G363" t="s">
        <v>30</v>
      </c>
      <c r="H363" t="s">
        <v>122</v>
      </c>
    </row>
    <row r="364" spans="1:8" x14ac:dyDescent="0.2">
      <c r="A364" t="s">
        <v>121</v>
      </c>
      <c r="B364" s="40">
        <v>94000</v>
      </c>
      <c r="C364" t="s">
        <v>17</v>
      </c>
      <c r="D364" s="10" t="s">
        <v>6</v>
      </c>
      <c r="F364" t="s">
        <v>16</v>
      </c>
      <c r="G364" t="s">
        <v>127</v>
      </c>
      <c r="H364" t="s">
        <v>122</v>
      </c>
    </row>
    <row r="365" spans="1:8" x14ac:dyDescent="0.2">
      <c r="A365" t="s">
        <v>116</v>
      </c>
      <c r="B365" s="40">
        <v>10000</v>
      </c>
      <c r="C365" t="s">
        <v>8</v>
      </c>
      <c r="D365" s="10" t="s">
        <v>6</v>
      </c>
      <c r="F365" t="s">
        <v>16</v>
      </c>
      <c r="G365" t="s">
        <v>125</v>
      </c>
      <c r="H365" t="s">
        <v>122</v>
      </c>
    </row>
    <row r="366" spans="1:8" x14ac:dyDescent="0.2">
      <c r="A366" t="s">
        <v>152</v>
      </c>
      <c r="B366" s="40">
        <v>10000</v>
      </c>
      <c r="C366" t="s">
        <v>17</v>
      </c>
      <c r="D366" s="10" t="s">
        <v>6</v>
      </c>
      <c r="F366" t="s">
        <v>16</v>
      </c>
      <c r="G366" t="s">
        <v>153</v>
      </c>
      <c r="H366" t="s">
        <v>122</v>
      </c>
    </row>
    <row r="367" spans="1:8" x14ac:dyDescent="0.2">
      <c r="A367" t="s">
        <v>43</v>
      </c>
      <c r="B367" s="40">
        <v>22000</v>
      </c>
      <c r="C367" t="s">
        <v>8</v>
      </c>
      <c r="D367" s="10" t="s">
        <v>6</v>
      </c>
      <c r="F367" t="s">
        <v>16</v>
      </c>
      <c r="G367" t="s">
        <v>50</v>
      </c>
      <c r="H367" t="s">
        <v>123</v>
      </c>
    </row>
    <row r="368" spans="1:8" x14ac:dyDescent="0.2">
      <c r="A368" t="s">
        <v>42</v>
      </c>
      <c r="B368" s="40">
        <v>12000</v>
      </c>
      <c r="C368" t="s">
        <v>17</v>
      </c>
      <c r="D368" s="10" t="s">
        <v>6</v>
      </c>
      <c r="F368" t="s">
        <v>16</v>
      </c>
      <c r="G368" t="s">
        <v>30</v>
      </c>
      <c r="H368" t="s">
        <v>123</v>
      </c>
    </row>
    <row r="369" spans="1:19" x14ac:dyDescent="0.2">
      <c r="A369" t="s">
        <v>200</v>
      </c>
      <c r="B369">
        <f>7838*20</f>
        <v>156760</v>
      </c>
      <c r="D369" t="s">
        <v>201</v>
      </c>
      <c r="E369" t="s">
        <v>205</v>
      </c>
      <c r="F369" t="s">
        <v>20</v>
      </c>
      <c r="H369" t="s">
        <v>202</v>
      </c>
    </row>
    <row r="370" spans="1:19" x14ac:dyDescent="0.2">
      <c r="A370" t="s">
        <v>203</v>
      </c>
      <c r="B370">
        <f>7838</f>
        <v>7838</v>
      </c>
      <c r="D370" t="s">
        <v>204</v>
      </c>
      <c r="E370" t="s">
        <v>205</v>
      </c>
      <c r="F370" t="s">
        <v>20</v>
      </c>
      <c r="H370" t="s">
        <v>206</v>
      </c>
    </row>
    <row r="371" spans="1:19" x14ac:dyDescent="0.2">
      <c r="A371" t="s">
        <v>207</v>
      </c>
      <c r="B371">
        <f>7838</f>
        <v>7838</v>
      </c>
      <c r="D371" t="s">
        <v>204</v>
      </c>
      <c r="E371" t="s">
        <v>205</v>
      </c>
      <c r="F371" t="s">
        <v>20</v>
      </c>
      <c r="H371" t="s">
        <v>206</v>
      </c>
    </row>
    <row r="372" spans="1:19" x14ac:dyDescent="0.2">
      <c r="D372" s="10"/>
    </row>
    <row r="373" spans="1:19" ht="16" x14ac:dyDescent="0.2">
      <c r="A373" s="1" t="s">
        <v>0</v>
      </c>
      <c r="B373" s="1" t="s">
        <v>129</v>
      </c>
    </row>
    <row r="374" spans="1:19" x14ac:dyDescent="0.2">
      <c r="A374" t="s">
        <v>1</v>
      </c>
      <c r="B374">
        <v>1</v>
      </c>
    </row>
    <row r="375" spans="1:19" ht="16" x14ac:dyDescent="0.2">
      <c r="A375" t="s">
        <v>2</v>
      </c>
      <c r="B375" s="7" t="s">
        <v>63</v>
      </c>
    </row>
    <row r="376" spans="1:19" x14ac:dyDescent="0.2">
      <c r="A376" t="s">
        <v>3</v>
      </c>
      <c r="B376" t="s">
        <v>4</v>
      </c>
    </row>
    <row r="377" spans="1:19" x14ac:dyDescent="0.2">
      <c r="A377" t="s">
        <v>5</v>
      </c>
      <c r="B377" t="s">
        <v>5</v>
      </c>
    </row>
    <row r="378" spans="1:19" x14ac:dyDescent="0.2">
      <c r="A378" t="s">
        <v>7</v>
      </c>
      <c r="B378" t="s">
        <v>8</v>
      </c>
    </row>
    <row r="379" spans="1:19" x14ac:dyDescent="0.2">
      <c r="A379" t="s">
        <v>9</v>
      </c>
      <c r="B379" t="s">
        <v>113</v>
      </c>
    </row>
    <row r="380" spans="1:19" x14ac:dyDescent="0.2">
      <c r="A380" t="s">
        <v>18</v>
      </c>
      <c r="B380" t="s">
        <v>221</v>
      </c>
    </row>
    <row r="381" spans="1:19" ht="16" x14ac:dyDescent="0.2">
      <c r="A381" s="1" t="s">
        <v>10</v>
      </c>
    </row>
    <row r="382" spans="1:19" x14ac:dyDescent="0.2">
      <c r="A382" t="s">
        <v>11</v>
      </c>
      <c r="B382" t="s">
        <v>12</v>
      </c>
      <c r="C382" t="s">
        <v>7</v>
      </c>
      <c r="D382" t="s">
        <v>5</v>
      </c>
      <c r="E382" t="s">
        <v>13</v>
      </c>
      <c r="F382" t="s">
        <v>3</v>
      </c>
      <c r="G382" t="s">
        <v>2</v>
      </c>
      <c r="H382" t="s">
        <v>9</v>
      </c>
    </row>
    <row r="383" spans="1:19" ht="16" x14ac:dyDescent="0.2">
      <c r="A383" t="s">
        <v>129</v>
      </c>
      <c r="B383">
        <v>-1</v>
      </c>
      <c r="C383" t="s">
        <v>8</v>
      </c>
      <c r="D383" t="s">
        <v>5</v>
      </c>
      <c r="F383" t="s">
        <v>15</v>
      </c>
      <c r="G383" s="7" t="s">
        <v>63</v>
      </c>
    </row>
    <row r="384" spans="1:19" x14ac:dyDescent="0.2">
      <c r="A384" t="s">
        <v>65</v>
      </c>
      <c r="B384" s="11">
        <f>-1*(B349+B351)*2200</f>
        <v>-30800000</v>
      </c>
      <c r="C384" t="s">
        <v>131</v>
      </c>
      <c r="D384" t="s">
        <v>6</v>
      </c>
      <c r="E384" s="11"/>
      <c r="F384" t="s">
        <v>16</v>
      </c>
      <c r="G384" t="s">
        <v>161</v>
      </c>
      <c r="Q384" s="4"/>
      <c r="S384" s="4"/>
    </row>
    <row r="385" spans="1:19" x14ac:dyDescent="0.2">
      <c r="A385" t="s">
        <v>66</v>
      </c>
      <c r="B385">
        <f>-1*(B350+B352+B353+B355+B362+B363+B367+B368)</f>
        <v>-2286000</v>
      </c>
      <c r="C385" t="s">
        <v>21</v>
      </c>
      <c r="D385" t="s">
        <v>6</v>
      </c>
      <c r="F385" t="s">
        <v>16</v>
      </c>
      <c r="G385" t="s">
        <v>160</v>
      </c>
      <c r="Q385" s="3"/>
      <c r="S385" s="3"/>
    </row>
    <row r="386" spans="1:19" x14ac:dyDescent="0.2">
      <c r="A386" t="s">
        <v>67</v>
      </c>
      <c r="B386">
        <f>-1*(B358+B364+B365)</f>
        <v>-116000</v>
      </c>
      <c r="C386" t="s">
        <v>21</v>
      </c>
      <c r="D386" t="s">
        <v>6</v>
      </c>
      <c r="F386" t="s">
        <v>16</v>
      </c>
      <c r="G386" t="s">
        <v>159</v>
      </c>
      <c r="Q386" s="3"/>
      <c r="S386" s="3"/>
    </row>
    <row r="387" spans="1:19" x14ac:dyDescent="0.2">
      <c r="A387" t="s">
        <v>72</v>
      </c>
      <c r="B387">
        <f>-1*(B360)</f>
        <v>-160000</v>
      </c>
      <c r="C387" t="s">
        <v>8</v>
      </c>
      <c r="D387" t="s">
        <v>6</v>
      </c>
      <c r="F387" t="s">
        <v>16</v>
      </c>
      <c r="G387" t="s">
        <v>60</v>
      </c>
    </row>
    <row r="388" spans="1:19" x14ac:dyDescent="0.2">
      <c r="A388" t="s">
        <v>110</v>
      </c>
      <c r="B388">
        <f>-1*(B359+B366)</f>
        <v>-20000</v>
      </c>
      <c r="C388" t="s">
        <v>131</v>
      </c>
      <c r="D388" t="s">
        <v>6</v>
      </c>
      <c r="F388" t="s">
        <v>16</v>
      </c>
      <c r="G388" t="s">
        <v>151</v>
      </c>
    </row>
    <row r="389" spans="1:19" x14ac:dyDescent="0.2">
      <c r="A389" t="s">
        <v>130</v>
      </c>
      <c r="B389">
        <f>-1*(B357+B354)</f>
        <v>-26000</v>
      </c>
      <c r="C389" t="s">
        <v>131</v>
      </c>
      <c r="D389" t="s">
        <v>6</v>
      </c>
      <c r="F389" t="s">
        <v>16</v>
      </c>
      <c r="G389" t="s">
        <v>150</v>
      </c>
    </row>
    <row r="390" spans="1:19" ht="16" x14ac:dyDescent="0.2">
      <c r="G390" s="7"/>
    </row>
    <row r="391" spans="1:19" ht="16" x14ac:dyDescent="0.2">
      <c r="A391" s="1" t="s">
        <v>0</v>
      </c>
      <c r="B391" s="1" t="s">
        <v>79</v>
      </c>
    </row>
    <row r="392" spans="1:19" x14ac:dyDescent="0.2">
      <c r="A392" t="s">
        <v>1</v>
      </c>
      <c r="B392">
        <v>1</v>
      </c>
    </row>
    <row r="393" spans="1:19" ht="16" x14ac:dyDescent="0.2">
      <c r="A393" t="s">
        <v>2</v>
      </c>
      <c r="B393" s="7" t="s">
        <v>80</v>
      </c>
    </row>
    <row r="394" spans="1:19" x14ac:dyDescent="0.2">
      <c r="A394" t="s">
        <v>3</v>
      </c>
      <c r="B394" t="s">
        <v>4</v>
      </c>
    </row>
    <row r="395" spans="1:19" x14ac:dyDescent="0.2">
      <c r="A395" t="s">
        <v>5</v>
      </c>
      <c r="B395" t="s">
        <v>6</v>
      </c>
    </row>
    <row r="396" spans="1:19" x14ac:dyDescent="0.2">
      <c r="A396" t="s">
        <v>7</v>
      </c>
      <c r="B396" t="s">
        <v>8</v>
      </c>
    </row>
    <row r="397" spans="1:19" x14ac:dyDescent="0.2">
      <c r="A397" t="s">
        <v>9</v>
      </c>
      <c r="B397" t="s">
        <v>170</v>
      </c>
    </row>
    <row r="398" spans="1:19" x14ac:dyDescent="0.2">
      <c r="A398" t="s">
        <v>18</v>
      </c>
      <c r="B398" t="s">
        <v>213</v>
      </c>
    </row>
    <row r="399" spans="1:19" ht="16" x14ac:dyDescent="0.2">
      <c r="A399" s="1" t="s">
        <v>10</v>
      </c>
    </row>
    <row r="400" spans="1:19" x14ac:dyDescent="0.2">
      <c r="A400" t="s">
        <v>11</v>
      </c>
      <c r="B400" t="s">
        <v>12</v>
      </c>
      <c r="C400" t="s">
        <v>7</v>
      </c>
      <c r="D400" t="s">
        <v>5</v>
      </c>
      <c r="E400" t="s">
        <v>13</v>
      </c>
      <c r="F400" t="s">
        <v>3</v>
      </c>
      <c r="G400" t="s">
        <v>2</v>
      </c>
      <c r="H400" t="s">
        <v>9</v>
      </c>
    </row>
    <row r="401" spans="1:13" ht="16" x14ac:dyDescent="0.2">
      <c r="A401" t="s">
        <v>79</v>
      </c>
      <c r="B401">
        <v>1</v>
      </c>
      <c r="C401" t="s">
        <v>8</v>
      </c>
      <c r="D401" t="s">
        <v>6</v>
      </c>
      <c r="F401" t="s">
        <v>15</v>
      </c>
      <c r="G401" s="7" t="s">
        <v>80</v>
      </c>
    </row>
    <row r="402" spans="1:13" ht="16" x14ac:dyDescent="0.2">
      <c r="A402" t="s">
        <v>211</v>
      </c>
      <c r="B402">
        <v>0.36</v>
      </c>
      <c r="C402" t="s">
        <v>8</v>
      </c>
      <c r="D402" t="s">
        <v>6</v>
      </c>
      <c r="F402" t="s">
        <v>16</v>
      </c>
      <c r="G402" s="7" t="s">
        <v>212</v>
      </c>
      <c r="H402" t="s">
        <v>96</v>
      </c>
    </row>
    <row r="403" spans="1:13" ht="16" x14ac:dyDescent="0.2">
      <c r="A403" t="s">
        <v>217</v>
      </c>
      <c r="B403">
        <v>0.64</v>
      </c>
      <c r="C403" t="s">
        <v>8</v>
      </c>
      <c r="D403" t="s">
        <v>6</v>
      </c>
      <c r="F403" t="s">
        <v>16</v>
      </c>
      <c r="G403" s="7" t="s">
        <v>218</v>
      </c>
      <c r="H403" t="s">
        <v>95</v>
      </c>
    </row>
    <row r="404" spans="1:13" x14ac:dyDescent="0.2">
      <c r="A404" t="s">
        <v>25</v>
      </c>
      <c r="B404">
        <v>-1</v>
      </c>
      <c r="C404" t="s">
        <v>26</v>
      </c>
      <c r="D404" t="s">
        <v>6</v>
      </c>
      <c r="F404" t="s">
        <v>16</v>
      </c>
      <c r="G404" t="s">
        <v>27</v>
      </c>
      <c r="H404" t="s">
        <v>76</v>
      </c>
    </row>
    <row r="405" spans="1:13" ht="16" x14ac:dyDescent="0.2">
      <c r="A405" s="2"/>
      <c r="J405" s="2"/>
    </row>
    <row r="406" spans="1:13" ht="16" x14ac:dyDescent="0.2">
      <c r="A406" s="1" t="s">
        <v>0</v>
      </c>
      <c r="B406" s="1" t="s">
        <v>211</v>
      </c>
    </row>
    <row r="407" spans="1:13" x14ac:dyDescent="0.2">
      <c r="A407" t="s">
        <v>1</v>
      </c>
      <c r="B407">
        <v>1</v>
      </c>
    </row>
    <row r="408" spans="1:13" ht="16" x14ac:dyDescent="0.2">
      <c r="A408" t="s">
        <v>2</v>
      </c>
      <c r="B408" s="22" t="s">
        <v>212</v>
      </c>
    </row>
    <row r="409" spans="1:13" x14ac:dyDescent="0.2">
      <c r="A409" t="s">
        <v>3</v>
      </c>
      <c r="B409" t="s">
        <v>4</v>
      </c>
    </row>
    <row r="410" spans="1:13" x14ac:dyDescent="0.2">
      <c r="A410" t="s">
        <v>5</v>
      </c>
      <c r="B410" t="s">
        <v>6</v>
      </c>
    </row>
    <row r="411" spans="1:13" x14ac:dyDescent="0.2">
      <c r="A411" t="s">
        <v>7</v>
      </c>
      <c r="B411" t="s">
        <v>8</v>
      </c>
    </row>
    <row r="412" spans="1:13" x14ac:dyDescent="0.2">
      <c r="A412" t="s">
        <v>9</v>
      </c>
      <c r="B412" t="s">
        <v>214</v>
      </c>
    </row>
    <row r="413" spans="1:13" x14ac:dyDescent="0.2">
      <c r="A413" t="s">
        <v>18</v>
      </c>
      <c r="B413" t="s">
        <v>213</v>
      </c>
    </row>
    <row r="414" spans="1:13" ht="16" x14ac:dyDescent="0.2">
      <c r="A414" s="1" t="s">
        <v>10</v>
      </c>
    </row>
    <row r="415" spans="1:13" x14ac:dyDescent="0.2">
      <c r="A415" s="5" t="s">
        <v>11</v>
      </c>
      <c r="B415" s="5" t="s">
        <v>12</v>
      </c>
      <c r="C415" s="5" t="s">
        <v>7</v>
      </c>
      <c r="D415" s="5" t="s">
        <v>5</v>
      </c>
      <c r="E415" s="5" t="s">
        <v>13</v>
      </c>
      <c r="F415" s="5" t="s">
        <v>3</v>
      </c>
      <c r="G415" s="5" t="s">
        <v>2</v>
      </c>
      <c r="H415" s="5" t="s">
        <v>9</v>
      </c>
      <c r="I415" s="5" t="s">
        <v>172</v>
      </c>
      <c r="J415" s="5" t="s">
        <v>173</v>
      </c>
      <c r="K415" s="5" t="s">
        <v>215</v>
      </c>
      <c r="L415" s="5" t="s">
        <v>216</v>
      </c>
      <c r="M415" s="5" t="s">
        <v>182</v>
      </c>
    </row>
    <row r="416" spans="1:13" ht="16" x14ac:dyDescent="0.2">
      <c r="A416" t="str">
        <f>B406</f>
        <v>polyethyleneimine (PEI) production, for sorbent-based direct air capture system</v>
      </c>
      <c r="B416">
        <v>1</v>
      </c>
      <c r="C416" t="s">
        <v>8</v>
      </c>
      <c r="D416" t="s">
        <v>6</v>
      </c>
      <c r="F416" t="s">
        <v>15</v>
      </c>
      <c r="G416" s="7" t="str">
        <f>B408</f>
        <v>polyethyleneimine</v>
      </c>
    </row>
    <row r="417" spans="1:13" x14ac:dyDescent="0.2">
      <c r="A417" t="s">
        <v>90</v>
      </c>
      <c r="B417" s="38">
        <f t="shared" ref="B417:B427" si="0">AVERAGE(K417:L417)</f>
        <v>1.9749999999999999</v>
      </c>
      <c r="C417" t="s">
        <v>17</v>
      </c>
      <c r="D417" t="s">
        <v>6</v>
      </c>
      <c r="F417" t="s">
        <v>16</v>
      </c>
      <c r="G417" t="s">
        <v>141</v>
      </c>
      <c r="I417">
        <v>5</v>
      </c>
      <c r="J417">
        <f>B417</f>
        <v>1.9749999999999999</v>
      </c>
      <c r="K417">
        <v>1.42</v>
      </c>
      <c r="L417">
        <v>2.5299999999999998</v>
      </c>
    </row>
    <row r="418" spans="1:13" x14ac:dyDescent="0.2">
      <c r="A418" t="s">
        <v>82</v>
      </c>
      <c r="B418">
        <f t="shared" si="0"/>
        <v>3.1749999999999998</v>
      </c>
      <c r="C418" t="s">
        <v>26</v>
      </c>
      <c r="D418" t="s">
        <v>6</v>
      </c>
      <c r="F418" t="s">
        <v>16</v>
      </c>
      <c r="G418" t="s">
        <v>87</v>
      </c>
      <c r="I418">
        <v>5</v>
      </c>
      <c r="J418">
        <f t="shared" ref="J418:J427" si="1">B418</f>
        <v>3.1749999999999998</v>
      </c>
      <c r="K418">
        <v>2.2799999999999998</v>
      </c>
      <c r="L418">
        <v>4.07</v>
      </c>
    </row>
    <row r="419" spans="1:13" x14ac:dyDescent="0.2">
      <c r="A419" t="s">
        <v>91</v>
      </c>
      <c r="B419">
        <f t="shared" si="0"/>
        <v>2.59</v>
      </c>
      <c r="C419" t="s">
        <v>17</v>
      </c>
      <c r="D419" t="s">
        <v>6</v>
      </c>
      <c r="F419" t="s">
        <v>16</v>
      </c>
      <c r="G419" t="s">
        <v>142</v>
      </c>
      <c r="I419">
        <v>5</v>
      </c>
      <c r="J419">
        <f t="shared" si="1"/>
        <v>2.59</v>
      </c>
      <c r="K419">
        <v>1.86</v>
      </c>
      <c r="L419">
        <v>3.32</v>
      </c>
    </row>
    <row r="420" spans="1:13" x14ac:dyDescent="0.2">
      <c r="A420" t="s">
        <v>92</v>
      </c>
      <c r="B420">
        <f t="shared" si="0"/>
        <v>0.19500000000000001</v>
      </c>
      <c r="C420" t="s">
        <v>26</v>
      </c>
      <c r="D420" t="s">
        <v>6</v>
      </c>
      <c r="F420" t="s">
        <v>16</v>
      </c>
      <c r="G420" t="s">
        <v>143</v>
      </c>
      <c r="I420">
        <v>5</v>
      </c>
      <c r="J420">
        <f t="shared" si="1"/>
        <v>0.19500000000000001</v>
      </c>
      <c r="K420">
        <v>0.16</v>
      </c>
      <c r="L420">
        <v>0.23</v>
      </c>
    </row>
    <row r="421" spans="1:13" x14ac:dyDescent="0.2">
      <c r="A421" t="s">
        <v>91</v>
      </c>
      <c r="B421">
        <f t="shared" si="0"/>
        <v>0.19500000000000001</v>
      </c>
      <c r="C421" t="s">
        <v>17</v>
      </c>
      <c r="D421" t="s">
        <v>6</v>
      </c>
      <c r="F421" t="s">
        <v>16</v>
      </c>
      <c r="G421" t="s">
        <v>142</v>
      </c>
      <c r="I421">
        <v>5</v>
      </c>
      <c r="J421">
        <f t="shared" si="1"/>
        <v>0.19500000000000001</v>
      </c>
      <c r="K421">
        <v>0.16</v>
      </c>
      <c r="L421">
        <v>0.23</v>
      </c>
    </row>
    <row r="422" spans="1:13" x14ac:dyDescent="0.2">
      <c r="A422" t="s">
        <v>93</v>
      </c>
      <c r="B422">
        <f t="shared" si="0"/>
        <v>0.11570000000000008</v>
      </c>
      <c r="C422" t="s">
        <v>17</v>
      </c>
      <c r="D422" t="s">
        <v>6</v>
      </c>
      <c r="F422" t="s">
        <v>16</v>
      </c>
      <c r="G422" t="s">
        <v>144</v>
      </c>
      <c r="H422" t="s">
        <v>220</v>
      </c>
      <c r="I422">
        <v>5</v>
      </c>
      <c r="J422">
        <f t="shared" si="1"/>
        <v>0.11570000000000008</v>
      </c>
      <c r="K422">
        <f>2.84*(1-99%)</f>
        <v>2.8400000000000022E-2</v>
      </c>
      <c r="L422">
        <f>4.06*(1-95%)</f>
        <v>0.20300000000000015</v>
      </c>
    </row>
    <row r="423" spans="1:13" x14ac:dyDescent="0.2">
      <c r="A423" t="s">
        <v>94</v>
      </c>
      <c r="B423">
        <f t="shared" si="0"/>
        <v>1.3817000000000013</v>
      </c>
      <c r="C423" t="s">
        <v>26</v>
      </c>
      <c r="D423" t="s">
        <v>6</v>
      </c>
      <c r="F423" t="s">
        <v>16</v>
      </c>
      <c r="G423" t="s">
        <v>145</v>
      </c>
      <c r="H423" t="s">
        <v>220</v>
      </c>
      <c r="I423">
        <v>5</v>
      </c>
      <c r="J423">
        <f t="shared" si="1"/>
        <v>1.3817000000000013</v>
      </c>
      <c r="K423">
        <f>33.94*(1-99%)</f>
        <v>0.33940000000000026</v>
      </c>
      <c r="L423">
        <f>48.48*(1-95%)</f>
        <v>2.4240000000000022</v>
      </c>
    </row>
    <row r="424" spans="1:13" x14ac:dyDescent="0.2">
      <c r="A424" t="s">
        <v>84</v>
      </c>
      <c r="B424">
        <f t="shared" si="0"/>
        <v>14.559999999999999</v>
      </c>
      <c r="C424" t="s">
        <v>26</v>
      </c>
      <c r="D424" t="s">
        <v>6</v>
      </c>
      <c r="F424" t="s">
        <v>16</v>
      </c>
      <c r="G424" t="s">
        <v>89</v>
      </c>
      <c r="I424">
        <v>5</v>
      </c>
      <c r="J424">
        <f t="shared" si="1"/>
        <v>14.559999999999999</v>
      </c>
      <c r="K424">
        <v>11.99</v>
      </c>
      <c r="L424">
        <v>17.13</v>
      </c>
    </row>
    <row r="425" spans="1:13" x14ac:dyDescent="0.2">
      <c r="A425" t="s">
        <v>34</v>
      </c>
      <c r="B425">
        <f t="shared" si="0"/>
        <v>0.34499999999999997</v>
      </c>
      <c r="C425" t="s">
        <v>8</v>
      </c>
      <c r="D425" t="s">
        <v>23</v>
      </c>
      <c r="F425" t="s">
        <v>16</v>
      </c>
      <c r="G425" t="s">
        <v>24</v>
      </c>
      <c r="I425">
        <v>5</v>
      </c>
      <c r="J425">
        <f t="shared" si="1"/>
        <v>0.34499999999999997</v>
      </c>
      <c r="K425">
        <v>0.27</v>
      </c>
      <c r="L425">
        <v>0.42</v>
      </c>
    </row>
    <row r="426" spans="1:13" x14ac:dyDescent="0.2">
      <c r="A426" t="s">
        <v>83</v>
      </c>
      <c r="B426">
        <f t="shared" si="0"/>
        <v>7.4749999999999996</v>
      </c>
      <c r="C426" t="s">
        <v>131</v>
      </c>
      <c r="D426" t="s">
        <v>22</v>
      </c>
      <c r="F426" t="s">
        <v>16</v>
      </c>
      <c r="G426" t="s">
        <v>88</v>
      </c>
      <c r="I426">
        <v>5</v>
      </c>
      <c r="J426">
        <f t="shared" si="1"/>
        <v>7.4749999999999996</v>
      </c>
      <c r="K426">
        <v>2.35</v>
      </c>
      <c r="L426">
        <v>12.6</v>
      </c>
    </row>
    <row r="427" spans="1:13" x14ac:dyDescent="0.2">
      <c r="A427" t="s">
        <v>73</v>
      </c>
      <c r="B427">
        <f t="shared" si="0"/>
        <v>-1.5</v>
      </c>
      <c r="C427" t="s">
        <v>131</v>
      </c>
      <c r="D427" t="s">
        <v>6</v>
      </c>
      <c r="F427" t="s">
        <v>16</v>
      </c>
      <c r="G427" t="s">
        <v>140</v>
      </c>
      <c r="I427">
        <v>5</v>
      </c>
      <c r="J427">
        <f t="shared" si="1"/>
        <v>-1.5</v>
      </c>
      <c r="K427">
        <v>-2.63</v>
      </c>
      <c r="L427">
        <v>-0.37</v>
      </c>
      <c r="M427" t="b">
        <v>1</v>
      </c>
    </row>
    <row r="428" spans="1:13" ht="16" x14ac:dyDescent="0.2">
      <c r="A428" s="2"/>
      <c r="J428" s="2"/>
    </row>
    <row r="429" spans="1:13" ht="16" x14ac:dyDescent="0.2">
      <c r="A429" s="1" t="s">
        <v>0</v>
      </c>
      <c r="B429" s="1" t="s">
        <v>217</v>
      </c>
    </row>
    <row r="430" spans="1:13" x14ac:dyDescent="0.2">
      <c r="A430" t="s">
        <v>1</v>
      </c>
      <c r="B430">
        <v>1</v>
      </c>
    </row>
    <row r="431" spans="1:13" ht="16" x14ac:dyDescent="0.2">
      <c r="A431" t="s">
        <v>2</v>
      </c>
      <c r="B431" s="22" t="s">
        <v>218</v>
      </c>
    </row>
    <row r="432" spans="1:13" x14ac:dyDescent="0.2">
      <c r="A432" t="s">
        <v>3</v>
      </c>
      <c r="B432" t="s">
        <v>4</v>
      </c>
    </row>
    <row r="433" spans="1:19" x14ac:dyDescent="0.2">
      <c r="A433" t="s">
        <v>5</v>
      </c>
      <c r="B433" t="s">
        <v>6</v>
      </c>
    </row>
    <row r="434" spans="1:19" x14ac:dyDescent="0.2">
      <c r="A434" t="s">
        <v>7</v>
      </c>
      <c r="B434" t="s">
        <v>8</v>
      </c>
    </row>
    <row r="435" spans="1:19" x14ac:dyDescent="0.2">
      <c r="A435" t="s">
        <v>9</v>
      </c>
      <c r="B435" t="s">
        <v>219</v>
      </c>
    </row>
    <row r="436" spans="1:19" x14ac:dyDescent="0.2">
      <c r="A436" t="s">
        <v>18</v>
      </c>
      <c r="B436" t="s">
        <v>213</v>
      </c>
    </row>
    <row r="437" spans="1:19" ht="16" x14ac:dyDescent="0.2">
      <c r="A437" s="1" t="s">
        <v>10</v>
      </c>
    </row>
    <row r="438" spans="1:19" x14ac:dyDescent="0.2">
      <c r="A438" s="5" t="s">
        <v>11</v>
      </c>
      <c r="B438" s="5" t="s">
        <v>12</v>
      </c>
      <c r="C438" s="5" t="s">
        <v>7</v>
      </c>
      <c r="D438" s="5" t="s">
        <v>5</v>
      </c>
      <c r="E438" s="5" t="s">
        <v>13</v>
      </c>
      <c r="F438" s="5" t="s">
        <v>3</v>
      </c>
      <c r="G438" s="5" t="s">
        <v>2</v>
      </c>
      <c r="H438" s="5" t="s">
        <v>9</v>
      </c>
      <c r="I438" s="5" t="s">
        <v>172</v>
      </c>
      <c r="J438" s="5" t="s">
        <v>173</v>
      </c>
      <c r="K438" s="5" t="s">
        <v>215</v>
      </c>
      <c r="L438" s="5" t="s">
        <v>216</v>
      </c>
    </row>
    <row r="439" spans="1:19" ht="16" x14ac:dyDescent="0.2">
      <c r="A439" t="str">
        <f>B429</f>
        <v>silica gel production, for sorbent-based direct air capture system</v>
      </c>
      <c r="B439">
        <v>1</v>
      </c>
      <c r="C439" t="s">
        <v>8</v>
      </c>
      <c r="D439" t="s">
        <v>6</v>
      </c>
      <c r="F439" t="s">
        <v>15</v>
      </c>
      <c r="G439" s="7" t="str">
        <f>B431</f>
        <v>silica gel</v>
      </c>
    </row>
    <row r="440" spans="1:19" x14ac:dyDescent="0.2">
      <c r="A440" t="s">
        <v>81</v>
      </c>
      <c r="B440">
        <v>3.9</v>
      </c>
      <c r="C440" t="s">
        <v>26</v>
      </c>
      <c r="D440" t="s">
        <v>6</v>
      </c>
      <c r="F440" t="s">
        <v>16</v>
      </c>
      <c r="G440" t="s">
        <v>86</v>
      </c>
      <c r="Q440" s="4"/>
      <c r="S440" s="4"/>
    </row>
    <row r="441" spans="1:19" x14ac:dyDescent="0.2">
      <c r="A441" t="s">
        <v>82</v>
      </c>
      <c r="B441">
        <v>0.66</v>
      </c>
      <c r="C441" t="s">
        <v>26</v>
      </c>
      <c r="D441" t="s">
        <v>6</v>
      </c>
      <c r="F441" t="s">
        <v>16</v>
      </c>
      <c r="G441" t="s">
        <v>87</v>
      </c>
    </row>
    <row r="442" spans="1:19" x14ac:dyDescent="0.2">
      <c r="A442" t="s">
        <v>83</v>
      </c>
      <c r="B442">
        <v>19.5</v>
      </c>
      <c r="C442" t="s">
        <v>26</v>
      </c>
      <c r="D442" t="s">
        <v>22</v>
      </c>
      <c r="F442" t="s">
        <v>16</v>
      </c>
      <c r="G442" t="s">
        <v>88</v>
      </c>
      <c r="I442">
        <v>5</v>
      </c>
      <c r="J442">
        <f>B442</f>
        <v>19.5</v>
      </c>
      <c r="K442">
        <v>15</v>
      </c>
      <c r="L442">
        <v>24</v>
      </c>
    </row>
    <row r="443" spans="1:19" x14ac:dyDescent="0.2">
      <c r="A443" t="s">
        <v>84</v>
      </c>
      <c r="B443">
        <v>40</v>
      </c>
      <c r="C443" t="s">
        <v>26</v>
      </c>
      <c r="D443" t="s">
        <v>6</v>
      </c>
      <c r="F443" t="s">
        <v>16</v>
      </c>
      <c r="G443" t="s">
        <v>89</v>
      </c>
    </row>
    <row r="444" spans="1:19" ht="16" x14ac:dyDescent="0.2">
      <c r="A444" t="s">
        <v>195</v>
      </c>
      <c r="B444">
        <f>-35/1000</f>
        <v>-3.5000000000000003E-2</v>
      </c>
      <c r="C444" t="s">
        <v>26</v>
      </c>
      <c r="D444" t="s">
        <v>49</v>
      </c>
      <c r="F444" t="s">
        <v>16</v>
      </c>
      <c r="G444" t="s">
        <v>149</v>
      </c>
      <c r="M444" s="2"/>
    </row>
    <row r="445" spans="1:19" x14ac:dyDescent="0.2">
      <c r="A445" t="s">
        <v>148</v>
      </c>
      <c r="B445" s="6">
        <v>1.2999999999999999E-3</v>
      </c>
      <c r="D445" t="s">
        <v>6</v>
      </c>
      <c r="E445" t="s">
        <v>85</v>
      </c>
      <c r="F445" t="s">
        <v>20</v>
      </c>
    </row>
    <row r="446" spans="1:19" ht="16" x14ac:dyDescent="0.2">
      <c r="A446" s="2"/>
      <c r="J446" s="2"/>
    </row>
    <row r="447" spans="1:19" ht="16" x14ac:dyDescent="0.2">
      <c r="A447" s="1" t="s">
        <v>0</v>
      </c>
      <c r="B447" s="1" t="s">
        <v>97</v>
      </c>
    </row>
    <row r="448" spans="1:19" x14ac:dyDescent="0.2">
      <c r="A448" t="s">
        <v>1</v>
      </c>
      <c r="B448">
        <v>1</v>
      </c>
    </row>
    <row r="449" spans="1:10" ht="16" x14ac:dyDescent="0.2">
      <c r="A449" t="s">
        <v>2</v>
      </c>
      <c r="B449" s="8" t="s">
        <v>98</v>
      </c>
    </row>
    <row r="450" spans="1:10" x14ac:dyDescent="0.2">
      <c r="A450" t="s">
        <v>3</v>
      </c>
      <c r="B450" t="s">
        <v>4</v>
      </c>
    </row>
    <row r="451" spans="1:10" x14ac:dyDescent="0.2">
      <c r="A451" t="s">
        <v>5</v>
      </c>
      <c r="B451" t="s">
        <v>6</v>
      </c>
    </row>
    <row r="452" spans="1:10" x14ac:dyDescent="0.2">
      <c r="A452" t="s">
        <v>7</v>
      </c>
      <c r="B452" t="s">
        <v>8</v>
      </c>
    </row>
    <row r="453" spans="1:10" x14ac:dyDescent="0.2">
      <c r="A453" t="s">
        <v>9</v>
      </c>
      <c r="B453" t="s">
        <v>99</v>
      </c>
    </row>
    <row r="454" spans="1:10" x14ac:dyDescent="0.2">
      <c r="A454" t="s">
        <v>18</v>
      </c>
      <c r="B454" t="s">
        <v>40</v>
      </c>
    </row>
    <row r="455" spans="1:10" ht="16" x14ac:dyDescent="0.2">
      <c r="A455" s="1" t="s">
        <v>10</v>
      </c>
    </row>
    <row r="456" spans="1:10" x14ac:dyDescent="0.2">
      <c r="A456" t="s">
        <v>11</v>
      </c>
      <c r="B456" t="s">
        <v>12</v>
      </c>
      <c r="C456" t="s">
        <v>7</v>
      </c>
      <c r="D456" t="s">
        <v>5</v>
      </c>
      <c r="E456" t="s">
        <v>13</v>
      </c>
      <c r="F456" t="s">
        <v>3</v>
      </c>
      <c r="G456" t="s">
        <v>2</v>
      </c>
      <c r="H456" t="s">
        <v>9</v>
      </c>
    </row>
    <row r="457" spans="1:10" ht="16" x14ac:dyDescent="0.2">
      <c r="A457" t="s">
        <v>97</v>
      </c>
      <c r="B457">
        <v>1</v>
      </c>
      <c r="C457" t="s">
        <v>8</v>
      </c>
      <c r="D457" t="s">
        <v>6</v>
      </c>
      <c r="F457" t="s">
        <v>15</v>
      </c>
      <c r="G457" s="8" t="s">
        <v>98</v>
      </c>
    </row>
    <row r="458" spans="1:10" x14ac:dyDescent="0.2">
      <c r="A458" t="s">
        <v>194</v>
      </c>
      <c r="B458">
        <v>9.9999999999999986E-10</v>
      </c>
      <c r="C458" t="s">
        <v>21</v>
      </c>
      <c r="D458" t="s">
        <v>49</v>
      </c>
      <c r="F458" t="s">
        <v>16</v>
      </c>
      <c r="G458" t="s">
        <v>196</v>
      </c>
      <c r="H458" t="s">
        <v>101</v>
      </c>
    </row>
    <row r="459" spans="1:10" x14ac:dyDescent="0.2">
      <c r="A459" t="s">
        <v>152</v>
      </c>
      <c r="B459">
        <v>1.0000000000000001E-7</v>
      </c>
      <c r="C459" t="s">
        <v>17</v>
      </c>
      <c r="D459" t="s">
        <v>6</v>
      </c>
      <c r="F459" t="s">
        <v>16</v>
      </c>
      <c r="G459" t="s">
        <v>153</v>
      </c>
      <c r="H459" t="s">
        <v>101</v>
      </c>
    </row>
    <row r="460" spans="1:10" x14ac:dyDescent="0.2">
      <c r="A460" t="s">
        <v>42</v>
      </c>
      <c r="B460">
        <v>9.9999999999999995E-7</v>
      </c>
      <c r="C460" t="s">
        <v>17</v>
      </c>
      <c r="D460" t="s">
        <v>6</v>
      </c>
      <c r="F460" t="s">
        <v>16</v>
      </c>
      <c r="G460" t="s">
        <v>30</v>
      </c>
      <c r="H460" t="s">
        <v>101</v>
      </c>
    </row>
    <row r="461" spans="1:10" x14ac:dyDescent="0.2">
      <c r="A461" t="s">
        <v>100</v>
      </c>
      <c r="B461">
        <v>2.9999999999999999E-7</v>
      </c>
      <c r="C461" t="s">
        <v>17</v>
      </c>
      <c r="D461" t="s">
        <v>6</v>
      </c>
      <c r="F461" t="s">
        <v>16</v>
      </c>
      <c r="G461" t="s">
        <v>134</v>
      </c>
      <c r="H461" t="s">
        <v>101</v>
      </c>
    </row>
    <row r="462" spans="1:10" x14ac:dyDescent="0.2">
      <c r="A462" t="s">
        <v>146</v>
      </c>
      <c r="B462">
        <v>3.1999999999999999E-5</v>
      </c>
      <c r="C462" t="s">
        <v>17</v>
      </c>
      <c r="D462" t="s">
        <v>22</v>
      </c>
      <c r="F462" t="s">
        <v>16</v>
      </c>
      <c r="G462" t="s">
        <v>147</v>
      </c>
      <c r="H462" t="s">
        <v>101</v>
      </c>
    </row>
    <row r="463" spans="1:10" x14ac:dyDescent="0.2">
      <c r="A463" t="s">
        <v>77</v>
      </c>
      <c r="B463">
        <v>9.9999999999999995E-7</v>
      </c>
      <c r="C463" t="s">
        <v>8</v>
      </c>
      <c r="D463" t="s">
        <v>23</v>
      </c>
      <c r="F463" t="s">
        <v>16</v>
      </c>
      <c r="G463" t="s">
        <v>78</v>
      </c>
      <c r="H463" t="s">
        <v>101</v>
      </c>
    </row>
    <row r="464" spans="1:10" ht="16" x14ac:dyDescent="0.2">
      <c r="A464" t="s">
        <v>102</v>
      </c>
      <c r="B464">
        <v>1.0400000000000001E-3</v>
      </c>
      <c r="C464" t="s">
        <v>21</v>
      </c>
      <c r="D464" s="10" t="s">
        <v>6</v>
      </c>
      <c r="F464" t="s">
        <v>16</v>
      </c>
      <c r="G464" t="s">
        <v>132</v>
      </c>
      <c r="H464" t="s">
        <v>107</v>
      </c>
      <c r="J464" s="2"/>
    </row>
    <row r="465" spans="1:10" x14ac:dyDescent="0.2">
      <c r="A465" t="s">
        <v>103</v>
      </c>
      <c r="B465">
        <v>1.3000000000000002E-4</v>
      </c>
      <c r="C465" t="s">
        <v>17</v>
      </c>
      <c r="D465" s="10" t="s">
        <v>6</v>
      </c>
      <c r="F465" t="s">
        <v>16</v>
      </c>
      <c r="G465" t="s">
        <v>33</v>
      </c>
      <c r="H465" t="s">
        <v>107</v>
      </c>
    </row>
    <row r="466" spans="1:10" x14ac:dyDescent="0.2">
      <c r="A466" t="s">
        <v>104</v>
      </c>
      <c r="B466">
        <v>1.3000000000000002E-4</v>
      </c>
      <c r="C466" t="s">
        <v>17</v>
      </c>
      <c r="D466" s="10" t="s">
        <v>6</v>
      </c>
      <c r="F466" t="s">
        <v>16</v>
      </c>
      <c r="G466" t="s">
        <v>135</v>
      </c>
      <c r="H466" t="s">
        <v>107</v>
      </c>
    </row>
    <row r="467" spans="1:10" x14ac:dyDescent="0.2">
      <c r="A467" t="s">
        <v>105</v>
      </c>
      <c r="B467">
        <v>1.1999999999999999E-6</v>
      </c>
      <c r="C467" t="s">
        <v>17</v>
      </c>
      <c r="D467" s="10" t="s">
        <v>6</v>
      </c>
      <c r="F467" t="s">
        <v>16</v>
      </c>
      <c r="G467" t="s">
        <v>136</v>
      </c>
      <c r="H467" t="s">
        <v>107</v>
      </c>
    </row>
    <row r="468" spans="1:10" x14ac:dyDescent="0.2">
      <c r="A468" t="s">
        <v>100</v>
      </c>
      <c r="B468">
        <v>2.5000000000000002E-6</v>
      </c>
      <c r="C468" t="s">
        <v>17</v>
      </c>
      <c r="D468" s="10" t="s">
        <v>6</v>
      </c>
      <c r="F468" t="s">
        <v>16</v>
      </c>
      <c r="G468" t="s">
        <v>134</v>
      </c>
      <c r="H468" t="s">
        <v>107</v>
      </c>
    </row>
    <row r="469" spans="1:10" x14ac:dyDescent="0.2">
      <c r="A469" t="s">
        <v>146</v>
      </c>
      <c r="B469">
        <v>1.8E-3</v>
      </c>
      <c r="C469" t="s">
        <v>17</v>
      </c>
      <c r="D469" s="10" t="s">
        <v>22</v>
      </c>
      <c r="F469" t="s">
        <v>16</v>
      </c>
      <c r="G469" t="s">
        <v>147</v>
      </c>
      <c r="H469" t="s">
        <v>107</v>
      </c>
    </row>
    <row r="470" spans="1:10" x14ac:dyDescent="0.2">
      <c r="A470" t="s">
        <v>35</v>
      </c>
      <c r="B470">
        <v>1.1999999999999999E-4</v>
      </c>
      <c r="C470" t="s">
        <v>8</v>
      </c>
      <c r="D470" s="10" t="s">
        <v>28</v>
      </c>
      <c r="F470" t="s">
        <v>16</v>
      </c>
      <c r="G470" t="s">
        <v>36</v>
      </c>
      <c r="H470" t="s">
        <v>107</v>
      </c>
    </row>
    <row r="471" spans="1:10" x14ac:dyDescent="0.2">
      <c r="A471" t="s">
        <v>106</v>
      </c>
      <c r="B471" s="6">
        <v>8.2000000000000001E-11</v>
      </c>
      <c r="C471" t="s">
        <v>17</v>
      </c>
      <c r="D471" s="10" t="s">
        <v>139</v>
      </c>
      <c r="F471" t="s">
        <v>16</v>
      </c>
      <c r="G471" t="s">
        <v>133</v>
      </c>
      <c r="H471" t="s">
        <v>108</v>
      </c>
    </row>
    <row r="472" spans="1:10" x14ac:dyDescent="0.2">
      <c r="A472" t="s">
        <v>102</v>
      </c>
      <c r="B472">
        <v>3.3E-3</v>
      </c>
      <c r="C472" t="s">
        <v>21</v>
      </c>
      <c r="D472" s="10" t="s">
        <v>6</v>
      </c>
      <c r="F472" t="s">
        <v>16</v>
      </c>
      <c r="G472" t="s">
        <v>132</v>
      </c>
      <c r="H472" t="s">
        <v>108</v>
      </c>
    </row>
    <row r="473" spans="1:10" ht="16" x14ac:dyDescent="0.2">
      <c r="A473" t="s">
        <v>59</v>
      </c>
      <c r="B473" s="2">
        <v>1.7E-5</v>
      </c>
      <c r="C473" t="s">
        <v>17</v>
      </c>
      <c r="D473" s="10" t="s">
        <v>6</v>
      </c>
      <c r="F473" t="s">
        <v>16</v>
      </c>
      <c r="G473" t="s">
        <v>128</v>
      </c>
      <c r="H473" t="s">
        <v>108</v>
      </c>
    </row>
    <row r="474" spans="1:10" x14ac:dyDescent="0.2">
      <c r="A474" t="s">
        <v>42</v>
      </c>
      <c r="B474">
        <v>3.6999999999999998E-5</v>
      </c>
      <c r="C474" t="s">
        <v>17</v>
      </c>
      <c r="D474" s="10" t="s">
        <v>6</v>
      </c>
      <c r="F474" t="s">
        <v>16</v>
      </c>
      <c r="G474" t="s">
        <v>30</v>
      </c>
      <c r="H474" t="s">
        <v>108</v>
      </c>
    </row>
    <row r="475" spans="1:10" x14ac:dyDescent="0.2">
      <c r="A475" t="s">
        <v>194</v>
      </c>
      <c r="B475">
        <v>4.8E-8</v>
      </c>
      <c r="C475" t="s">
        <v>21</v>
      </c>
      <c r="D475" s="10" t="s">
        <v>49</v>
      </c>
      <c r="F475" t="s">
        <v>16</v>
      </c>
      <c r="G475" t="s">
        <v>196</v>
      </c>
      <c r="H475" t="s">
        <v>108</v>
      </c>
    </row>
    <row r="476" spans="1:10" x14ac:dyDescent="0.2">
      <c r="A476" t="s">
        <v>152</v>
      </c>
      <c r="B476">
        <v>1.9E-6</v>
      </c>
      <c r="C476" t="s">
        <v>17</v>
      </c>
      <c r="D476" s="10" t="s">
        <v>6</v>
      </c>
      <c r="F476" t="s">
        <v>16</v>
      </c>
      <c r="G476" t="s">
        <v>153</v>
      </c>
      <c r="H476" t="s">
        <v>108</v>
      </c>
    </row>
    <row r="477" spans="1:10" x14ac:dyDescent="0.2">
      <c r="A477" t="s">
        <v>35</v>
      </c>
      <c r="B477">
        <v>3.4000000000000002E-4</v>
      </c>
      <c r="C477" t="s">
        <v>8</v>
      </c>
      <c r="D477" s="10" t="s">
        <v>28</v>
      </c>
      <c r="F477" t="s">
        <v>16</v>
      </c>
      <c r="G477" t="s">
        <v>36</v>
      </c>
      <c r="H477" t="s">
        <v>108</v>
      </c>
    </row>
    <row r="478" spans="1:10" x14ac:dyDescent="0.2">
      <c r="A478" t="s">
        <v>77</v>
      </c>
      <c r="B478">
        <v>0.11799999999999999</v>
      </c>
      <c r="C478" t="s">
        <v>8</v>
      </c>
      <c r="D478" s="10" t="s">
        <v>23</v>
      </c>
      <c r="F478" t="s">
        <v>16</v>
      </c>
      <c r="G478" t="s">
        <v>78</v>
      </c>
      <c r="H478" t="s">
        <v>109</v>
      </c>
    </row>
    <row r="479" spans="1:10" x14ac:dyDescent="0.2">
      <c r="A479" t="s">
        <v>65</v>
      </c>
      <c r="B479">
        <v>-4.4000000000000003E-3</v>
      </c>
      <c r="C479" t="s">
        <v>131</v>
      </c>
      <c r="D479" s="10" t="s">
        <v>6</v>
      </c>
      <c r="F479" t="s">
        <v>16</v>
      </c>
      <c r="G479" t="s">
        <v>161</v>
      </c>
      <c r="H479" t="s">
        <v>76</v>
      </c>
    </row>
    <row r="480" spans="1:10" ht="16" x14ac:dyDescent="0.2">
      <c r="A480" t="s">
        <v>66</v>
      </c>
      <c r="B480">
        <v>-2.5999999999999998E-4</v>
      </c>
      <c r="C480" t="s">
        <v>21</v>
      </c>
      <c r="D480" s="10" t="s">
        <v>6</v>
      </c>
      <c r="F480" t="s">
        <v>16</v>
      </c>
      <c r="G480" t="s">
        <v>160</v>
      </c>
      <c r="H480" t="s">
        <v>76</v>
      </c>
      <c r="J480" s="2"/>
    </row>
    <row r="481" spans="1:20" x14ac:dyDescent="0.2">
      <c r="A481" t="s">
        <v>110</v>
      </c>
      <c r="B481">
        <v>-1.9999999999999999E-6</v>
      </c>
      <c r="C481" t="s">
        <v>131</v>
      </c>
      <c r="D481" s="10" t="s">
        <v>6</v>
      </c>
      <c r="F481" t="s">
        <v>16</v>
      </c>
      <c r="G481" t="s">
        <v>151</v>
      </c>
      <c r="H481" t="s">
        <v>76</v>
      </c>
    </row>
    <row r="482" spans="1:20" x14ac:dyDescent="0.2">
      <c r="A482" t="s">
        <v>111</v>
      </c>
      <c r="B482">
        <v>-2.7999999999999999E-6</v>
      </c>
      <c r="C482" t="s">
        <v>21</v>
      </c>
      <c r="D482" s="10" t="s">
        <v>6</v>
      </c>
      <c r="F482" t="s">
        <v>16</v>
      </c>
      <c r="G482" t="s">
        <v>138</v>
      </c>
      <c r="H482" t="s">
        <v>76</v>
      </c>
    </row>
    <row r="483" spans="1:20" x14ac:dyDescent="0.2">
      <c r="A483" t="s">
        <v>112</v>
      </c>
      <c r="B483">
        <v>-1.1999999999999999E-6</v>
      </c>
      <c r="C483" t="s">
        <v>131</v>
      </c>
      <c r="D483" s="10" t="s">
        <v>6</v>
      </c>
      <c r="F483" t="s">
        <v>16</v>
      </c>
      <c r="G483" t="s">
        <v>137</v>
      </c>
      <c r="H483" t="s">
        <v>76</v>
      </c>
    </row>
    <row r="485" spans="1:20" s="15" customFormat="1" ht="16" x14ac:dyDescent="0.2">
      <c r="A485" s="14" t="s">
        <v>0</v>
      </c>
      <c r="B485" s="14" t="s">
        <v>301</v>
      </c>
      <c r="K485" s="16"/>
      <c r="L485" s="16"/>
      <c r="M485" s="16"/>
      <c r="N485" s="16"/>
      <c r="O485" s="16"/>
      <c r="P485" s="16"/>
    </row>
    <row r="486" spans="1:20" s="15" customFormat="1" ht="16" x14ac:dyDescent="0.2">
      <c r="A486" s="15" t="s">
        <v>7</v>
      </c>
      <c r="B486" s="15" t="s">
        <v>8</v>
      </c>
      <c r="K486" s="16"/>
      <c r="L486" s="16"/>
      <c r="M486" s="16"/>
      <c r="N486" s="16"/>
      <c r="O486" s="16"/>
      <c r="P486" s="16"/>
    </row>
    <row r="487" spans="1:20" s="15" customFormat="1" ht="16" x14ac:dyDescent="0.2">
      <c r="A487" s="15" t="s">
        <v>1</v>
      </c>
      <c r="B487" s="15">
        <v>1</v>
      </c>
      <c r="K487" s="16"/>
      <c r="L487" s="16"/>
      <c r="M487" s="16"/>
      <c r="N487" s="16"/>
      <c r="O487" s="16"/>
      <c r="P487" s="16"/>
    </row>
    <row r="488" spans="1:20" s="15" customFormat="1" ht="16" x14ac:dyDescent="0.2">
      <c r="A488" s="15" t="s">
        <v>2</v>
      </c>
      <c r="B488" s="15" t="s">
        <v>294</v>
      </c>
      <c r="K488" s="16"/>
      <c r="L488" s="16"/>
      <c r="M488" s="16"/>
      <c r="N488" s="16"/>
      <c r="O488" s="16"/>
      <c r="P488" s="16"/>
    </row>
    <row r="489" spans="1:20" s="15" customFormat="1" ht="16" x14ac:dyDescent="0.2">
      <c r="A489" s="15" t="s">
        <v>3</v>
      </c>
      <c r="B489" s="15" t="s">
        <v>4</v>
      </c>
      <c r="K489" s="16"/>
      <c r="L489" s="16"/>
      <c r="M489" s="16"/>
      <c r="N489" s="16"/>
      <c r="O489" s="16"/>
      <c r="P489" s="16"/>
    </row>
    <row r="490" spans="1:20" s="15" customFormat="1" ht="16" x14ac:dyDescent="0.2">
      <c r="A490" s="15" t="s">
        <v>5</v>
      </c>
      <c r="B490" s="15" t="s">
        <v>6</v>
      </c>
      <c r="K490" s="16"/>
      <c r="L490" s="16"/>
      <c r="M490" s="16"/>
      <c r="N490" s="16"/>
      <c r="O490" s="16"/>
      <c r="P490" s="16"/>
    </row>
    <row r="491" spans="1:20" s="15" customFormat="1" ht="16" x14ac:dyDescent="0.2">
      <c r="A491" s="15" t="s">
        <v>9</v>
      </c>
      <c r="B491" s="15" t="s">
        <v>198</v>
      </c>
      <c r="K491" s="16"/>
      <c r="L491" s="16"/>
      <c r="M491" s="16"/>
      <c r="N491" s="16"/>
      <c r="O491" s="16"/>
      <c r="P491" s="16"/>
    </row>
    <row r="492" spans="1:20" s="15" customFormat="1" ht="16" x14ac:dyDescent="0.2">
      <c r="A492" s="15" t="s">
        <v>171</v>
      </c>
      <c r="B492" s="17">
        <v>0.61363636363636365</v>
      </c>
      <c r="K492" s="16"/>
      <c r="L492" s="16"/>
      <c r="M492" s="16"/>
      <c r="N492" s="16"/>
      <c r="O492" s="16"/>
      <c r="P492" s="16"/>
    </row>
    <row r="493" spans="1:20" s="15" customFormat="1" ht="16" x14ac:dyDescent="0.2">
      <c r="A493" s="14" t="s">
        <v>10</v>
      </c>
      <c r="K493" s="16"/>
      <c r="L493" s="16"/>
      <c r="M493" s="16"/>
      <c r="N493" s="16"/>
      <c r="O493" s="16"/>
      <c r="P493" s="16"/>
    </row>
    <row r="494" spans="1:20" s="15" customFormat="1" ht="16" x14ac:dyDescent="0.2">
      <c r="A494" s="14" t="s">
        <v>11</v>
      </c>
      <c r="B494" s="14" t="s">
        <v>12</v>
      </c>
      <c r="C494" s="14" t="s">
        <v>7</v>
      </c>
      <c r="D494" s="14" t="s">
        <v>5</v>
      </c>
      <c r="E494" s="14" t="s">
        <v>13</v>
      </c>
      <c r="F494" s="14" t="s">
        <v>3</v>
      </c>
      <c r="G494" s="14" t="s">
        <v>2</v>
      </c>
      <c r="H494" s="14" t="s">
        <v>9</v>
      </c>
      <c r="I494" s="14" t="s">
        <v>172</v>
      </c>
      <c r="J494" s="1" t="s">
        <v>173</v>
      </c>
      <c r="K494" s="18" t="s">
        <v>174</v>
      </c>
      <c r="L494" s="18" t="s">
        <v>175</v>
      </c>
      <c r="M494" s="18" t="s">
        <v>176</v>
      </c>
      <c r="N494" s="18" t="s">
        <v>177</v>
      </c>
      <c r="O494" s="18" t="s">
        <v>178</v>
      </c>
      <c r="P494" s="18" t="s">
        <v>179</v>
      </c>
      <c r="Q494" s="1" t="s">
        <v>180</v>
      </c>
      <c r="R494" s="1" t="s">
        <v>181</v>
      </c>
      <c r="S494" s="14" t="s">
        <v>182</v>
      </c>
      <c r="T494" s="1"/>
    </row>
    <row r="495" spans="1:20" s="15" customFormat="1" ht="16" x14ac:dyDescent="0.2">
      <c r="A495" s="15" t="s">
        <v>301</v>
      </c>
      <c r="B495" s="15">
        <v>1</v>
      </c>
      <c r="C495" s="15" t="s">
        <v>8</v>
      </c>
      <c r="D495" s="15" t="s">
        <v>6</v>
      </c>
      <c r="F495" s="15" t="s">
        <v>15</v>
      </c>
      <c r="G495" s="15" t="str">
        <f>B488</f>
        <v>carbon dioxide, captured</v>
      </c>
      <c r="H495" s="15" t="s">
        <v>183</v>
      </c>
      <c r="K495" s="16"/>
      <c r="L495" s="16"/>
      <c r="M495" s="16"/>
      <c r="N495" s="16"/>
      <c r="O495" s="16"/>
      <c r="P495" s="16"/>
      <c r="T495"/>
    </row>
    <row r="496" spans="1:20" s="15" customFormat="1" ht="16" x14ac:dyDescent="0.2">
      <c r="A496" s="15" t="s">
        <v>184</v>
      </c>
      <c r="B496" s="19">
        <v>6.7613636363636362E-2</v>
      </c>
      <c r="D496" s="15" t="s">
        <v>6</v>
      </c>
      <c r="E496" s="15" t="s">
        <v>85</v>
      </c>
      <c r="F496" s="15" t="s">
        <v>20</v>
      </c>
      <c r="H496" s="15" t="s">
        <v>185</v>
      </c>
      <c r="I496" s="15">
        <v>2</v>
      </c>
      <c r="J496">
        <v>-2.6939455949206681</v>
      </c>
      <c r="K496" s="4">
        <v>1.1000000000000001</v>
      </c>
      <c r="L496" s="4">
        <v>1.2</v>
      </c>
      <c r="M496" s="4">
        <v>1</v>
      </c>
      <c r="N496" s="4">
        <v>1.01</v>
      </c>
      <c r="O496" s="4">
        <v>1.2</v>
      </c>
      <c r="P496" s="4">
        <v>1.2</v>
      </c>
      <c r="Q496" s="4">
        <v>1.05</v>
      </c>
      <c r="R496">
        <v>0.16679850853156178</v>
      </c>
    </row>
    <row r="497" spans="1:18" s="15" customFormat="1" ht="16" x14ac:dyDescent="0.2">
      <c r="A497" s="15" t="s">
        <v>38</v>
      </c>
      <c r="B497" s="19">
        <v>0.10738636363636363</v>
      </c>
      <c r="D497" s="15" t="s">
        <v>6</v>
      </c>
      <c r="E497" s="15" t="s">
        <v>85</v>
      </c>
      <c r="F497" s="15" t="s">
        <v>20</v>
      </c>
      <c r="H497" s="15" t="s">
        <v>185</v>
      </c>
      <c r="I497" s="15">
        <v>2</v>
      </c>
      <c r="J497">
        <v>-2.2313220729725551</v>
      </c>
      <c r="K497" s="4">
        <v>1.1000000000000001</v>
      </c>
      <c r="L497" s="4">
        <v>1.2</v>
      </c>
      <c r="M497" s="4">
        <v>1</v>
      </c>
      <c r="N497" s="4">
        <v>1.01</v>
      </c>
      <c r="O497" s="4">
        <v>1.2</v>
      </c>
      <c r="P497" s="4">
        <v>1.2</v>
      </c>
      <c r="Q497" s="4">
        <v>1.05</v>
      </c>
      <c r="R497">
        <v>0.16679850853156178</v>
      </c>
    </row>
    <row r="498" spans="1:18" s="15" customFormat="1" ht="16" x14ac:dyDescent="0.2">
      <c r="A498" s="15" t="s">
        <v>186</v>
      </c>
      <c r="B498" s="20">
        <v>1E-4</v>
      </c>
      <c r="D498" s="15" t="s">
        <v>6</v>
      </c>
      <c r="E498" s="15" t="s">
        <v>85</v>
      </c>
      <c r="F498" s="15" t="s">
        <v>20</v>
      </c>
      <c r="I498" s="15">
        <v>2</v>
      </c>
      <c r="J498">
        <v>-9.2103403719761818</v>
      </c>
      <c r="K498" s="4">
        <v>1.1000000000000001</v>
      </c>
      <c r="L498" s="4">
        <v>1.2</v>
      </c>
      <c r="M498" s="4">
        <v>1</v>
      </c>
      <c r="N498" s="4">
        <v>1.01</v>
      </c>
      <c r="O498" s="4">
        <v>1.2</v>
      </c>
      <c r="P498" s="4">
        <v>1.2</v>
      </c>
      <c r="Q498" s="4">
        <v>1.5</v>
      </c>
      <c r="R498">
        <v>0.26139455023340635</v>
      </c>
    </row>
    <row r="499" spans="1:18" s="15" customFormat="1" ht="16" x14ac:dyDescent="0.2">
      <c r="A499" s="15" t="s">
        <v>31</v>
      </c>
      <c r="B499" s="15">
        <v>9.6600000000000002E-3</v>
      </c>
      <c r="C499" s="15" t="s">
        <v>131</v>
      </c>
      <c r="D499" s="15" t="s">
        <v>6</v>
      </c>
      <c r="F499" s="15" t="s">
        <v>16</v>
      </c>
      <c r="G499" s="15" t="s">
        <v>32</v>
      </c>
      <c r="I499" s="15">
        <v>2</v>
      </c>
      <c r="J499">
        <v>-4.6397616307577101</v>
      </c>
      <c r="K499" s="4">
        <v>1.1000000000000001</v>
      </c>
      <c r="L499" s="4">
        <v>1.2</v>
      </c>
      <c r="M499" s="4">
        <v>1</v>
      </c>
      <c r="N499" s="4">
        <v>1.01</v>
      </c>
      <c r="O499" s="4">
        <v>1.2</v>
      </c>
      <c r="P499" s="4">
        <v>1.2</v>
      </c>
      <c r="Q499">
        <v>1.05</v>
      </c>
      <c r="R499">
        <v>0.16679850853156178</v>
      </c>
    </row>
    <row r="500" spans="1:18" s="15" customFormat="1" ht="16" x14ac:dyDescent="0.2">
      <c r="A500" s="15" t="s">
        <v>34</v>
      </c>
      <c r="B500" s="15">
        <v>0.1</v>
      </c>
      <c r="C500" s="15" t="s">
        <v>8</v>
      </c>
      <c r="D500" s="15" t="s">
        <v>23</v>
      </c>
      <c r="F500" s="15" t="s">
        <v>16</v>
      </c>
      <c r="G500" s="15" t="s">
        <v>24</v>
      </c>
      <c r="I500" s="15">
        <v>2</v>
      </c>
      <c r="J500">
        <v>-2.3025850929940455</v>
      </c>
      <c r="K500" s="4">
        <v>1.1000000000000001</v>
      </c>
      <c r="L500" s="4">
        <v>1.2</v>
      </c>
      <c r="M500" s="4">
        <v>1</v>
      </c>
      <c r="N500" s="4">
        <v>1.01</v>
      </c>
      <c r="O500" s="4">
        <v>1.2</v>
      </c>
      <c r="P500" s="4">
        <v>1.2</v>
      </c>
      <c r="Q500">
        <v>1.05</v>
      </c>
      <c r="R500">
        <v>0.16679850853156178</v>
      </c>
    </row>
    <row r="501" spans="1:18" s="15" customFormat="1" ht="16" x14ac:dyDescent="0.2">
      <c r="A501" s="15" t="s">
        <v>187</v>
      </c>
      <c r="B501" s="15">
        <f>0.4+((3.7-0.4)*0.4)</f>
        <v>1.7200000000000002</v>
      </c>
      <c r="C501" s="15" t="s">
        <v>8</v>
      </c>
      <c r="D501" s="15" t="s">
        <v>22</v>
      </c>
      <c r="F501" s="15" t="s">
        <v>16</v>
      </c>
      <c r="G501" s="15" t="s">
        <v>188</v>
      </c>
      <c r="H501" s="15" t="s">
        <v>197</v>
      </c>
      <c r="I501" s="15">
        <v>2</v>
      </c>
      <c r="J501">
        <v>0.40546510810816438</v>
      </c>
      <c r="K501" s="4">
        <v>1.1000000000000001</v>
      </c>
      <c r="L501" s="4">
        <v>1.2</v>
      </c>
      <c r="M501" s="4">
        <v>1</v>
      </c>
      <c r="N501" s="4">
        <v>1.01</v>
      </c>
      <c r="O501" s="4">
        <v>1.2</v>
      </c>
      <c r="P501" s="4">
        <v>1.2</v>
      </c>
      <c r="Q501">
        <v>1.05</v>
      </c>
      <c r="R501">
        <v>0.16679850853156178</v>
      </c>
    </row>
    <row r="502" spans="1:18" s="15" customFormat="1" ht="16" x14ac:dyDescent="0.2">
      <c r="A502" s="15" t="s">
        <v>90</v>
      </c>
      <c r="B502" s="39">
        <v>4.0000000000000001E-3</v>
      </c>
      <c r="C502" s="15" t="s">
        <v>17</v>
      </c>
      <c r="D502" s="15" t="s">
        <v>6</v>
      </c>
      <c r="F502" s="15" t="s">
        <v>16</v>
      </c>
      <c r="G502" s="15" t="s">
        <v>141</v>
      </c>
      <c r="I502" s="15">
        <v>2</v>
      </c>
      <c r="J502">
        <v>-5.521460917862246</v>
      </c>
      <c r="K502" s="4">
        <v>1.1000000000000001</v>
      </c>
      <c r="L502" s="4">
        <v>1.2</v>
      </c>
      <c r="M502" s="4">
        <v>1</v>
      </c>
      <c r="N502" s="4">
        <v>1.01</v>
      </c>
      <c r="O502" s="4">
        <v>1.2</v>
      </c>
      <c r="P502" s="4">
        <v>1.2</v>
      </c>
      <c r="Q502">
        <v>1.05</v>
      </c>
      <c r="R502">
        <v>0.16679850853156178</v>
      </c>
    </row>
    <row r="503" spans="1:18" s="15" customFormat="1" ht="16" x14ac:dyDescent="0.2">
      <c r="A503" s="15" t="s">
        <v>91</v>
      </c>
      <c r="B503" s="15">
        <v>1E-4</v>
      </c>
      <c r="C503" s="15" t="s">
        <v>17</v>
      </c>
      <c r="D503" s="15" t="s">
        <v>6</v>
      </c>
      <c r="F503" s="15" t="s">
        <v>16</v>
      </c>
      <c r="G503" s="15" t="s">
        <v>142</v>
      </c>
      <c r="I503" s="15">
        <v>2</v>
      </c>
      <c r="J503">
        <v>-9.2103403719761818</v>
      </c>
      <c r="K503" s="4">
        <v>1.1000000000000001</v>
      </c>
      <c r="L503" s="4">
        <v>1.2</v>
      </c>
      <c r="M503" s="4">
        <v>1</v>
      </c>
      <c r="N503" s="4">
        <v>1.01</v>
      </c>
      <c r="O503" s="4">
        <v>1.2</v>
      </c>
      <c r="P503" s="4">
        <v>1.2</v>
      </c>
      <c r="Q503">
        <v>1.05</v>
      </c>
      <c r="R503">
        <v>0.16679850853156178</v>
      </c>
    </row>
    <row r="504" spans="1:18" s="15" customFormat="1" ht="16" x14ac:dyDescent="0.2">
      <c r="A504" s="15" t="s">
        <v>189</v>
      </c>
      <c r="B504" s="15">
        <v>1E-4</v>
      </c>
      <c r="C504" s="15" t="s">
        <v>17</v>
      </c>
      <c r="D504" s="15" t="s">
        <v>6</v>
      </c>
      <c r="F504" s="15" t="s">
        <v>16</v>
      </c>
      <c r="G504" s="15" t="s">
        <v>190</v>
      </c>
      <c r="I504" s="15">
        <v>2</v>
      </c>
      <c r="J504">
        <v>-9.2103403719761818</v>
      </c>
      <c r="K504" s="4">
        <v>1.1000000000000001</v>
      </c>
      <c r="L504" s="4">
        <v>1.2</v>
      </c>
      <c r="M504" s="4">
        <v>1</v>
      </c>
      <c r="N504" s="4">
        <v>1.01</v>
      </c>
      <c r="O504" s="4">
        <v>1.2</v>
      </c>
      <c r="P504" s="4">
        <v>1.2</v>
      </c>
      <c r="Q504">
        <v>1.05</v>
      </c>
      <c r="R504">
        <v>0.16679850853156178</v>
      </c>
    </row>
    <row r="505" spans="1:18" s="15" customFormat="1" ht="16" x14ac:dyDescent="0.2">
      <c r="K505" s="16"/>
      <c r="L505" s="16"/>
      <c r="M505" s="16"/>
      <c r="N505" s="16"/>
      <c r="O505" s="16"/>
      <c r="P505" s="16"/>
    </row>
    <row r="506" spans="1:18" ht="16" x14ac:dyDescent="0.2">
      <c r="A506" s="1" t="s">
        <v>0</v>
      </c>
      <c r="B506" s="5" t="s">
        <v>302</v>
      </c>
    </row>
    <row r="507" spans="1:18" x14ac:dyDescent="0.2">
      <c r="A507" t="s">
        <v>7</v>
      </c>
      <c r="B507" t="s">
        <v>8</v>
      </c>
    </row>
    <row r="508" spans="1:18" ht="16" x14ac:dyDescent="0.2">
      <c r="A508" s="2" t="s">
        <v>1</v>
      </c>
      <c r="B508">
        <v>1</v>
      </c>
    </row>
    <row r="509" spans="1:18" x14ac:dyDescent="0.2">
      <c r="A509" t="s">
        <v>2</v>
      </c>
      <c r="B509" t="s">
        <v>294</v>
      </c>
    </row>
    <row r="510" spans="1:18" x14ac:dyDescent="0.2">
      <c r="A510" t="s">
        <v>3</v>
      </c>
      <c r="B510" t="s">
        <v>4</v>
      </c>
    </row>
    <row r="511" spans="1:18" x14ac:dyDescent="0.2">
      <c r="A511" t="s">
        <v>5</v>
      </c>
      <c r="B511" t="s">
        <v>6</v>
      </c>
    </row>
    <row r="512" spans="1:18" x14ac:dyDescent="0.2">
      <c r="A512" t="s">
        <v>18</v>
      </c>
      <c r="B512" t="s">
        <v>191</v>
      </c>
    </row>
    <row r="513" spans="1:19" x14ac:dyDescent="0.2">
      <c r="A513" t="s">
        <v>9</v>
      </c>
      <c r="B513" t="s">
        <v>199</v>
      </c>
    </row>
    <row r="514" spans="1:19" x14ac:dyDescent="0.2">
      <c r="A514" t="s">
        <v>171</v>
      </c>
      <c r="B514">
        <v>0.06</v>
      </c>
    </row>
    <row r="515" spans="1:19" x14ac:dyDescent="0.2">
      <c r="A515" t="s">
        <v>192</v>
      </c>
      <c r="B515">
        <v>1</v>
      </c>
    </row>
    <row r="516" spans="1:19" x14ac:dyDescent="0.2">
      <c r="A516" t="s">
        <v>10</v>
      </c>
    </row>
    <row r="517" spans="1:19" ht="16" x14ac:dyDescent="0.2">
      <c r="A517" s="1" t="s">
        <v>11</v>
      </c>
      <c r="B517" s="1" t="s">
        <v>12</v>
      </c>
      <c r="C517" s="5" t="s">
        <v>7</v>
      </c>
      <c r="D517" s="5" t="s">
        <v>5</v>
      </c>
      <c r="E517" s="5" t="s">
        <v>13</v>
      </c>
      <c r="F517" s="5" t="s">
        <v>3</v>
      </c>
      <c r="G517" s="5" t="s">
        <v>2</v>
      </c>
      <c r="H517" s="5" t="s">
        <v>9</v>
      </c>
      <c r="I517" s="5" t="s">
        <v>172</v>
      </c>
      <c r="J517" s="5" t="s">
        <v>173</v>
      </c>
      <c r="K517" s="5" t="s">
        <v>174</v>
      </c>
      <c r="L517" s="5" t="s">
        <v>175</v>
      </c>
      <c r="M517" s="5" t="s">
        <v>176</v>
      </c>
      <c r="N517" s="5" t="s">
        <v>177</v>
      </c>
      <c r="O517" s="5" t="s">
        <v>178</v>
      </c>
      <c r="P517" s="5" t="s">
        <v>179</v>
      </c>
      <c r="Q517" s="5" t="s">
        <v>180</v>
      </c>
      <c r="R517" s="5" t="s">
        <v>181</v>
      </c>
      <c r="S517" s="5" t="s">
        <v>182</v>
      </c>
    </row>
    <row r="518" spans="1:19" x14ac:dyDescent="0.2">
      <c r="A518" t="s">
        <v>302</v>
      </c>
      <c r="B518">
        <v>1</v>
      </c>
      <c r="C518" t="s">
        <v>8</v>
      </c>
      <c r="D518" t="s">
        <v>6</v>
      </c>
      <c r="F518" t="s">
        <v>15</v>
      </c>
      <c r="G518" t="str">
        <f>B509</f>
        <v>carbon dioxide, captured</v>
      </c>
    </row>
    <row r="519" spans="1:19" x14ac:dyDescent="0.2">
      <c r="A519" t="s">
        <v>184</v>
      </c>
      <c r="B519">
        <f>0.11*(1-B514)</f>
        <v>0.10339999999999999</v>
      </c>
      <c r="D519" t="s">
        <v>6</v>
      </c>
      <c r="E519" t="s">
        <v>85</v>
      </c>
      <c r="F519" t="s">
        <v>20</v>
      </c>
      <c r="H519" t="s">
        <v>193</v>
      </c>
      <c r="I519">
        <v>2</v>
      </c>
      <c r="J519">
        <v>-2.2678230385440798</v>
      </c>
      <c r="K519">
        <v>1.1000000000000001</v>
      </c>
      <c r="L519">
        <v>1.2</v>
      </c>
      <c r="M519">
        <v>1</v>
      </c>
      <c r="N519">
        <v>1.01</v>
      </c>
      <c r="O519">
        <v>1.2</v>
      </c>
      <c r="P519">
        <v>1.2</v>
      </c>
      <c r="Q519">
        <v>1.05</v>
      </c>
      <c r="R519">
        <v>0.16679850853156178</v>
      </c>
    </row>
    <row r="520" spans="1:19" x14ac:dyDescent="0.2">
      <c r="A520" t="s">
        <v>38</v>
      </c>
      <c r="B520">
        <f>0.11-B519</f>
        <v>6.6000000000000086E-3</v>
      </c>
      <c r="D520" t="s">
        <v>6</v>
      </c>
      <c r="E520" t="s">
        <v>85</v>
      </c>
      <c r="F520" t="s">
        <v>20</v>
      </c>
      <c r="H520" t="s">
        <v>193</v>
      </c>
      <c r="I520">
        <v>2</v>
      </c>
      <c r="J520">
        <v>-5.0417129971418326</v>
      </c>
      <c r="K520">
        <v>1.1000000000000001</v>
      </c>
      <c r="L520">
        <v>1.2</v>
      </c>
      <c r="M520">
        <v>1</v>
      </c>
      <c r="N520">
        <v>1.01</v>
      </c>
      <c r="O520">
        <v>1.2</v>
      </c>
      <c r="P520">
        <v>1.2</v>
      </c>
      <c r="Q520">
        <v>1.05</v>
      </c>
      <c r="R520">
        <v>0.16679850853156178</v>
      </c>
    </row>
    <row r="521" spans="1:19" x14ac:dyDescent="0.2">
      <c r="A521" t="s">
        <v>31</v>
      </c>
      <c r="B521">
        <v>9.6600000000000002E-3</v>
      </c>
      <c r="C521" t="s">
        <v>131</v>
      </c>
      <c r="D521" t="s">
        <v>6</v>
      </c>
      <c r="F521" t="s">
        <v>16</v>
      </c>
      <c r="G521" t="s">
        <v>32</v>
      </c>
      <c r="I521">
        <v>2</v>
      </c>
      <c r="J521">
        <v>-4.6397616307577101</v>
      </c>
      <c r="K521">
        <v>1.1000000000000001</v>
      </c>
      <c r="L521">
        <v>1.2</v>
      </c>
      <c r="M521">
        <v>1</v>
      </c>
      <c r="N521">
        <v>1.01</v>
      </c>
      <c r="O521">
        <v>1.2</v>
      </c>
      <c r="P521">
        <v>1.2</v>
      </c>
      <c r="Q521">
        <v>1.05</v>
      </c>
      <c r="R521">
        <v>0.16679850853156178</v>
      </c>
    </row>
    <row r="522" spans="1:19" x14ac:dyDescent="0.2">
      <c r="A522" t="s">
        <v>34</v>
      </c>
      <c r="B522">
        <v>6.9000000000000008E-3</v>
      </c>
      <c r="C522" t="s">
        <v>8</v>
      </c>
      <c r="D522" t="s">
        <v>23</v>
      </c>
      <c r="F522" t="s">
        <v>16</v>
      </c>
      <c r="G522" t="s">
        <v>24</v>
      </c>
      <c r="I522">
        <v>2</v>
      </c>
      <c r="J522">
        <v>-4.976233867378923</v>
      </c>
      <c r="K522">
        <v>1.1000000000000001</v>
      </c>
      <c r="L522">
        <v>1.2</v>
      </c>
      <c r="M522">
        <v>1</v>
      </c>
      <c r="N522">
        <v>1.01</v>
      </c>
      <c r="O522">
        <v>1.2</v>
      </c>
      <c r="P522">
        <v>1.2</v>
      </c>
      <c r="Q522">
        <v>1.05</v>
      </c>
      <c r="R522">
        <v>0.16679850853156178</v>
      </c>
    </row>
    <row r="523" spans="1:19" x14ac:dyDescent="0.2">
      <c r="A523" t="s">
        <v>187</v>
      </c>
      <c r="B523">
        <f>3.66*0.7</f>
        <v>2.5619999999999998</v>
      </c>
      <c r="C523" t="s">
        <v>8</v>
      </c>
      <c r="D523" t="s">
        <v>22</v>
      </c>
      <c r="F523" t="s">
        <v>16</v>
      </c>
      <c r="G523" t="s">
        <v>188</v>
      </c>
      <c r="I523">
        <v>2</v>
      </c>
      <c r="J523">
        <v>0.99635805462935334</v>
      </c>
      <c r="K523">
        <v>1.1000000000000001</v>
      </c>
      <c r="L523">
        <v>1.2</v>
      </c>
      <c r="M523">
        <v>1</v>
      </c>
      <c r="N523">
        <v>1.01</v>
      </c>
      <c r="O523">
        <v>1.2</v>
      </c>
      <c r="P523">
        <v>1.2</v>
      </c>
      <c r="Q523">
        <v>1.05</v>
      </c>
      <c r="R523">
        <v>0.16679850853156178</v>
      </c>
    </row>
    <row r="524" spans="1:19" ht="16" x14ac:dyDescent="0.2">
      <c r="A524" s="21" t="s">
        <v>90</v>
      </c>
      <c r="B524" s="38">
        <v>4.0000000000000001E-3</v>
      </c>
      <c r="C524" t="s">
        <v>17</v>
      </c>
      <c r="D524" t="s">
        <v>6</v>
      </c>
      <c r="F524" t="s">
        <v>16</v>
      </c>
      <c r="G524" t="s">
        <v>141</v>
      </c>
      <c r="I524">
        <v>2</v>
      </c>
      <c r="J524">
        <v>-6.9077552789821368</v>
      </c>
      <c r="K524">
        <v>1.1000000000000001</v>
      </c>
      <c r="L524">
        <v>1.2</v>
      </c>
      <c r="M524">
        <v>1</v>
      </c>
      <c r="N524">
        <v>1.01</v>
      </c>
      <c r="O524">
        <v>1.2</v>
      </c>
      <c r="P524">
        <v>1.2</v>
      </c>
      <c r="Q524">
        <v>1.05</v>
      </c>
      <c r="R524">
        <v>0.16679850853156178</v>
      </c>
    </row>
    <row r="526" spans="1:19" ht="16" x14ac:dyDescent="0.2">
      <c r="A526" s="1" t="s">
        <v>0</v>
      </c>
      <c r="B526" s="5" t="s">
        <v>303</v>
      </c>
    </row>
    <row r="527" spans="1:19" x14ac:dyDescent="0.2">
      <c r="A527" t="s">
        <v>7</v>
      </c>
      <c r="B527" t="s">
        <v>8</v>
      </c>
    </row>
    <row r="528" spans="1:19" ht="16" x14ac:dyDescent="0.2">
      <c r="A528" s="2" t="s">
        <v>1</v>
      </c>
      <c r="B528">
        <v>1</v>
      </c>
    </row>
    <row r="529" spans="1:19" x14ac:dyDescent="0.2">
      <c r="A529" t="s">
        <v>2</v>
      </c>
      <c r="B529" t="s">
        <v>294</v>
      </c>
    </row>
    <row r="530" spans="1:19" x14ac:dyDescent="0.2">
      <c r="A530" t="s">
        <v>3</v>
      </c>
      <c r="B530" t="s">
        <v>4</v>
      </c>
    </row>
    <row r="531" spans="1:19" x14ac:dyDescent="0.2">
      <c r="A531" t="s">
        <v>5</v>
      </c>
      <c r="B531" t="s">
        <v>6</v>
      </c>
    </row>
    <row r="532" spans="1:19" x14ac:dyDescent="0.2">
      <c r="A532" t="s">
        <v>18</v>
      </c>
      <c r="B532" t="s">
        <v>236</v>
      </c>
    </row>
    <row r="533" spans="1:19" x14ac:dyDescent="0.2">
      <c r="A533" t="s">
        <v>9</v>
      </c>
      <c r="B533" t="s">
        <v>225</v>
      </c>
    </row>
    <row r="534" spans="1:19" x14ac:dyDescent="0.2">
      <c r="A534" t="s">
        <v>10</v>
      </c>
    </row>
    <row r="535" spans="1:19" ht="16" x14ac:dyDescent="0.2">
      <c r="A535" s="1" t="s">
        <v>11</v>
      </c>
      <c r="B535" s="1" t="s">
        <v>12</v>
      </c>
      <c r="C535" s="5" t="s">
        <v>7</v>
      </c>
      <c r="D535" s="5" t="s">
        <v>5</v>
      </c>
      <c r="E535" s="5" t="s">
        <v>13</v>
      </c>
      <c r="F535" s="5" t="s">
        <v>3</v>
      </c>
      <c r="G535" s="5" t="s">
        <v>2</v>
      </c>
      <c r="H535" s="5" t="s">
        <v>9</v>
      </c>
      <c r="I535" s="5"/>
      <c r="J535" s="5"/>
      <c r="K535" s="5"/>
      <c r="L535" s="5"/>
      <c r="M535" s="5"/>
      <c r="N535" s="5"/>
      <c r="O535" s="5"/>
      <c r="P535" s="5"/>
      <c r="Q535" s="5"/>
      <c r="R535" s="5"/>
      <c r="S535" s="5"/>
    </row>
    <row r="536" spans="1:19" s="28" customFormat="1" x14ac:dyDescent="0.2">
      <c r="A536" s="28" t="str">
        <f>B526</f>
        <v>carbon dioxide, captured, at cement production plant, using monoethanolamine</v>
      </c>
      <c r="B536" s="37">
        <v>1</v>
      </c>
      <c r="C536" s="28" t="s">
        <v>8</v>
      </c>
      <c r="D536" s="28" t="s">
        <v>6</v>
      </c>
      <c r="F536" s="28" t="s">
        <v>15</v>
      </c>
      <c r="G536" s="28" t="str">
        <f>B529</f>
        <v>carbon dioxide, captured</v>
      </c>
    </row>
    <row r="537" spans="1:19" s="28" customFormat="1" x14ac:dyDescent="0.2">
      <c r="A537" s="28" t="s">
        <v>97</v>
      </c>
      <c r="B537" s="29">
        <v>1</v>
      </c>
      <c r="C537" s="28" t="s">
        <v>8</v>
      </c>
      <c r="D537" s="28" t="s">
        <v>6</v>
      </c>
      <c r="F537" s="28" t="s">
        <v>16</v>
      </c>
      <c r="G537" t="s">
        <v>98</v>
      </c>
    </row>
    <row r="538" spans="1:19" s="28" customFormat="1" x14ac:dyDescent="0.2">
      <c r="A538" s="28" t="s">
        <v>90</v>
      </c>
      <c r="B538" s="37">
        <f>1.4/1000</f>
        <v>1.4E-3</v>
      </c>
      <c r="C538" s="28" t="s">
        <v>17</v>
      </c>
      <c r="D538" s="28" t="s">
        <v>6</v>
      </c>
      <c r="F538" s="28" t="s">
        <v>16</v>
      </c>
      <c r="G538" s="28" t="s">
        <v>141</v>
      </c>
      <c r="H538" s="28" t="s">
        <v>226</v>
      </c>
      <c r="N538" s="29"/>
    </row>
    <row r="539" spans="1:19" s="28" customFormat="1" x14ac:dyDescent="0.2">
      <c r="A539" s="28" t="s">
        <v>91</v>
      </c>
      <c r="B539" s="29">
        <f>0.000355*1.25*(1/0.828)</f>
        <v>5.3592995169082129E-4</v>
      </c>
      <c r="C539" s="28" t="s">
        <v>17</v>
      </c>
      <c r="D539" s="28" t="s">
        <v>6</v>
      </c>
      <c r="F539" s="28" t="s">
        <v>16</v>
      </c>
      <c r="G539" s="28" t="s">
        <v>142</v>
      </c>
      <c r="H539" s="28" t="s">
        <v>238</v>
      </c>
      <c r="N539" s="29"/>
      <c r="P539" s="29"/>
    </row>
    <row r="540" spans="1:19" s="28" customFormat="1" x14ac:dyDescent="0.2">
      <c r="A540" t="s">
        <v>317</v>
      </c>
      <c r="B540" s="29">
        <f>(3.76-0.11)/0.9</f>
        <v>4.0555555555555554</v>
      </c>
      <c r="C540" s="28" t="s">
        <v>131</v>
      </c>
      <c r="D540" s="28" t="s">
        <v>22</v>
      </c>
      <c r="F540" s="28" t="s">
        <v>16</v>
      </c>
      <c r="G540" s="28" t="s">
        <v>162</v>
      </c>
      <c r="H540" s="28" t="s">
        <v>235</v>
      </c>
      <c r="N540" s="29"/>
    </row>
    <row r="541" spans="1:19" s="28" customFormat="1" x14ac:dyDescent="0.2">
      <c r="A541" s="28" t="s">
        <v>34</v>
      </c>
      <c r="B541" s="29">
        <f>188/761*0.459/3.6</f>
        <v>3.1498028909329831E-2</v>
      </c>
      <c r="C541" s="28" t="s">
        <v>8</v>
      </c>
      <c r="D541" s="28" t="s">
        <v>23</v>
      </c>
      <c r="F541" s="28" t="s">
        <v>16</v>
      </c>
      <c r="G541" s="28" t="s">
        <v>24</v>
      </c>
      <c r="H541" s="28" t="s">
        <v>227</v>
      </c>
      <c r="N541" s="29"/>
    </row>
    <row r="542" spans="1:19" s="28" customFormat="1" x14ac:dyDescent="0.2">
      <c r="A542" s="28" t="s">
        <v>34</v>
      </c>
      <c r="B542" s="29">
        <f>123/761*0.459/3.6</f>
        <v>2.0607752956636003E-2</v>
      </c>
      <c r="C542" s="28" t="s">
        <v>8</v>
      </c>
      <c r="D542" s="28" t="s">
        <v>23</v>
      </c>
      <c r="F542" s="28" t="s">
        <v>16</v>
      </c>
      <c r="G542" s="28" t="s">
        <v>24</v>
      </c>
      <c r="H542" s="28" t="s">
        <v>228</v>
      </c>
      <c r="N542" s="29"/>
    </row>
    <row r="543" spans="1:19" s="28" customFormat="1" x14ac:dyDescent="0.2">
      <c r="A543" s="28" t="s">
        <v>34</v>
      </c>
      <c r="B543" s="29">
        <f>575/761*0.459/3.6</f>
        <v>9.63370565045992E-2</v>
      </c>
      <c r="C543" s="28" t="s">
        <v>8</v>
      </c>
      <c r="D543" s="28" t="s">
        <v>23</v>
      </c>
      <c r="F543" s="28" t="s">
        <v>16</v>
      </c>
      <c r="G543" s="28" t="s">
        <v>24</v>
      </c>
      <c r="H543" s="28" t="s">
        <v>237</v>
      </c>
      <c r="N543" s="29"/>
      <c r="Q543" s="30"/>
    </row>
    <row r="544" spans="1:19" s="28" customFormat="1" x14ac:dyDescent="0.2">
      <c r="A544" s="28" t="s">
        <v>229</v>
      </c>
      <c r="B544" s="29">
        <f>0.473</f>
        <v>0.47299999999999998</v>
      </c>
      <c r="C544" s="28" t="s">
        <v>17</v>
      </c>
      <c r="D544" s="28" t="s">
        <v>6</v>
      </c>
      <c r="F544" s="28" t="s">
        <v>16</v>
      </c>
      <c r="G544" s="28" t="s">
        <v>32</v>
      </c>
      <c r="H544" s="28" t="s">
        <v>230</v>
      </c>
    </row>
    <row r="545" spans="1:19" s="28" customFormat="1" x14ac:dyDescent="0.2">
      <c r="A545" s="28" t="s">
        <v>73</v>
      </c>
      <c r="B545" s="29">
        <f>-B538*0.227/(0.227+0.006)</f>
        <v>-1.3639484978540772E-3</v>
      </c>
      <c r="C545" s="28" t="s">
        <v>131</v>
      </c>
      <c r="D545" s="28" t="s">
        <v>6</v>
      </c>
      <c r="F545" s="28" t="s">
        <v>16</v>
      </c>
      <c r="G545" s="28" t="s">
        <v>140</v>
      </c>
      <c r="H545" s="28" t="s">
        <v>231</v>
      </c>
    </row>
    <row r="546" spans="1:19" s="28" customFormat="1" x14ac:dyDescent="0.2">
      <c r="A546" s="28" t="s">
        <v>232</v>
      </c>
      <c r="B546" s="37">
        <f>1.4/1000*(0.006/0.227+0.006)</f>
        <v>4.5404405286343617E-5</v>
      </c>
      <c r="D546" s="28" t="s">
        <v>6</v>
      </c>
      <c r="E546" s="28" t="s">
        <v>85</v>
      </c>
      <c r="F546" s="28" t="s">
        <v>20</v>
      </c>
      <c r="H546" s="28" t="s">
        <v>233</v>
      </c>
    </row>
    <row r="547" spans="1:19" s="28" customFormat="1" x14ac:dyDescent="0.2">
      <c r="A547" s="28" t="s">
        <v>234</v>
      </c>
      <c r="B547" s="29">
        <f>B544/1000</f>
        <v>4.7299999999999995E-4</v>
      </c>
      <c r="D547" s="28" t="s">
        <v>49</v>
      </c>
      <c r="E547" s="28" t="s">
        <v>85</v>
      </c>
      <c r="F547" s="28" t="s">
        <v>20</v>
      </c>
      <c r="G547" s="29"/>
    </row>
    <row r="549" spans="1:19" ht="16" x14ac:dyDescent="0.2">
      <c r="A549" s="1" t="s">
        <v>0</v>
      </c>
      <c r="B549" s="5" t="s">
        <v>304</v>
      </c>
    </row>
    <row r="550" spans="1:19" x14ac:dyDescent="0.2">
      <c r="A550" t="s">
        <v>7</v>
      </c>
      <c r="B550" t="s">
        <v>8</v>
      </c>
    </row>
    <row r="551" spans="1:19" ht="16" x14ac:dyDescent="0.2">
      <c r="A551" s="2" t="s">
        <v>1</v>
      </c>
      <c r="B551">
        <v>1</v>
      </c>
    </row>
    <row r="552" spans="1:19" x14ac:dyDescent="0.2">
      <c r="A552" t="s">
        <v>2</v>
      </c>
      <c r="B552" t="s">
        <v>294</v>
      </c>
    </row>
    <row r="553" spans="1:19" x14ac:dyDescent="0.2">
      <c r="A553" t="s">
        <v>3</v>
      </c>
      <c r="B553" t="s">
        <v>4</v>
      </c>
    </row>
    <row r="554" spans="1:19" x14ac:dyDescent="0.2">
      <c r="A554" t="s">
        <v>5</v>
      </c>
      <c r="B554" t="s">
        <v>6</v>
      </c>
    </row>
    <row r="555" spans="1:19" x14ac:dyDescent="0.2">
      <c r="A555" t="s">
        <v>18</v>
      </c>
      <c r="B555" t="s">
        <v>236</v>
      </c>
    </row>
    <row r="556" spans="1:19" x14ac:dyDescent="0.2">
      <c r="A556" t="s">
        <v>9</v>
      </c>
      <c r="B556" t="s">
        <v>239</v>
      </c>
    </row>
    <row r="557" spans="1:19" x14ac:dyDescent="0.2">
      <c r="A557" t="s">
        <v>10</v>
      </c>
    </row>
    <row r="558" spans="1:19" ht="16" x14ac:dyDescent="0.2">
      <c r="A558" s="1" t="s">
        <v>11</v>
      </c>
      <c r="B558" s="1" t="s">
        <v>12</v>
      </c>
      <c r="C558" s="5" t="s">
        <v>7</v>
      </c>
      <c r="D558" s="5" t="s">
        <v>5</v>
      </c>
      <c r="E558" s="5" t="s">
        <v>13</v>
      </c>
      <c r="F558" s="5" t="s">
        <v>3</v>
      </c>
      <c r="G558" s="5" t="s">
        <v>2</v>
      </c>
      <c r="H558" s="5" t="s">
        <v>9</v>
      </c>
      <c r="I558" s="5"/>
      <c r="J558" s="5"/>
      <c r="K558" s="5"/>
      <c r="L558" s="5"/>
      <c r="M558" s="5"/>
      <c r="N558" s="5"/>
      <c r="O558" s="5"/>
      <c r="P558" s="5"/>
      <c r="Q558" s="5"/>
      <c r="R558" s="5"/>
      <c r="S558" s="5"/>
    </row>
    <row r="559" spans="1:19" s="28" customFormat="1" x14ac:dyDescent="0.2">
      <c r="A559" s="28" t="str">
        <f>B549</f>
        <v>carbon dioxide, captured, at cement production plant, using direct separation</v>
      </c>
      <c r="B559" s="28">
        <v>1</v>
      </c>
      <c r="C559" s="28" t="s">
        <v>8</v>
      </c>
      <c r="D559" s="28" t="s">
        <v>6</v>
      </c>
      <c r="F559" s="28" t="s">
        <v>15</v>
      </c>
      <c r="G559" s="28" t="str">
        <f>B552</f>
        <v>carbon dioxide, captured</v>
      </c>
    </row>
    <row r="560" spans="1:19" x14ac:dyDescent="0.2">
      <c r="A560" s="28" t="s">
        <v>97</v>
      </c>
      <c r="B560" s="29">
        <v>1</v>
      </c>
      <c r="C560" s="28" t="s">
        <v>8</v>
      </c>
      <c r="D560" s="28" t="s">
        <v>6</v>
      </c>
      <c r="E560" s="28"/>
      <c r="F560" s="28" t="s">
        <v>16</v>
      </c>
      <c r="G560" t="s">
        <v>98</v>
      </c>
      <c r="H560" s="28"/>
    </row>
    <row r="561" spans="1:19" s="26" customFormat="1" x14ac:dyDescent="0.2">
      <c r="A561" s="26" t="s">
        <v>34</v>
      </c>
      <c r="B561" s="32">
        <f>77*1/0.558/1000</f>
        <v>0.13799283154121864</v>
      </c>
      <c r="C561" s="26" t="s">
        <v>8</v>
      </c>
      <c r="D561" s="26" t="s">
        <v>23</v>
      </c>
      <c r="F561" s="26" t="s">
        <v>16</v>
      </c>
      <c r="G561" s="26" t="s">
        <v>24</v>
      </c>
      <c r="H561" s="26" t="s">
        <v>240</v>
      </c>
      <c r="N561" s="32"/>
    </row>
    <row r="564" spans="1:19" ht="16" x14ac:dyDescent="0.2">
      <c r="A564" s="1" t="s">
        <v>0</v>
      </c>
      <c r="B564" s="5" t="s">
        <v>305</v>
      </c>
    </row>
    <row r="565" spans="1:19" x14ac:dyDescent="0.2">
      <c r="A565" t="s">
        <v>7</v>
      </c>
      <c r="B565" t="s">
        <v>8</v>
      </c>
    </row>
    <row r="566" spans="1:19" ht="16" x14ac:dyDescent="0.2">
      <c r="A566" s="2" t="s">
        <v>1</v>
      </c>
      <c r="B566">
        <v>1</v>
      </c>
    </row>
    <row r="567" spans="1:19" x14ac:dyDescent="0.2">
      <c r="A567" t="s">
        <v>2</v>
      </c>
      <c r="B567" t="s">
        <v>294</v>
      </c>
    </row>
    <row r="568" spans="1:19" x14ac:dyDescent="0.2">
      <c r="A568" t="s">
        <v>3</v>
      </c>
      <c r="B568" t="s">
        <v>4</v>
      </c>
    </row>
    <row r="569" spans="1:19" x14ac:dyDescent="0.2">
      <c r="A569" t="s">
        <v>5</v>
      </c>
      <c r="B569" t="s">
        <v>6</v>
      </c>
    </row>
    <row r="570" spans="1:19" x14ac:dyDescent="0.2">
      <c r="A570" t="s">
        <v>18</v>
      </c>
      <c r="B570" t="s">
        <v>236</v>
      </c>
    </row>
    <row r="571" spans="1:19" x14ac:dyDescent="0.2">
      <c r="A571" t="s">
        <v>9</v>
      </c>
      <c r="B571" t="s">
        <v>241</v>
      </c>
    </row>
    <row r="572" spans="1:19" x14ac:dyDescent="0.2">
      <c r="A572" t="s">
        <v>10</v>
      </c>
    </row>
    <row r="573" spans="1:19" ht="16" x14ac:dyDescent="0.2">
      <c r="A573" s="1" t="s">
        <v>11</v>
      </c>
      <c r="B573" s="1" t="s">
        <v>12</v>
      </c>
      <c r="C573" s="5" t="s">
        <v>7</v>
      </c>
      <c r="D573" s="5" t="s">
        <v>5</v>
      </c>
      <c r="E573" s="5" t="s">
        <v>13</v>
      </c>
      <c r="F573" s="5" t="s">
        <v>3</v>
      </c>
      <c r="G573" s="5" t="s">
        <v>2</v>
      </c>
      <c r="H573" s="5" t="s">
        <v>9</v>
      </c>
      <c r="I573" s="5"/>
      <c r="J573" s="5"/>
      <c r="K573" s="5"/>
      <c r="L573" s="5"/>
      <c r="M573" s="5"/>
      <c r="N573" s="5"/>
      <c r="O573" s="5"/>
      <c r="P573" s="5"/>
      <c r="Q573" s="5"/>
      <c r="R573" s="5"/>
      <c r="S573" s="5"/>
    </row>
    <row r="574" spans="1:19" s="28" customFormat="1" x14ac:dyDescent="0.2">
      <c r="A574" s="28" t="str">
        <f>B564</f>
        <v>carbon dioxide, captured, at cement production plant, using oxyfuel</v>
      </c>
      <c r="B574" s="28">
        <v>1</v>
      </c>
      <c r="C574" s="28" t="s">
        <v>8</v>
      </c>
      <c r="D574" s="28" t="s">
        <v>6</v>
      </c>
      <c r="F574" s="28" t="s">
        <v>15</v>
      </c>
      <c r="G574" s="28" t="str">
        <f>B567</f>
        <v>carbon dioxide, captured</v>
      </c>
    </row>
    <row r="575" spans="1:19" x14ac:dyDescent="0.2">
      <c r="A575" s="28" t="s">
        <v>97</v>
      </c>
      <c r="B575" s="29">
        <v>1</v>
      </c>
      <c r="C575" s="28" t="s">
        <v>8</v>
      </c>
      <c r="D575" s="28" t="s">
        <v>6</v>
      </c>
      <c r="E575" s="28"/>
      <c r="F575" s="28" t="s">
        <v>16</v>
      </c>
      <c r="G575" t="s">
        <v>98</v>
      </c>
      <c r="H575" s="28"/>
    </row>
    <row r="576" spans="1:19" x14ac:dyDescent="0.2">
      <c r="A576" t="s">
        <v>248</v>
      </c>
      <c r="B576" s="6">
        <f>B574*32/44/(1-0.11)</f>
        <v>0.81716036772216549</v>
      </c>
      <c r="C576" t="s">
        <v>26</v>
      </c>
      <c r="D576" t="s">
        <v>6</v>
      </c>
      <c r="F576" t="s">
        <v>16</v>
      </c>
      <c r="G576" t="s">
        <v>246</v>
      </c>
      <c r="H576" t="s">
        <v>242</v>
      </c>
    </row>
    <row r="577" spans="1:22" x14ac:dyDescent="0.2">
      <c r="A577" t="s">
        <v>34</v>
      </c>
      <c r="B577" s="6">
        <f>(122-182-62)/758*0.459/3.6</f>
        <v>-2.0521108179419524E-2</v>
      </c>
      <c r="C577" t="s">
        <v>8</v>
      </c>
      <c r="D577" t="s">
        <v>23</v>
      </c>
      <c r="F577" t="s">
        <v>16</v>
      </c>
      <c r="G577" t="s">
        <v>24</v>
      </c>
      <c r="H577" t="s">
        <v>243</v>
      </c>
    </row>
    <row r="578" spans="1:22" ht="16.75" customHeight="1" x14ac:dyDescent="0.2">
      <c r="A578" t="s">
        <v>34</v>
      </c>
      <c r="B578" s="6">
        <f>59/758*0.459/3.6</f>
        <v>9.9241424802110813E-3</v>
      </c>
      <c r="C578" t="s">
        <v>8</v>
      </c>
      <c r="D578" t="s">
        <v>23</v>
      </c>
      <c r="F578" t="s">
        <v>16</v>
      </c>
      <c r="G578" t="s">
        <v>24</v>
      </c>
      <c r="H578" s="26" t="s">
        <v>244</v>
      </c>
    </row>
    <row r="579" spans="1:22" x14ac:dyDescent="0.2">
      <c r="A579" t="s">
        <v>34</v>
      </c>
      <c r="B579" s="6">
        <f>440/3600</f>
        <v>0.12222222222222222</v>
      </c>
      <c r="C579" t="s">
        <v>8</v>
      </c>
      <c r="D579" t="s">
        <v>23</v>
      </c>
      <c r="F579" t="s">
        <v>16</v>
      </c>
      <c r="G579" t="s">
        <v>24</v>
      </c>
      <c r="H579" t="s">
        <v>245</v>
      </c>
      <c r="M579" s="27"/>
      <c r="N579" s="31"/>
    </row>
    <row r="580" spans="1:22" x14ac:dyDescent="0.2">
      <c r="A580" t="s">
        <v>34</v>
      </c>
      <c r="B580" s="6">
        <f>0.03/3600</f>
        <v>8.3333333333333337E-6</v>
      </c>
      <c r="C580" t="s">
        <v>8</v>
      </c>
      <c r="D580" t="s">
        <v>23</v>
      </c>
      <c r="F580" t="s">
        <v>16</v>
      </c>
      <c r="G580" t="s">
        <v>24</v>
      </c>
      <c r="H580" t="s">
        <v>247</v>
      </c>
      <c r="M580" s="27"/>
      <c r="N580" s="31"/>
    </row>
    <row r="582" spans="1:22" ht="16" x14ac:dyDescent="0.2">
      <c r="A582" s="1" t="s">
        <v>0</v>
      </c>
      <c r="B582" s="34" t="s">
        <v>306</v>
      </c>
    </row>
    <row r="583" spans="1:22" x14ac:dyDescent="0.2">
      <c r="A583" t="s">
        <v>9</v>
      </c>
      <c r="B583" s="35" t="s">
        <v>254</v>
      </c>
    </row>
    <row r="584" spans="1:22" x14ac:dyDescent="0.2">
      <c r="A584" t="s">
        <v>7</v>
      </c>
      <c r="B584" s="35" t="s">
        <v>8</v>
      </c>
    </row>
    <row r="585" spans="1:22" x14ac:dyDescent="0.2">
      <c r="A585" t="s">
        <v>2</v>
      </c>
      <c r="B585" s="35" t="s">
        <v>294</v>
      </c>
    </row>
    <row r="586" spans="1:22" x14ac:dyDescent="0.2">
      <c r="A586" t="s">
        <v>5</v>
      </c>
      <c r="B586" s="35" t="s">
        <v>6</v>
      </c>
    </row>
    <row r="587" spans="1:22" x14ac:dyDescent="0.2">
      <c r="A587" s="5" t="s">
        <v>10</v>
      </c>
      <c r="B587" s="35"/>
    </row>
    <row r="588" spans="1:22" ht="16" x14ac:dyDescent="0.2">
      <c r="A588" s="1" t="s">
        <v>11</v>
      </c>
      <c r="B588" s="34" t="s">
        <v>12</v>
      </c>
      <c r="C588" s="1" t="s">
        <v>5</v>
      </c>
      <c r="D588" s="1" t="s">
        <v>13</v>
      </c>
      <c r="E588" s="1" t="s">
        <v>7</v>
      </c>
      <c r="F588" s="1" t="s">
        <v>3</v>
      </c>
      <c r="G588" s="1" t="s">
        <v>2</v>
      </c>
      <c r="H588" s="1"/>
      <c r="I588" s="1"/>
      <c r="J588" s="1"/>
      <c r="K588" s="1"/>
      <c r="L588" s="1"/>
      <c r="M588" s="1"/>
      <c r="N588" s="1"/>
      <c r="O588" s="1"/>
      <c r="P588" s="1"/>
      <c r="Q588" s="1"/>
      <c r="R588" s="1"/>
      <c r="S588" s="1"/>
      <c r="T588" s="1"/>
      <c r="U588" s="1"/>
      <c r="V588" s="1"/>
    </row>
    <row r="589" spans="1:22" x14ac:dyDescent="0.2">
      <c r="A589" t="str">
        <f>B582</f>
        <v>carbon dioxide, captured and stored, by land-use change</v>
      </c>
      <c r="B589" s="35">
        <v>1</v>
      </c>
      <c r="C589" t="str">
        <f>B586</f>
        <v>kilogram</v>
      </c>
      <c r="E589" t="str">
        <f>B584</f>
        <v>RER</v>
      </c>
      <c r="F589" t="s">
        <v>15</v>
      </c>
      <c r="G589" t="str">
        <f>B585</f>
        <v>carbon dioxide, captured</v>
      </c>
    </row>
    <row r="590" spans="1:22" x14ac:dyDescent="0.2">
      <c r="A590" t="s">
        <v>255</v>
      </c>
      <c r="B590" s="36">
        <v>1</v>
      </c>
      <c r="C590" t="s">
        <v>6</v>
      </c>
      <c r="D590" t="s">
        <v>256</v>
      </c>
      <c r="F590" t="s">
        <v>20</v>
      </c>
    </row>
    <row r="592" spans="1:22" ht="16" x14ac:dyDescent="0.2">
      <c r="A592" s="1" t="s">
        <v>0</v>
      </c>
      <c r="B592" s="1" t="s">
        <v>281</v>
      </c>
      <c r="M592" t="s">
        <v>183</v>
      </c>
    </row>
    <row r="593" spans="1:14" x14ac:dyDescent="0.2">
      <c r="A593" t="s">
        <v>7</v>
      </c>
      <c r="B593" t="s">
        <v>8</v>
      </c>
      <c r="M593" t="s">
        <v>183</v>
      </c>
    </row>
    <row r="594" spans="1:14" x14ac:dyDescent="0.2">
      <c r="A594" t="s">
        <v>1</v>
      </c>
      <c r="B594">
        <v>1</v>
      </c>
      <c r="M594" t="s">
        <v>183</v>
      </c>
    </row>
    <row r="595" spans="1:14" x14ac:dyDescent="0.2">
      <c r="A595" t="s">
        <v>2</v>
      </c>
      <c r="B595" t="s">
        <v>294</v>
      </c>
      <c r="M595" t="s">
        <v>183</v>
      </c>
    </row>
    <row r="596" spans="1:14" x14ac:dyDescent="0.2">
      <c r="A596" t="s">
        <v>3</v>
      </c>
      <c r="B596" t="s">
        <v>4</v>
      </c>
      <c r="M596" t="s">
        <v>183</v>
      </c>
    </row>
    <row r="597" spans="1:14" x14ac:dyDescent="0.2">
      <c r="A597" t="s">
        <v>5</v>
      </c>
      <c r="B597" t="s">
        <v>6</v>
      </c>
      <c r="M597" t="s">
        <v>183</v>
      </c>
    </row>
    <row r="598" spans="1:14" x14ac:dyDescent="0.2">
      <c r="A598" t="s">
        <v>9</v>
      </c>
      <c r="B598" t="s">
        <v>282</v>
      </c>
      <c r="M598" t="s">
        <v>183</v>
      </c>
    </row>
    <row r="599" spans="1:14" x14ac:dyDescent="0.2">
      <c r="A599" t="s">
        <v>18</v>
      </c>
      <c r="B599" t="s">
        <v>257</v>
      </c>
      <c r="M599" t="s">
        <v>183</v>
      </c>
    </row>
    <row r="600" spans="1:14" ht="16" x14ac:dyDescent="0.2">
      <c r="A600" s="1" t="s">
        <v>10</v>
      </c>
      <c r="M600" t="s">
        <v>183</v>
      </c>
    </row>
    <row r="601" spans="1:14" x14ac:dyDescent="0.2">
      <c r="A601" t="s">
        <v>11</v>
      </c>
      <c r="B601" t="s">
        <v>12</v>
      </c>
      <c r="C601" t="s">
        <v>7</v>
      </c>
      <c r="D601" t="s">
        <v>5</v>
      </c>
      <c r="E601" t="s">
        <v>13</v>
      </c>
      <c r="F601" t="s">
        <v>3</v>
      </c>
      <c r="G601" t="s">
        <v>172</v>
      </c>
      <c r="H601" t="s">
        <v>9</v>
      </c>
      <c r="I601" t="s">
        <v>2</v>
      </c>
    </row>
    <row r="602" spans="1:14" x14ac:dyDescent="0.2">
      <c r="A602" t="s">
        <v>186</v>
      </c>
      <c r="B602">
        <v>1.2300000000000001E-4</v>
      </c>
      <c r="D602" t="s">
        <v>6</v>
      </c>
      <c r="E602" t="s">
        <v>85</v>
      </c>
      <c r="F602" t="s">
        <v>20</v>
      </c>
      <c r="G602">
        <v>0</v>
      </c>
      <c r="H602" t="s">
        <v>258</v>
      </c>
      <c r="I602" t="s">
        <v>183</v>
      </c>
    </row>
    <row r="603" spans="1:14" x14ac:dyDescent="0.2">
      <c r="A603" t="s">
        <v>232</v>
      </c>
      <c r="B603" s="38">
        <v>6.0000000000000002E-6</v>
      </c>
      <c r="D603" t="s">
        <v>6</v>
      </c>
      <c r="E603" t="s">
        <v>85</v>
      </c>
      <c r="F603" t="s">
        <v>20</v>
      </c>
      <c r="G603">
        <v>0</v>
      </c>
      <c r="H603" t="s">
        <v>258</v>
      </c>
      <c r="I603" t="s">
        <v>183</v>
      </c>
    </row>
    <row r="604" spans="1:14" x14ac:dyDescent="0.2">
      <c r="A604" t="s">
        <v>259</v>
      </c>
      <c r="B604">
        <v>8.3199999999999996E-2</v>
      </c>
      <c r="D604" t="s">
        <v>49</v>
      </c>
      <c r="E604" t="s">
        <v>260</v>
      </c>
      <c r="F604" t="s">
        <v>20</v>
      </c>
      <c r="G604">
        <v>0</v>
      </c>
      <c r="H604" t="s">
        <v>261</v>
      </c>
      <c r="I604" t="s">
        <v>183</v>
      </c>
    </row>
    <row r="605" spans="1:14" x14ac:dyDescent="0.2">
      <c r="A605" t="s">
        <v>234</v>
      </c>
      <c r="B605" s="33">
        <f>((B604*1000)-(600*3.78541/1000))/1000</f>
        <v>8.0928753999999992E-2</v>
      </c>
      <c r="D605" t="s">
        <v>49</v>
      </c>
      <c r="E605" t="s">
        <v>262</v>
      </c>
      <c r="F605" t="s">
        <v>20</v>
      </c>
      <c r="G605">
        <v>0</v>
      </c>
      <c r="H605" t="s">
        <v>263</v>
      </c>
    </row>
    <row r="606" spans="1:14" x14ac:dyDescent="0.2">
      <c r="A606" t="str">
        <f>B592</f>
        <v>carbon dioxide, captured and stored, at wood burning power plant, pipeline 200km, storage 1000m</v>
      </c>
      <c r="B606">
        <v>1</v>
      </c>
      <c r="C606" t="s">
        <v>8</v>
      </c>
      <c r="D606" t="s">
        <v>6</v>
      </c>
      <c r="F606" t="s">
        <v>15</v>
      </c>
      <c r="G606">
        <v>0</v>
      </c>
      <c r="H606" t="s">
        <v>183</v>
      </c>
      <c r="I606" t="str">
        <f>B595</f>
        <v>carbon dioxide, captured</v>
      </c>
    </row>
    <row r="607" spans="1:14" x14ac:dyDescent="0.2">
      <c r="A607" s="28" t="s">
        <v>97</v>
      </c>
      <c r="B607">
        <v>1</v>
      </c>
      <c r="C607" t="s">
        <v>8</v>
      </c>
      <c r="D607" t="s">
        <v>6</v>
      </c>
      <c r="E607" t="s">
        <v>264</v>
      </c>
      <c r="F607" t="s">
        <v>16</v>
      </c>
      <c r="G607">
        <v>0</v>
      </c>
      <c r="H607" t="s">
        <v>183</v>
      </c>
      <c r="I607" t="s">
        <v>98</v>
      </c>
    </row>
    <row r="608" spans="1:14" s="28" customFormat="1" x14ac:dyDescent="0.2">
      <c r="A608" s="28" t="s">
        <v>34</v>
      </c>
      <c r="B608" s="29">
        <f>188/761*0.459/3.6</f>
        <v>3.1498028909329831E-2</v>
      </c>
      <c r="C608" s="28" t="s">
        <v>8</v>
      </c>
      <c r="D608" s="28" t="s">
        <v>23</v>
      </c>
      <c r="F608" s="28" t="s">
        <v>16</v>
      </c>
      <c r="G608" s="28">
        <v>0</v>
      </c>
      <c r="H608" s="28" t="s">
        <v>227</v>
      </c>
      <c r="I608" s="28" t="s">
        <v>24</v>
      </c>
      <c r="N608" s="29"/>
    </row>
    <row r="609" spans="1:17" s="28" customFormat="1" x14ac:dyDescent="0.2">
      <c r="A609" s="28" t="s">
        <v>34</v>
      </c>
      <c r="B609" s="29">
        <f>123/761*0.459/3.6</f>
        <v>2.0607752956636003E-2</v>
      </c>
      <c r="C609" s="28" t="s">
        <v>8</v>
      </c>
      <c r="D609" s="28" t="s">
        <v>23</v>
      </c>
      <c r="F609" s="28" t="s">
        <v>16</v>
      </c>
      <c r="G609" s="28">
        <v>0</v>
      </c>
      <c r="H609" s="28" t="s">
        <v>228</v>
      </c>
      <c r="I609" s="28" t="s">
        <v>24</v>
      </c>
      <c r="N609" s="29"/>
    </row>
    <row r="610" spans="1:17" s="28" customFormat="1" x14ac:dyDescent="0.2">
      <c r="A610" s="28" t="s">
        <v>34</v>
      </c>
      <c r="B610" s="29">
        <f>575/761*0.459/3.6</f>
        <v>9.63370565045992E-2</v>
      </c>
      <c r="C610" s="28" t="s">
        <v>8</v>
      </c>
      <c r="D610" s="28" t="s">
        <v>23</v>
      </c>
      <c r="F610" s="28" t="s">
        <v>16</v>
      </c>
      <c r="G610" s="28">
        <v>0</v>
      </c>
      <c r="H610" s="28" t="s">
        <v>237</v>
      </c>
      <c r="I610" s="28" t="s">
        <v>24</v>
      </c>
      <c r="N610" s="29"/>
      <c r="Q610" s="30"/>
    </row>
    <row r="611" spans="1:17" x14ac:dyDescent="0.2">
      <c r="A611" t="s">
        <v>284</v>
      </c>
      <c r="B611">
        <v>1.9099999999999998E-9</v>
      </c>
      <c r="C611" t="s">
        <v>8</v>
      </c>
      <c r="D611" t="s">
        <v>5</v>
      </c>
      <c r="E611" t="s">
        <v>264</v>
      </c>
      <c r="F611" t="s">
        <v>16</v>
      </c>
      <c r="G611">
        <v>0</v>
      </c>
      <c r="H611" t="s">
        <v>265</v>
      </c>
      <c r="I611" t="s">
        <v>285</v>
      </c>
    </row>
    <row r="612" spans="1:17" x14ac:dyDescent="0.2">
      <c r="A612" t="s">
        <v>266</v>
      </c>
      <c r="B612">
        <v>1.15E-8</v>
      </c>
      <c r="C612" t="s">
        <v>17</v>
      </c>
      <c r="D612" t="s">
        <v>5</v>
      </c>
      <c r="E612" t="s">
        <v>264</v>
      </c>
      <c r="F612" t="s">
        <v>16</v>
      </c>
      <c r="G612">
        <v>0</v>
      </c>
      <c r="H612" t="s">
        <v>267</v>
      </c>
      <c r="I612" t="s">
        <v>268</v>
      </c>
    </row>
    <row r="613" spans="1:17" x14ac:dyDescent="0.2">
      <c r="A613" t="s">
        <v>269</v>
      </c>
      <c r="B613">
        <v>8.2600000000000002E-5</v>
      </c>
      <c r="C613" t="s">
        <v>17</v>
      </c>
      <c r="D613" t="s">
        <v>6</v>
      </c>
      <c r="E613" t="s">
        <v>264</v>
      </c>
      <c r="F613" t="s">
        <v>16</v>
      </c>
      <c r="G613">
        <v>0</v>
      </c>
      <c r="H613" t="s">
        <v>261</v>
      </c>
      <c r="I613" t="s">
        <v>270</v>
      </c>
    </row>
    <row r="614" spans="1:17" x14ac:dyDescent="0.2">
      <c r="A614" t="s">
        <v>271</v>
      </c>
      <c r="B614">
        <v>1.9099999999999998E-9</v>
      </c>
      <c r="C614" t="s">
        <v>17</v>
      </c>
      <c r="D614" t="s">
        <v>5</v>
      </c>
      <c r="E614" t="s">
        <v>264</v>
      </c>
      <c r="F614" t="s">
        <v>16</v>
      </c>
      <c r="G614">
        <v>0</v>
      </c>
      <c r="H614" t="s">
        <v>272</v>
      </c>
      <c r="I614" t="s">
        <v>273</v>
      </c>
    </row>
    <row r="615" spans="1:17" x14ac:dyDescent="0.2">
      <c r="A615" t="s">
        <v>274</v>
      </c>
      <c r="B615">
        <v>6.4400000000000005E-10</v>
      </c>
      <c r="C615" t="s">
        <v>17</v>
      </c>
      <c r="D615" t="s">
        <v>5</v>
      </c>
      <c r="E615" t="s">
        <v>264</v>
      </c>
      <c r="F615" t="s">
        <v>16</v>
      </c>
      <c r="G615">
        <v>0</v>
      </c>
      <c r="H615" t="s">
        <v>275</v>
      </c>
      <c r="I615" t="s">
        <v>276</v>
      </c>
    </row>
    <row r="616" spans="1:17" x14ac:dyDescent="0.2">
      <c r="A616" t="s">
        <v>90</v>
      </c>
      <c r="B616" s="38">
        <v>1.4E-3</v>
      </c>
      <c r="C616" t="s">
        <v>17</v>
      </c>
      <c r="D616" t="s">
        <v>6</v>
      </c>
      <c r="E616" t="s">
        <v>264</v>
      </c>
      <c r="F616" t="s">
        <v>16</v>
      </c>
      <c r="G616">
        <v>0</v>
      </c>
      <c r="H616" s="28" t="s">
        <v>226</v>
      </c>
      <c r="I616" t="s">
        <v>141</v>
      </c>
    </row>
    <row r="617" spans="1:17" x14ac:dyDescent="0.2">
      <c r="A617" t="s">
        <v>277</v>
      </c>
      <c r="B617">
        <v>1.3399999999999999E-8</v>
      </c>
      <c r="C617" t="s">
        <v>17</v>
      </c>
      <c r="D617" t="s">
        <v>5</v>
      </c>
      <c r="E617" t="s">
        <v>264</v>
      </c>
      <c r="F617" t="s">
        <v>16</v>
      </c>
      <c r="G617">
        <v>0</v>
      </c>
      <c r="H617" t="s">
        <v>278</v>
      </c>
      <c r="I617" t="s">
        <v>279</v>
      </c>
    </row>
    <row r="618" spans="1:17" x14ac:dyDescent="0.2">
      <c r="A618" t="s">
        <v>91</v>
      </c>
      <c r="B618">
        <v>3.0400000000000002E-4</v>
      </c>
      <c r="C618" t="s">
        <v>17</v>
      </c>
      <c r="D618" t="s">
        <v>6</v>
      </c>
      <c r="E618" t="s">
        <v>264</v>
      </c>
      <c r="F618" t="s">
        <v>16</v>
      </c>
      <c r="G618">
        <v>0</v>
      </c>
      <c r="H618" t="s">
        <v>261</v>
      </c>
      <c r="I618" t="s">
        <v>142</v>
      </c>
    </row>
    <row r="619" spans="1:17" x14ac:dyDescent="0.2">
      <c r="A619" t="s">
        <v>73</v>
      </c>
      <c r="B619">
        <f>-1*B616</f>
        <v>-1.4E-3</v>
      </c>
      <c r="C619" t="s">
        <v>21</v>
      </c>
      <c r="D619" t="s">
        <v>6</v>
      </c>
      <c r="E619" t="s">
        <v>280</v>
      </c>
      <c r="F619" t="s">
        <v>16</v>
      </c>
      <c r="G619">
        <v>0</v>
      </c>
      <c r="H619" t="s">
        <v>258</v>
      </c>
      <c r="I619" t="s">
        <v>140</v>
      </c>
    </row>
    <row r="620" spans="1:17" x14ac:dyDescent="0.2">
      <c r="A620" t="s">
        <v>39</v>
      </c>
      <c r="B620">
        <v>1</v>
      </c>
      <c r="D620" t="s">
        <v>6</v>
      </c>
      <c r="E620" t="s">
        <v>37</v>
      </c>
      <c r="F620" t="s">
        <v>20</v>
      </c>
      <c r="G620">
        <v>0</v>
      </c>
      <c r="H620" t="s">
        <v>283</v>
      </c>
      <c r="M620" t="s">
        <v>183</v>
      </c>
    </row>
    <row r="622" spans="1:17" ht="16" x14ac:dyDescent="0.2">
      <c r="A622" s="1" t="s">
        <v>0</v>
      </c>
      <c r="B622" s="1" t="s">
        <v>307</v>
      </c>
    </row>
    <row r="623" spans="1:17" x14ac:dyDescent="0.2">
      <c r="A623" t="s">
        <v>1</v>
      </c>
      <c r="B623">
        <v>1</v>
      </c>
    </row>
    <row r="624" spans="1:17" x14ac:dyDescent="0.2">
      <c r="A624" t="s">
        <v>2</v>
      </c>
      <c r="B624" t="s">
        <v>294</v>
      </c>
    </row>
    <row r="625" spans="1:13" x14ac:dyDescent="0.2">
      <c r="A625" t="s">
        <v>3</v>
      </c>
      <c r="B625" t="s">
        <v>4</v>
      </c>
    </row>
    <row r="626" spans="1:13" x14ac:dyDescent="0.2">
      <c r="A626" t="s">
        <v>5</v>
      </c>
      <c r="B626" t="s">
        <v>6</v>
      </c>
    </row>
    <row r="627" spans="1:13" x14ac:dyDescent="0.2">
      <c r="A627" t="s">
        <v>7</v>
      </c>
      <c r="B627" t="s">
        <v>8</v>
      </c>
    </row>
    <row r="628" spans="1:13" x14ac:dyDescent="0.2">
      <c r="A628" t="s">
        <v>18</v>
      </c>
      <c r="B628" t="s">
        <v>308</v>
      </c>
    </row>
    <row r="629" spans="1:13" x14ac:dyDescent="0.2">
      <c r="A629" t="s">
        <v>9</v>
      </c>
      <c r="B629" t="s">
        <v>309</v>
      </c>
    </row>
    <row r="630" spans="1:13" ht="16" x14ac:dyDescent="0.2">
      <c r="A630" s="1" t="s">
        <v>10</v>
      </c>
    </row>
    <row r="631" spans="1:13" x14ac:dyDescent="0.2">
      <c r="A631" s="5" t="s">
        <v>11</v>
      </c>
      <c r="B631" s="5" t="s">
        <v>12</v>
      </c>
      <c r="C631" s="5" t="s">
        <v>7</v>
      </c>
      <c r="D631" s="5" t="s">
        <v>5</v>
      </c>
      <c r="E631" s="5" t="s">
        <v>13</v>
      </c>
      <c r="F631" s="5" t="s">
        <v>3</v>
      </c>
      <c r="G631" s="5" t="s">
        <v>2</v>
      </c>
      <c r="H631" s="5" t="s">
        <v>9</v>
      </c>
      <c r="I631" s="5" t="s">
        <v>172</v>
      </c>
      <c r="J631" s="5" t="s">
        <v>173</v>
      </c>
      <c r="K631" s="5" t="s">
        <v>215</v>
      </c>
      <c r="L631" s="5" t="s">
        <v>216</v>
      </c>
      <c r="M631" s="5" t="s">
        <v>182</v>
      </c>
    </row>
    <row r="632" spans="1:13" x14ac:dyDescent="0.2">
      <c r="A632" t="str">
        <f>B622</f>
        <v>carbon dioxide, captured and stored, from a hydrogen production plant using steam methane reforming of biomethane</v>
      </c>
      <c r="B632">
        <v>1</v>
      </c>
      <c r="C632" t="s">
        <v>8</v>
      </c>
      <c r="D632" t="s">
        <v>6</v>
      </c>
      <c r="F632" t="s">
        <v>15</v>
      </c>
      <c r="G632" t="s">
        <v>294</v>
      </c>
    </row>
    <row r="633" spans="1:13" x14ac:dyDescent="0.2">
      <c r="A633" t="s">
        <v>34</v>
      </c>
      <c r="B633" s="23">
        <f>AVERAGE(0.15,0.25)</f>
        <v>0.2</v>
      </c>
      <c r="C633" t="s">
        <v>8</v>
      </c>
      <c r="D633" t="s">
        <v>23</v>
      </c>
      <c r="F633" t="s">
        <v>16</v>
      </c>
      <c r="G633" t="s">
        <v>24</v>
      </c>
      <c r="H633" t="s">
        <v>310</v>
      </c>
      <c r="I633">
        <v>5</v>
      </c>
      <c r="J633" s="23">
        <f>B633</f>
        <v>0.2</v>
      </c>
      <c r="K633">
        <v>0.15</v>
      </c>
      <c r="L633">
        <v>0.25</v>
      </c>
    </row>
    <row r="634" spans="1:13" x14ac:dyDescent="0.2">
      <c r="A634" t="s">
        <v>31</v>
      </c>
      <c r="B634">
        <f>AVERAGE(1,2)</f>
        <v>1.5</v>
      </c>
      <c r="C634" t="s">
        <v>131</v>
      </c>
      <c r="D634" t="s">
        <v>6</v>
      </c>
      <c r="F634" t="s">
        <v>16</v>
      </c>
      <c r="G634" t="s">
        <v>32</v>
      </c>
      <c r="H634" t="s">
        <v>311</v>
      </c>
      <c r="I634">
        <v>5</v>
      </c>
      <c r="J634" s="23">
        <f>B634</f>
        <v>1.5</v>
      </c>
      <c r="K634">
        <v>1</v>
      </c>
      <c r="L634">
        <v>2</v>
      </c>
    </row>
    <row r="635" spans="1:13" x14ac:dyDescent="0.2">
      <c r="A635" t="s">
        <v>34</v>
      </c>
      <c r="B635">
        <f>AVERAGE(0.1,0.15)</f>
        <v>0.125</v>
      </c>
      <c r="C635" t="s">
        <v>8</v>
      </c>
      <c r="D635" t="s">
        <v>23</v>
      </c>
      <c r="F635" t="s">
        <v>16</v>
      </c>
      <c r="G635" t="s">
        <v>24</v>
      </c>
      <c r="H635" t="s">
        <v>312</v>
      </c>
      <c r="I635">
        <v>5</v>
      </c>
      <c r="J635" s="23">
        <f>B635</f>
        <v>0.125</v>
      </c>
      <c r="K635">
        <v>0.1</v>
      </c>
      <c r="L635">
        <v>0.15</v>
      </c>
    </row>
    <row r="636" spans="1:13" ht="16" x14ac:dyDescent="0.2">
      <c r="A636" s="15" t="s">
        <v>90</v>
      </c>
      <c r="B636">
        <v>5.0000000000000001E-3</v>
      </c>
      <c r="C636" t="s">
        <v>17</v>
      </c>
      <c r="D636" t="s">
        <v>6</v>
      </c>
      <c r="F636" t="s">
        <v>16</v>
      </c>
      <c r="G636" s="15" t="s">
        <v>141</v>
      </c>
      <c r="H636" t="s">
        <v>313</v>
      </c>
      <c r="I636">
        <v>5</v>
      </c>
      <c r="J636" s="23">
        <f>B636</f>
        <v>5.0000000000000001E-3</v>
      </c>
      <c r="K636">
        <v>4.0000000000000001E-3</v>
      </c>
      <c r="L636">
        <v>6.0000000000000001E-3</v>
      </c>
    </row>
    <row r="637" spans="1:13" x14ac:dyDescent="0.2">
      <c r="A637" t="s">
        <v>34</v>
      </c>
      <c r="B637">
        <f>AVERAGE(0.08,0.12)</f>
        <v>0.1</v>
      </c>
      <c r="C637" t="s">
        <v>8</v>
      </c>
      <c r="D637" t="s">
        <v>23</v>
      </c>
      <c r="F637" t="s">
        <v>16</v>
      </c>
      <c r="G637" t="s">
        <v>24</v>
      </c>
      <c r="H637" t="s">
        <v>314</v>
      </c>
      <c r="I637">
        <v>5</v>
      </c>
      <c r="J637" s="23">
        <f>B637</f>
        <v>0.1</v>
      </c>
      <c r="K637">
        <v>0.08</v>
      </c>
      <c r="L637">
        <v>0.12</v>
      </c>
    </row>
    <row r="638" spans="1:13" x14ac:dyDescent="0.2">
      <c r="A638" t="s">
        <v>42</v>
      </c>
      <c r="B638" s="6">
        <v>1.2E-5</v>
      </c>
      <c r="C638" t="s">
        <v>17</v>
      </c>
      <c r="D638" t="s">
        <v>6</v>
      </c>
      <c r="F638" t="s">
        <v>16</v>
      </c>
      <c r="G638" t="s">
        <v>30</v>
      </c>
      <c r="H638" t="s">
        <v>315</v>
      </c>
    </row>
    <row r="639" spans="1:13" x14ac:dyDescent="0.2">
      <c r="A639" t="s">
        <v>43</v>
      </c>
      <c r="B639" s="6">
        <v>3.9999999999999998E-6</v>
      </c>
      <c r="C639" t="s">
        <v>8</v>
      </c>
      <c r="D639" t="s">
        <v>6</v>
      </c>
      <c r="F639" t="s">
        <v>16</v>
      </c>
      <c r="G639" t="s">
        <v>50</v>
      </c>
      <c r="H639" t="s">
        <v>316</v>
      </c>
    </row>
    <row r="640" spans="1:13" x14ac:dyDescent="0.2">
      <c r="A640" t="s">
        <v>195</v>
      </c>
      <c r="B640" s="6">
        <f>B634*-1/1000</f>
        <v>-1.5E-3</v>
      </c>
      <c r="C640" t="s">
        <v>131</v>
      </c>
      <c r="D640" t="s">
        <v>49</v>
      </c>
      <c r="F640" t="s">
        <v>16</v>
      </c>
      <c r="G640" t="s">
        <v>149</v>
      </c>
    </row>
    <row r="641" spans="1:13" x14ac:dyDescent="0.2">
      <c r="A641" s="28" t="s">
        <v>97</v>
      </c>
      <c r="B641">
        <v>1</v>
      </c>
      <c r="C641" t="s">
        <v>8</v>
      </c>
      <c r="D641" t="s">
        <v>6</v>
      </c>
      <c r="F641" t="s">
        <v>16</v>
      </c>
      <c r="G641" t="s">
        <v>98</v>
      </c>
      <c r="H641" t="s">
        <v>183</v>
      </c>
    </row>
    <row r="642" spans="1:13" x14ac:dyDescent="0.2">
      <c r="A642" t="s">
        <v>39</v>
      </c>
      <c r="B642">
        <v>1</v>
      </c>
      <c r="D642" t="s">
        <v>6</v>
      </c>
      <c r="E642" t="s">
        <v>37</v>
      </c>
      <c r="F642" t="s">
        <v>20</v>
      </c>
      <c r="G642">
        <v>0</v>
      </c>
      <c r="H642" t="s">
        <v>283</v>
      </c>
      <c r="M642" t="s">
        <v>183</v>
      </c>
    </row>
    <row r="644" spans="1:13" ht="16" x14ac:dyDescent="0.2">
      <c r="A644" s="1" t="s">
        <v>0</v>
      </c>
      <c r="B644" s="1" t="s">
        <v>318</v>
      </c>
    </row>
    <row r="645" spans="1:13" x14ac:dyDescent="0.2">
      <c r="A645" t="s">
        <v>1</v>
      </c>
      <c r="B645">
        <v>1</v>
      </c>
    </row>
    <row r="646" spans="1:13" x14ac:dyDescent="0.2">
      <c r="A646" t="s">
        <v>2</v>
      </c>
      <c r="B646" t="s">
        <v>294</v>
      </c>
    </row>
    <row r="647" spans="1:13" x14ac:dyDescent="0.2">
      <c r="A647" t="s">
        <v>3</v>
      </c>
      <c r="B647" t="s">
        <v>4</v>
      </c>
    </row>
    <row r="648" spans="1:13" x14ac:dyDescent="0.2">
      <c r="A648" t="s">
        <v>5</v>
      </c>
      <c r="B648" t="s">
        <v>6</v>
      </c>
    </row>
    <row r="649" spans="1:13" x14ac:dyDescent="0.2">
      <c r="A649" t="s">
        <v>7</v>
      </c>
      <c r="B649" t="s">
        <v>8</v>
      </c>
    </row>
    <row r="650" spans="1:13" x14ac:dyDescent="0.2">
      <c r="A650" t="s">
        <v>18</v>
      </c>
      <c r="B650" s="6" t="s">
        <v>319</v>
      </c>
    </row>
    <row r="651" spans="1:13" x14ac:dyDescent="0.2">
      <c r="A651" t="s">
        <v>9</v>
      </c>
      <c r="B651" t="s">
        <v>320</v>
      </c>
    </row>
    <row r="652" spans="1:13" ht="16" x14ac:dyDescent="0.2">
      <c r="A652" s="1" t="s">
        <v>10</v>
      </c>
    </row>
    <row r="653" spans="1:13" x14ac:dyDescent="0.2">
      <c r="A653" s="5" t="s">
        <v>11</v>
      </c>
      <c r="B653" s="5" t="s">
        <v>12</v>
      </c>
      <c r="C653" s="5" t="s">
        <v>7</v>
      </c>
      <c r="D653" s="5" t="s">
        <v>5</v>
      </c>
      <c r="E653" s="5" t="s">
        <v>13</v>
      </c>
      <c r="F653" s="5" t="s">
        <v>3</v>
      </c>
      <c r="G653" s="5" t="s">
        <v>2</v>
      </c>
      <c r="H653" s="5" t="s">
        <v>9</v>
      </c>
      <c r="I653" s="5" t="s">
        <v>172</v>
      </c>
      <c r="J653" s="5" t="s">
        <v>173</v>
      </c>
      <c r="K653" s="5" t="s">
        <v>215</v>
      </c>
      <c r="L653" s="5" t="s">
        <v>216</v>
      </c>
      <c r="M653" s="5" t="s">
        <v>182</v>
      </c>
    </row>
    <row r="654" spans="1:13" x14ac:dyDescent="0.2">
      <c r="A654" t="str">
        <f>B644</f>
        <v>carbon dioxide, captured and stored, from a biomass fermentation plant</v>
      </c>
      <c r="B654">
        <v>1</v>
      </c>
      <c r="C654" t="s">
        <v>8</v>
      </c>
      <c r="D654" t="s">
        <v>6</v>
      </c>
      <c r="F654" t="s">
        <v>15</v>
      </c>
      <c r="G654" t="s">
        <v>294</v>
      </c>
    </row>
    <row r="655" spans="1:13" x14ac:dyDescent="0.2">
      <c r="A655" t="s">
        <v>34</v>
      </c>
      <c r="B655" s="23">
        <v>0.11</v>
      </c>
      <c r="C655" t="s">
        <v>8</v>
      </c>
      <c r="D655" t="s">
        <v>23</v>
      </c>
      <c r="F655" t="s">
        <v>16</v>
      </c>
      <c r="G655" t="s">
        <v>24</v>
      </c>
      <c r="H655" t="s">
        <v>310</v>
      </c>
      <c r="I655">
        <v>5</v>
      </c>
      <c r="J655" s="23">
        <f>B655</f>
        <v>0.11</v>
      </c>
      <c r="K655">
        <v>0.1</v>
      </c>
      <c r="L655">
        <v>0.2</v>
      </c>
    </row>
    <row r="656" spans="1:13" x14ac:dyDescent="0.2">
      <c r="A656" s="28" t="s">
        <v>97</v>
      </c>
      <c r="B656">
        <v>1</v>
      </c>
      <c r="C656" t="s">
        <v>8</v>
      </c>
      <c r="D656" t="s">
        <v>6</v>
      </c>
      <c r="F656" t="s">
        <v>16</v>
      </c>
      <c r="G656" t="s">
        <v>98</v>
      </c>
      <c r="H656" t="s">
        <v>183</v>
      </c>
    </row>
    <row r="657" spans="1:13" x14ac:dyDescent="0.2">
      <c r="A657" t="s">
        <v>39</v>
      </c>
      <c r="B657">
        <v>1</v>
      </c>
      <c r="D657" t="s">
        <v>6</v>
      </c>
      <c r="E657" t="s">
        <v>37</v>
      </c>
      <c r="F657" t="s">
        <v>20</v>
      </c>
      <c r="H657" t="s">
        <v>283</v>
      </c>
      <c r="M657" t="s">
        <v>183</v>
      </c>
    </row>
  </sheetData>
  <autoFilter ref="A1:V620" xr:uid="{00000000-0001-0000-0000-000000000000}"/>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Sacchi, Romain</cp:lastModifiedBy>
  <dcterms:created xsi:type="dcterms:W3CDTF">2020-03-25T12:49:40Z</dcterms:created>
  <dcterms:modified xsi:type="dcterms:W3CDTF">2025-10-07T12:59:42Z</dcterms:modified>
</cp:coreProperties>
</file>