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2"/>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01839C0-140C-FF4E-ABD6-C729D73A0B0A}" xr6:coauthVersionLast="47" xr6:coauthVersionMax="47" xr10:uidLastSave="{00000000-0000-0000-0000-000000000000}"/>
  <bookViews>
    <workbookView xWindow="35040" yWindow="-1100" windowWidth="30240" windowHeight="18880" xr2:uid="{00000000-000D-0000-FFFF-FFFF00000000}"/>
  </bookViews>
  <sheets>
    <sheet name="inventories" sheetId="1" r:id="rId1"/>
    <sheet name="parameters" sheetId="2" r:id="rId2"/>
  </sheets>
  <definedNames>
    <definedName name="_xlnm._FilterDatabase" localSheetId="0" hidden="1">inventories!$A$1:$J$25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62" i="1" l="1"/>
  <c r="K162" i="1"/>
  <c r="B162" i="1"/>
  <c r="L77" i="1"/>
  <c r="K77" i="1"/>
  <c r="B77" i="1"/>
  <c r="L161" i="1"/>
  <c r="K161" i="1"/>
  <c r="B161" i="1"/>
  <c r="L159" i="1"/>
  <c r="K159" i="1"/>
  <c r="B159" i="1"/>
  <c r="L158" i="1"/>
  <c r="K158" i="1"/>
  <c r="B158" i="1"/>
  <c r="L157" i="1"/>
  <c r="K157" i="1"/>
  <c r="B157" i="1"/>
  <c r="L156" i="1"/>
  <c r="K156" i="1"/>
  <c r="B156" i="1"/>
  <c r="L155" i="1"/>
  <c r="K155" i="1"/>
  <c r="L151" i="1"/>
  <c r="K151" i="1"/>
  <c r="B151" i="1"/>
  <c r="L132" i="1"/>
  <c r="L131" i="1"/>
  <c r="L130" i="1"/>
  <c r="L129" i="1"/>
  <c r="L128" i="1"/>
  <c r="L127" i="1"/>
  <c r="L126" i="1"/>
  <c r="K132" i="1"/>
  <c r="K131" i="1"/>
  <c r="K130" i="1"/>
  <c r="K129" i="1"/>
  <c r="K128" i="1"/>
  <c r="K127" i="1"/>
  <c r="K126" i="1"/>
  <c r="B132" i="1"/>
  <c r="B131" i="1"/>
  <c r="B130" i="1"/>
  <c r="B129" i="1"/>
  <c r="B128" i="1"/>
  <c r="B127" i="1"/>
  <c r="B126" i="1"/>
  <c r="L125" i="1"/>
  <c r="K125" i="1"/>
  <c r="L121" i="1"/>
  <c r="K121" i="1"/>
  <c r="B121" i="1"/>
  <c r="L103" i="1"/>
  <c r="K103" i="1"/>
  <c r="B103" i="1"/>
  <c r="L102" i="1"/>
  <c r="K102" i="1"/>
  <c r="B102" i="1"/>
  <c r="L101" i="1"/>
  <c r="K101" i="1"/>
  <c r="B101" i="1"/>
  <c r="L100" i="1"/>
  <c r="K100" i="1"/>
  <c r="B100" i="1"/>
  <c r="L99" i="1"/>
  <c r="K99" i="1"/>
  <c r="L95" i="1"/>
  <c r="K95" i="1"/>
  <c r="B95" i="1"/>
  <c r="L76" i="1"/>
  <c r="K76" i="1"/>
  <c r="B76" i="1"/>
  <c r="L75" i="1"/>
  <c r="K75" i="1"/>
  <c r="B75" i="1"/>
  <c r="L74" i="1"/>
  <c r="K74" i="1"/>
  <c r="B74" i="1"/>
  <c r="L73" i="1"/>
  <c r="K73" i="1"/>
  <c r="B73" i="1"/>
  <c r="L72" i="1"/>
  <c r="K72" i="1"/>
  <c r="B72" i="1"/>
  <c r="L67" i="1"/>
  <c r="K67" i="1"/>
  <c r="B67" i="1"/>
  <c r="L45" i="1"/>
  <c r="K45" i="1"/>
  <c r="B45" i="1"/>
  <c r="L20" i="1"/>
  <c r="K20" i="1"/>
  <c r="B20" i="1"/>
  <c r="B144" i="1"/>
  <c r="B114" i="1"/>
  <c r="B88" i="1"/>
  <c r="B60" i="1"/>
  <c r="B38" i="1"/>
  <c r="B13" i="1"/>
  <c r="B147" i="1"/>
  <c r="B146" i="1"/>
  <c r="B145" i="1"/>
  <c r="B117" i="1"/>
  <c r="B116" i="1"/>
  <c r="B115" i="1"/>
  <c r="B91" i="1"/>
  <c r="B90" i="1"/>
  <c r="B89" i="1"/>
  <c r="B63" i="1"/>
  <c r="B62" i="1"/>
  <c r="B61" i="1"/>
  <c r="B41" i="1"/>
  <c r="B40" i="1"/>
  <c r="B39" i="1"/>
  <c r="B16" i="1"/>
  <c r="B15" i="1"/>
  <c r="B14" i="1"/>
  <c r="C20" i="2"/>
  <c r="C21" i="2"/>
  <c r="C16" i="2"/>
  <c r="C19" i="2"/>
  <c r="C15" i="2"/>
  <c r="C18" i="2"/>
  <c r="P7" i="2"/>
  <c r="P8" i="2"/>
  <c r="P9" i="2"/>
  <c r="P10" i="2"/>
  <c r="O7" i="2"/>
  <c r="O8" i="2"/>
  <c r="O9" i="2"/>
  <c r="O10" i="2"/>
  <c r="N7" i="2"/>
  <c r="N8" i="2"/>
  <c r="N9" i="2"/>
  <c r="N10" i="2"/>
  <c r="N6" i="2"/>
  <c r="L160" i="1" l="1"/>
  <c r="B160" i="1"/>
  <c r="B155" i="1"/>
  <c r="B154" i="1" l="1"/>
  <c r="J161" i="1"/>
  <c r="J132" i="1"/>
  <c r="B124" i="1"/>
  <c r="B125" i="1" l="1"/>
  <c r="J125" i="1" s="1"/>
  <c r="J157" i="1"/>
  <c r="J159" i="1"/>
  <c r="J151" i="1"/>
  <c r="J156" i="1"/>
  <c r="J158" i="1"/>
  <c r="J160" i="1"/>
  <c r="K160" i="1" s="1"/>
  <c r="J162" i="1"/>
  <c r="J155" i="1"/>
  <c r="J126" i="1"/>
  <c r="J128" i="1"/>
  <c r="J129" i="1"/>
  <c r="J127" i="1"/>
  <c r="J121" i="1"/>
  <c r="B143" i="1" l="1"/>
  <c r="B142" i="1"/>
  <c r="B141" i="1"/>
  <c r="B152" i="1" s="1"/>
  <c r="G150" i="1"/>
  <c r="E150" i="1"/>
  <c r="A150" i="1"/>
  <c r="H7" i="2"/>
  <c r="H8" i="2"/>
  <c r="G8" i="2"/>
  <c r="G10" i="2"/>
  <c r="H10" i="2" s="1"/>
  <c r="G4" i="2"/>
  <c r="H4" i="2" s="1"/>
  <c r="E5" i="2"/>
  <c r="G5" i="2" s="1"/>
  <c r="H5" i="2" s="1"/>
  <c r="E6" i="2"/>
  <c r="G6" i="2" s="1"/>
  <c r="H6" i="2" s="1"/>
  <c r="E7" i="2"/>
  <c r="G7" i="2" s="1"/>
  <c r="E8" i="2"/>
  <c r="E9" i="2"/>
  <c r="G9" i="2" s="1"/>
  <c r="H9" i="2" s="1"/>
  <c r="E10" i="2"/>
  <c r="E4" i="2"/>
  <c r="B113" i="1"/>
  <c r="B112" i="1"/>
  <c r="B111" i="1"/>
  <c r="G120" i="1"/>
  <c r="E120" i="1"/>
  <c r="A120" i="1"/>
  <c r="O5" i="2"/>
  <c r="B86" i="1" s="1"/>
  <c r="P5" i="2"/>
  <c r="B87" i="1" s="1"/>
  <c r="O6" i="2"/>
  <c r="B58" i="1" s="1"/>
  <c r="P6" i="2"/>
  <c r="B11" i="1"/>
  <c r="L24" i="1" s="1"/>
  <c r="B12" i="1"/>
  <c r="K21" i="1" s="1"/>
  <c r="B36" i="1"/>
  <c r="B37" i="1"/>
  <c r="P4" i="2"/>
  <c r="O4" i="2"/>
  <c r="B98" i="1"/>
  <c r="B71" i="1"/>
  <c r="B49" i="1"/>
  <c r="B46" i="1"/>
  <c r="B26" i="1"/>
  <c r="N4" i="2"/>
  <c r="I8" i="2"/>
  <c r="B35" i="1" s="1"/>
  <c r="I7" i="2"/>
  <c r="B10" i="1" s="1"/>
  <c r="I6" i="2"/>
  <c r="B57" i="1" s="1"/>
  <c r="I5" i="2"/>
  <c r="N5" i="2" s="1"/>
  <c r="B85" i="1" s="1"/>
  <c r="K153" i="1" l="1"/>
  <c r="K152" i="1"/>
  <c r="L153" i="1"/>
  <c r="L152" i="1"/>
  <c r="J152" i="1"/>
  <c r="B153" i="1"/>
  <c r="J153" i="1" s="1"/>
  <c r="B123" i="1"/>
  <c r="B122" i="1"/>
  <c r="L123" i="1"/>
  <c r="L122" i="1"/>
  <c r="K122" i="1"/>
  <c r="K123" i="1"/>
  <c r="K22" i="1"/>
  <c r="B68" i="1"/>
  <c r="K23" i="1"/>
  <c r="L48" i="1"/>
  <c r="L47" i="1"/>
  <c r="L46" i="1"/>
  <c r="L70" i="1"/>
  <c r="L69" i="1"/>
  <c r="L68" i="1"/>
  <c r="B97" i="1"/>
  <c r="B96" i="1"/>
  <c r="K96" i="1"/>
  <c r="K97" i="1"/>
  <c r="L96" i="1"/>
  <c r="L97" i="1"/>
  <c r="K48" i="1"/>
  <c r="K47" i="1"/>
  <c r="K46" i="1"/>
  <c r="B59" i="1"/>
  <c r="K24" i="1"/>
  <c r="L25" i="1"/>
  <c r="K25" i="1"/>
  <c r="L21" i="1"/>
  <c r="L22" i="1"/>
  <c r="L23" i="1"/>
  <c r="B48" i="1"/>
  <c r="B23" i="1"/>
  <c r="B69" i="1"/>
  <c r="B70" i="1"/>
  <c r="B24" i="1"/>
  <c r="J24" i="1" s="1"/>
  <c r="B21" i="1"/>
  <c r="B25" i="1"/>
  <c r="B47" i="1"/>
  <c r="B22" i="1"/>
  <c r="B99" i="1"/>
  <c r="J99" i="1" s="1"/>
  <c r="J123" i="1" l="1"/>
  <c r="J131" i="1"/>
  <c r="J122" i="1"/>
  <c r="J130" i="1"/>
  <c r="K68" i="1"/>
  <c r="K69" i="1"/>
  <c r="K70" i="1"/>
  <c r="J95" i="1"/>
  <c r="J100" i="1"/>
  <c r="J103" i="1"/>
  <c r="J102" i="1"/>
  <c r="J101" i="1"/>
  <c r="J97" i="1" l="1"/>
  <c r="J96" i="1"/>
  <c r="G94" i="1"/>
  <c r="E94" i="1"/>
  <c r="A94" i="1"/>
  <c r="J70" i="1" l="1"/>
  <c r="J69" i="1"/>
  <c r="J68" i="1"/>
  <c r="J46" i="1"/>
  <c r="J23" i="1"/>
  <c r="J22" i="1"/>
  <c r="J21" i="1"/>
  <c r="G66" i="1"/>
  <c r="E66" i="1"/>
  <c r="A66" i="1"/>
  <c r="J45" i="1"/>
  <c r="J25" i="1"/>
  <c r="J48" i="1"/>
  <c r="J47" i="1"/>
  <c r="G44" i="1"/>
  <c r="E44" i="1"/>
  <c r="A44" i="1"/>
  <c r="E19" i="1"/>
  <c r="J20" i="1"/>
  <c r="G19" i="1"/>
  <c r="A19" i="1"/>
  <c r="J76" i="1" l="1"/>
  <c r="J77" i="1"/>
  <c r="J67" i="1"/>
  <c r="J75" i="1"/>
  <c r="J74" i="1"/>
  <c r="J73" i="1"/>
  <c r="J72" i="1"/>
  <c r="B27" i="1"/>
</calcChain>
</file>

<file path=xl/sharedStrings.xml><?xml version="1.0" encoding="utf-8"?>
<sst xmlns="http://schemas.openxmlformats.org/spreadsheetml/2006/main" count="557" uniqueCount="165">
  <si>
    <t>Database</t>
  </si>
  <si>
    <t>format</t>
  </si>
  <si>
    <t>Excel spreadsheet</t>
  </si>
  <si>
    <t>Activity</t>
  </si>
  <si>
    <t>location</t>
  </si>
  <si>
    <t>RER</t>
  </si>
  <si>
    <t>reference product</t>
  </si>
  <si>
    <t>type</t>
  </si>
  <si>
    <t>unit</t>
  </si>
  <si>
    <t>kilogram</t>
  </si>
  <si>
    <t>source</t>
  </si>
  <si>
    <t>comment</t>
  </si>
  <si>
    <t>Exchanges</t>
  </si>
  <si>
    <t>name</t>
  </si>
  <si>
    <t>amount</t>
  </si>
  <si>
    <t>categories</t>
  </si>
  <si>
    <t>production</t>
  </si>
  <si>
    <t>technosphere</t>
  </si>
  <si>
    <t>ton kilometer</t>
  </si>
  <si>
    <t>GLO</t>
  </si>
  <si>
    <t>biosphere</t>
  </si>
  <si>
    <t>kilowatt hour</t>
  </si>
  <si>
    <t>electricity, low voltage</t>
  </si>
  <si>
    <t>air</t>
  </si>
  <si>
    <t>Nitrogen oxides</t>
  </si>
  <si>
    <t>Ammonia</t>
  </si>
  <si>
    <t>Formaldehyde</t>
  </si>
  <si>
    <t>fuel cell system assembly, 1 kWe, proton exchange membrane (PEM)</t>
  </si>
  <si>
    <t>fuel cell system, 1 kWe, proton exchange membrane (PEM)</t>
  </si>
  <si>
    <t>fuel tank assembly, compressed hydrogen gas, 700bar</t>
  </si>
  <si>
    <t>fuel tank, compressed hydrogen gas, 700bar</t>
  </si>
  <si>
    <t>market for battery capacity (MIX scenario)</t>
  </si>
  <si>
    <t>electricity storage capacity</t>
  </si>
  <si>
    <t>lci-ships</t>
  </si>
  <si>
    <t>transport, freight, sea, container ship, powered with hydrogen</t>
  </si>
  <si>
    <t>ecoinvent 3.10.1, with additional assumptions.</t>
  </si>
  <si>
    <t>transport, freight, sea, container ship</t>
  </si>
  <si>
    <t>uncertainty type</t>
  </si>
  <si>
    <t>minimum</t>
  </si>
  <si>
    <t>maximum</t>
  </si>
  <si>
    <t>market for hydrogen, gaseous, low pressure</t>
  </si>
  <si>
    <t>hydrogen, gaseous, low pressure</t>
  </si>
  <si>
    <t>Water</t>
  </si>
  <si>
    <t>container ship</t>
  </si>
  <si>
    <t>market for container ship</t>
  </si>
  <si>
    <t>loc</t>
  </si>
  <si>
    <t>A 1600 kW fuel cell system is assumed with a ship lifetime of 1.8e11 tkm.</t>
  </si>
  <si>
    <t>A 201'000 kg liquid H2 tank is considered, with a gravimetric density of 0.5, to store 1700 kg H2 onboard, with a ship lifetime of 1.8e11 tkm.</t>
  </si>
  <si>
    <t>A 670 MWh battery system is assumed, which is about 10% of the battery system of a battery electric ship.</t>
  </si>
  <si>
    <t>maintenance, container ship</t>
  </si>
  <si>
    <t>market for maintenance, container ship</t>
  </si>
  <si>
    <t>port facilities</t>
  </si>
  <si>
    <t>market for port facilities</t>
  </si>
  <si>
    <t>transport, freight, sea, container ship, powered with electricity</t>
  </si>
  <si>
    <t>50% penalty of load carrying capacity, due to the low gravimetric density of batteries.</t>
  </si>
  <si>
    <t>We assume a combined tank-to-wake efficiency of ~80%, so about the twice as much as the oil-powered option.</t>
  </si>
  <si>
    <t>A 6'700 MWh battery system is assumed, based on various prototypes.</t>
  </si>
  <si>
    <t>transport, freight, sea, container ship, powered with liquid ammonia</t>
  </si>
  <si>
    <t>ammonia production, hydrogen from electrolysis</t>
  </si>
  <si>
    <t>ammonia, anhydrous, liquid</t>
  </si>
  <si>
    <t>5 MWh battery system to support startup and load ramping.</t>
  </si>
  <si>
    <t>Based on the ecoinvent dataset transport, freight, sea, container ship, to which we add batteries, an electric motor and a hydrogen input and corresponding emissions. We assume a 50% penalty for the lifetime transport performance, compared to an oil-powered ship, due to the gravimetric density of batteries. This is of course highly uncertain, and is reflect in the distribution ranges. We further assume the battery electric ship is about twice as efficient as the oil-powered one.</t>
  </si>
  <si>
    <t>Carbon monoxide, non-fossil</t>
  </si>
  <si>
    <t>Particulate Matter, &lt; 2.5 um</t>
  </si>
  <si>
    <t>NMVOC, non-methane volatile organic compounds</t>
  </si>
  <si>
    <t>20% penalty of load carrying capacity, due to the low gravimetric density of liquid ammonia.</t>
  </si>
  <si>
    <t>transport, freight, sea, container ship, powered with methanol</t>
  </si>
  <si>
    <t>20% penalty of load carrying capacity, due to the low gravimetric density of methanol.</t>
  </si>
  <si>
    <t>methanol distillation, hydrogen from electrolysis, CO2 from DAC</t>
  </si>
  <si>
    <t>methanol, purified</t>
  </si>
  <si>
    <t>Assumes similar efficiency as with an oil-powered ship. Methanol LHV: 19.9 MJ/kg.</t>
  </si>
  <si>
    <t>Carbon dioxide, non-fossil</t>
  </si>
  <si>
    <t>Assumes 1.37 kg CO2 emitted per kg of methanol combusted.</t>
  </si>
  <si>
    <t>0.00013 kg CO/kWh shaft power. 44% efficiency. 18.6 MJ/kg ammonia.</t>
  </si>
  <si>
    <t>0.0026 kg NOx/kWh shaft power. 44% efficiency. 18.6 MJ/kg ammonia.</t>
  </si>
  <si>
    <t>0.00002 kg PM 2.5/kWh shaft power. 44% efficiency. 18.6 MJ/kg ammonia.</t>
  </si>
  <si>
    <t>2.8e-6 kg NMVOC/kWh shaft power. 44% efficiency. 18.6 MJ/kg ammonia.</t>
  </si>
  <si>
    <t>0.00004 kg NH3/kWh shaft power. 44% efficiency. 18.6 MJ/kg ammonia.</t>
  </si>
  <si>
    <t>0.000046 kg N2O/kWh shaft power.  44% efficiency. 18.6 MJ/kg ammonia. Min-max represent 0.01g-0.13g N2O/kWh shaft power.</t>
  </si>
  <si>
    <t>skip</t>
  </si>
  <si>
    <t>Fuel</t>
  </si>
  <si>
    <t>LHV (MJ/L)</t>
  </si>
  <si>
    <t>Relative to Diesel</t>
  </si>
  <si>
    <t>Diesel</t>
  </si>
  <si>
    <t>~36</t>
  </si>
  <si>
    <t>Methanol</t>
  </si>
  <si>
    <t>~15.8</t>
  </si>
  <si>
    <t>Liquid Ammonia</t>
  </si>
  <si>
    <t>~12.7</t>
  </si>
  <si>
    <t>Liquid Hydrogen</t>
  </si>
  <si>
    <t>~8–10</t>
  </si>
  <si>
    <t>Li-ion Batteries</t>
  </si>
  <si>
    <t>~0.25–0.35</t>
  </si>
  <si>
    <t>Mean Cargo Penalty Estimate</t>
  </si>
  <si>
    <t>Min Cargo Penalty Estimate</t>
  </si>
  <si>
    <t>Max Cargo Penalty Estimate</t>
  </si>
  <si>
    <t>total lifetime work, mean</t>
  </si>
  <si>
    <t>total lifetime work, min</t>
  </si>
  <si>
    <t>total lifetime work, max</t>
  </si>
  <si>
    <t>Based on the ecoinvent dataset transport, freight, sea, container ship, to which we add an input of methanol and corresponding emissions. We assume a 20% penalty for the lifetime transport performance, compared to an oil-powered ship, due to the gravimetric density of methanol. This is of course highly uncertain, and is reflect in the distribution ranges.</t>
  </si>
  <si>
    <t>Based on the ecoinvent dataset transport, freight, sea, container ship, to which we add an input of liquid ammonia and corresponding emissions. We assume a 20% penalty for the lifetime transport performance, compared to an oil-powered ship, due to the gravimetric density of liquid ammonia. This is of course highly uncertain, and is reflect in the distribution ranges.</t>
  </si>
  <si>
    <t>33% penalty of load carrying capacity, due to the low gravimetric density of batteries.</t>
  </si>
  <si>
    <t>transport, freight, sea, container ship, powered with synthetic methane</t>
  </si>
  <si>
    <t>~21–23</t>
  </si>
  <si>
    <t>Methane (compressed)</t>
  </si>
  <si>
    <t>~9–11</t>
  </si>
  <si>
    <t>LNG (liquefied methane)</t>
  </si>
  <si>
    <t>Volume multiplier required</t>
  </si>
  <si>
    <t>Storage complexity</t>
  </si>
  <si>
    <t>Total system penalty</t>
  </si>
  <si>
    <t>Theoretical cargo penalty (%)</t>
  </si>
  <si>
    <t>transport, freight, sea, container ship, powered with synthetic liquefied petroleum gas</t>
  </si>
  <si>
    <t>methane, from electrochemical methanation, with carbon from atmosphere</t>
  </si>
  <si>
    <t>methane, from electrochemical methanation</t>
  </si>
  <si>
    <t>Assumes similar efficiency as with an oil-powered ship. Methane LHV: 47.5 MJ/kg.</t>
  </si>
  <si>
    <t>Assumes 2.74 kg CO2 emitted per kg of methane combusted.</t>
  </si>
  <si>
    <t>Sulfur dioxide</t>
  </si>
  <si>
    <t>Methane, non-fossil</t>
  </si>
  <si>
    <t>Dinitrogen monoxide</t>
  </si>
  <si>
    <t>liquefied petroleum gas production, from methanol, hydrogen from electrolysis, CO2 from DAC, energy allocation</t>
  </si>
  <si>
    <t>liquefied petroleum gas, synthetic</t>
  </si>
  <si>
    <t>Based on the ecoinvent dataset transport, freight, sea, container ship, to which we add an input of synthetic methane and corresponding emissions. We assume a 40% penalty for the lifetime transport performance, compared to an oil-powered ship, due to the gravimetric density of methanol. This is of course highly uncertain, and is reflect in the distribution ranges. We assume a similar tank-to-wake efficiency as that of a martime oil-powered. ship.</t>
  </si>
  <si>
    <t>40% penalty of load carrying capacity, due to the low gravimetric density of methane.</t>
  </si>
  <si>
    <t>12% penalty of load carrying capacity, due to the low gravimetric density of LPG.</t>
  </si>
  <si>
    <t>Assumes 3 kg CO2 emitted per kg of LPG combusted.</t>
  </si>
  <si>
    <t>Based on the ecoinvent dataset transport, freight, sea, container ship, to which we add an input of synthetic LPG and corresponding emissions. We assume a 12% penalty for the lifetime transport performance, compared to an oil-powered ship, due to the lower gravimetric density of LPG. This is of course highly uncertain, and is reflect in the distribution ranges. We assume a similar tank-to-wake efficiency as that of a martime oil-powered ship.</t>
  </si>
  <si>
    <t>Assumes similar efficiency as with an oil-powered ship. LPG LHV: 46 MJ/kg.</t>
  </si>
  <si>
    <t>Lifetime (year)</t>
  </si>
  <si>
    <t>Total lifetime work, mean (tkm)</t>
  </si>
  <si>
    <t>Total lifetime work, min (tkm)</t>
  </si>
  <si>
    <t>Total lifetime work, max (tkm)</t>
  </si>
  <si>
    <t>Cargo carrying capacity (tons)</t>
  </si>
  <si>
    <t>Efficiency</t>
  </si>
  <si>
    <t>Tank-to-wake (%), mean</t>
  </si>
  <si>
    <t>Tank-to-wake (%), min</t>
  </si>
  <si>
    <t>Tank-to-wake (%), max</t>
  </si>
  <si>
    <t>Marine diesel</t>
  </si>
  <si>
    <t>tank-to-wake eff., mean</t>
  </si>
  <si>
    <t>tank-to-wake eff., min</t>
  </si>
  <si>
    <t>tank-to-wake eff., max</t>
  </si>
  <si>
    <t>tank-to-wake eff., marine diesel</t>
  </si>
  <si>
    <t>Based on the ecoinvent dataset transport, freight, sea, container ship, to which we add liquid hydrogen storage tanks, an electric motor and a hydrogen input and corresponding emissions. We assume a 33% penalty on the load carrying capacity, due to the low gravimetric density of liquid hydrogen compared to marine oil.</t>
  </si>
  <si>
    <t>ecoinvent 3.10.1, with additional assumptions from Anna Ingwersen, Alvaro J. Hahn Menacho, Stephan Pfister, Jonathan N. Peel, Romain Sacchi, Christian Moretti, Prospective life cycle assessment of cost-effective pathways for achieving the FuelEU marine Regulation targets, Science of The Total Environment, Volume 958, 2025, https://doi.org/10.1016/j.scitotenv.2024.177880.</t>
  </si>
  <si>
    <t>We assume a combined tank-to-wake efficiency of ~48–55%.</t>
  </si>
  <si>
    <t>9 kg H2O/kg H2</t>
  </si>
  <si>
    <t>44% engine efficiency, according to Ingwersen et al, 2025. LHV of 18.6MJ/kg NH3.</t>
  </si>
  <si>
    <t>0.0048 kg CO/kWh shaft power. 38% efficiency. 19.9 MJ/kg methanol.</t>
  </si>
  <si>
    <t>0.0026 kg NOx/kWh shaft power. 38% efficiency. 19.9 MJ/kg methanol.</t>
  </si>
  <si>
    <t>0.00014 kg PM 2.5/kWh shaft power. 38% efficiency. 19.9 MJ/kg methanol.</t>
  </si>
  <si>
    <t>4.9e-7 kg Formaldehyde/kWh shaft power. 38% efficiency. 19.9 MJ/kg methanol.</t>
  </si>
  <si>
    <t>0.00186 kg CO/kWh shaft power. 45% efficiency. 47.5 MJ/kg methane.</t>
  </si>
  <si>
    <t>0.0026 kg NOx/kWh shaft power. 45% efficiency. 47.5 MJ/kg methane.</t>
  </si>
  <si>
    <t>0.00003 kg SO2/kWh shaft power. 45% efficiency. 47.5 MJ/kg methane.</t>
  </si>
  <si>
    <t>0.00003 kg PM 2.5/kWh shaft power. 45% efficiency. 47.5 MJ/kg methane.</t>
  </si>
  <si>
    <t>0.003 kg CH4/kWh shaft power. 45% efficiency. 47.5 MJ/kg methane. Min-max: 2%-6.7% methane leakage rate.</t>
  </si>
  <si>
    <t>0.00038 kg NMVOC/kWh shaft power. 45% efficiency. 47.5 MJ/kg methane.</t>
  </si>
  <si>
    <t>0.00002 kg N2O/kWh shaft power.  45% efficiency. 47.5 MJ/kg methane.</t>
  </si>
  <si>
    <t>0.00186 kg CO/kWh shaft power. 42% efficiency. 46 MJ/kg LPG.</t>
  </si>
  <si>
    <t>0.0026 kg NOx/kWh shaft power. 42% efficiency. 46 MJ/kg LPG.</t>
  </si>
  <si>
    <t>0.00003 kg SO2/kWh shaft power. 42% efficiency. 46 MJ/kg LPG.</t>
  </si>
  <si>
    <t>0.00003 kg PM 2.5/kWh shaft power. 42% efficiency. 46 MJ/kg LPG.</t>
  </si>
  <si>
    <t>0.003 kg CH4/kWh shaft power. 42% efficiency. 46 MJ/kg LPG. Or roughly 2% of the fuel input mass.</t>
  </si>
  <si>
    <t>0.00038 kg NMVOC/kWh shaft power. 42% efficiency. 46 MJ/kg LPG.</t>
  </si>
  <si>
    <t>0.00002 kg N2O/kWh shaft power.  42% efficiency. 46 MJ/kg LPG.</t>
  </si>
  <si>
    <t>market group for electricity, low 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</si>
</sst>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0"/>
    <numFmt numFmtId="165" formatCode="0.0"/>
    <numFmt numFmtId="166" formatCode="_ * #,##0_ ;_ * \-#,##0_ ;_ * &quot;-&quot;??_ ;_ @_ "/>
    <numFmt numFmtId="172" formatCode="0.00000"/>
  </numFmts>
  <fonts count="6"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sz val="12"/>
      <name val="Calibri (Body)"/>
    </font>
  </fonts>
  <fills count="2">
    <fill>
      <patternFill patternType="none"/>
    </fill>
    <fill>
      <patternFill patternType="gray125"/>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1" fillId="0" borderId="0" xfId="0" applyFont="1"/>
    <xf numFmtId="0" fontId="3" fillId="0" borderId="0" xfId="0" applyFont="1"/>
    <xf numFmtId="0" fontId="2" fillId="0" borderId="0" xfId="0" applyFont="1"/>
    <xf numFmtId="164" fontId="4" fillId="0" borderId="0" xfId="0" applyNumberFormat="1" applyFont="1" applyAlignment="1">
      <alignment horizontal="right"/>
    </xf>
    <xf numFmtId="0" fontId="4" fillId="0" borderId="0" xfId="0" applyFont="1"/>
    <xf numFmtId="11" fontId="4" fillId="0" borderId="0" xfId="0" applyNumberFormat="1" applyFont="1"/>
    <xf numFmtId="165" fontId="4" fillId="0" borderId="0" xfId="0" applyNumberFormat="1" applyFont="1"/>
    <xf numFmtId="0" fontId="5" fillId="0" borderId="0" xfId="0" applyFont="1"/>
    <xf numFmtId="11" fontId="0" fillId="0" borderId="0" xfId="0" applyNumberFormat="1" applyAlignment="1">
      <alignment horizontal="right"/>
    </xf>
    <xf numFmtId="0" fontId="0" fillId="0" borderId="0" xfId="0" applyAlignment="1">
      <alignment horizontal="right"/>
    </xf>
    <xf numFmtId="11" fontId="0" fillId="0" borderId="0" xfId="0" applyNumberFormat="1"/>
    <xf numFmtId="164" fontId="0" fillId="0" borderId="0" xfId="0" applyNumberFormat="1"/>
    <xf numFmtId="9" fontId="0" fillId="0" borderId="0" xfId="0" applyNumberFormat="1"/>
    <xf numFmtId="9" fontId="0" fillId="0" borderId="0" xfId="2" applyFont="1"/>
    <xf numFmtId="166" fontId="0" fillId="0" borderId="0" xfId="1" applyNumberFormat="1" applyFont="1"/>
    <xf numFmtId="2" fontId="0" fillId="0" borderId="0" xfId="0" applyNumberFormat="1"/>
    <xf numFmtId="172" fontId="0" fillId="0" borderId="0" xfId="0" applyNumberFormat="1"/>
  </cellXfs>
  <cellStyles count="3">
    <cellStyle name="Comma" xfId="1" builtinId="3"/>
    <cellStyle name="Normal" xfId="0" builtinId="0"/>
    <cellStyle name="Per 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6"/>
  <sheetViews>
    <sheetView tabSelected="1" workbookViewId="0">
      <selection activeCell="G6" sqref="G6"/>
    </sheetView>
  </sheetViews>
  <sheetFormatPr baseColWidth="10" defaultColWidth="8.83203125" defaultRowHeight="15" x14ac:dyDescent="0.2"/>
  <cols>
    <col min="1" max="1" width="62.1640625" customWidth="1"/>
    <col min="2" max="2" width="12.1640625" bestFit="1" customWidth="1"/>
    <col min="3" max="3" width="9.1640625" bestFit="1" customWidth="1"/>
    <col min="6" max="6" width="19.1640625" customWidth="1"/>
    <col min="7" max="7" width="22.83203125" customWidth="1"/>
    <col min="8" max="8" width="56" bestFit="1" customWidth="1"/>
    <col min="10" max="12" width="11.83203125" bestFit="1" customWidth="1"/>
  </cols>
  <sheetData>
    <row r="1" spans="1:2" ht="16" x14ac:dyDescent="0.2">
      <c r="A1" s="1" t="s">
        <v>0</v>
      </c>
      <c r="B1" s="1" t="s">
        <v>33</v>
      </c>
    </row>
    <row r="2" spans="1:2" x14ac:dyDescent="0.2">
      <c r="A2" t="s">
        <v>1</v>
      </c>
      <c r="B2" t="s">
        <v>2</v>
      </c>
    </row>
    <row r="4" spans="1:2" ht="16" x14ac:dyDescent="0.2">
      <c r="A4" s="1" t="s">
        <v>3</v>
      </c>
      <c r="B4" s="1" t="s">
        <v>34</v>
      </c>
    </row>
    <row r="5" spans="1:2" x14ac:dyDescent="0.2">
      <c r="A5" t="s">
        <v>11</v>
      </c>
      <c r="B5" t="s">
        <v>141</v>
      </c>
    </row>
    <row r="6" spans="1:2" x14ac:dyDescent="0.2">
      <c r="A6" t="s">
        <v>10</v>
      </c>
      <c r="B6" t="s">
        <v>35</v>
      </c>
    </row>
    <row r="7" spans="1:2" x14ac:dyDescent="0.2">
      <c r="A7" t="s">
        <v>4</v>
      </c>
      <c r="B7" t="s">
        <v>5</v>
      </c>
    </row>
    <row r="8" spans="1:2" x14ac:dyDescent="0.2">
      <c r="A8" t="s">
        <v>6</v>
      </c>
      <c r="B8" t="s">
        <v>36</v>
      </c>
    </row>
    <row r="9" spans="1:2" x14ac:dyDescent="0.2">
      <c r="A9" t="s">
        <v>8</v>
      </c>
      <c r="B9" t="s">
        <v>18</v>
      </c>
    </row>
    <row r="10" spans="1:2" x14ac:dyDescent="0.2">
      <c r="A10" t="s">
        <v>96</v>
      </c>
      <c r="B10">
        <f>parameters!N7</f>
        <v>121500000000.00002</v>
      </c>
    </row>
    <row r="11" spans="1:2" x14ac:dyDescent="0.2">
      <c r="A11" t="s">
        <v>97</v>
      </c>
      <c r="B11">
        <f>parameters!O7</f>
        <v>108000000000</v>
      </c>
    </row>
    <row r="12" spans="1:2" x14ac:dyDescent="0.2">
      <c r="A12" t="s">
        <v>98</v>
      </c>
      <c r="B12">
        <f>parameters!P7</f>
        <v>135000000000</v>
      </c>
    </row>
    <row r="13" spans="1:2" x14ac:dyDescent="0.2">
      <c r="A13" t="s">
        <v>140</v>
      </c>
      <c r="B13" s="13">
        <f>parameters!$C$15</f>
        <v>0.42500000000000004</v>
      </c>
    </row>
    <row r="14" spans="1:2" x14ac:dyDescent="0.2">
      <c r="A14" t="s">
        <v>137</v>
      </c>
      <c r="B14" s="13">
        <f>parameters!C18</f>
        <v>0.47500000000000003</v>
      </c>
    </row>
    <row r="15" spans="1:2" x14ac:dyDescent="0.2">
      <c r="A15" t="s">
        <v>138</v>
      </c>
      <c r="B15" s="13">
        <f>parameters!D18</f>
        <v>0.4</v>
      </c>
    </row>
    <row r="16" spans="1:2" x14ac:dyDescent="0.2">
      <c r="A16" t="s">
        <v>139</v>
      </c>
      <c r="B16" s="13">
        <f>parameters!E18</f>
        <v>0.55000000000000004</v>
      </c>
    </row>
    <row r="17" spans="1:15" ht="16" x14ac:dyDescent="0.2">
      <c r="A17" s="1" t="s">
        <v>12</v>
      </c>
    </row>
    <row r="18" spans="1:15" x14ac:dyDescent="0.2">
      <c r="A18" s="2" t="s">
        <v>13</v>
      </c>
      <c r="B18" s="2" t="s">
        <v>14</v>
      </c>
      <c r="C18" s="2" t="s">
        <v>4</v>
      </c>
      <c r="D18" s="2" t="s">
        <v>15</v>
      </c>
      <c r="E18" s="2" t="s">
        <v>8</v>
      </c>
      <c r="F18" s="2" t="s">
        <v>7</v>
      </c>
      <c r="G18" s="2" t="s">
        <v>6</v>
      </c>
      <c r="H18" s="2" t="s">
        <v>11</v>
      </c>
      <c r="I18" s="2" t="s">
        <v>37</v>
      </c>
      <c r="J18" s="2" t="s">
        <v>45</v>
      </c>
      <c r="K18" s="2" t="s">
        <v>38</v>
      </c>
      <c r="L18" s="2" t="s">
        <v>39</v>
      </c>
    </row>
    <row r="19" spans="1:15" x14ac:dyDescent="0.2">
      <c r="A19" t="str">
        <f>B4</f>
        <v>transport, freight, sea, container ship, powered with hydrogen</v>
      </c>
      <c r="B19">
        <v>1</v>
      </c>
      <c r="C19" t="s">
        <v>5</v>
      </c>
      <c r="E19" t="str">
        <f>B9</f>
        <v>ton kilometer</v>
      </c>
      <c r="F19" t="s">
        <v>16</v>
      </c>
      <c r="G19" t="str">
        <f>B8</f>
        <v>transport, freight, sea, container ship</v>
      </c>
    </row>
    <row r="20" spans="1:15" s="5" customFormat="1" ht="16" x14ac:dyDescent="0.2">
      <c r="A20" s="3" t="s">
        <v>40</v>
      </c>
      <c r="B20" s="4">
        <f>(0.11*(B13/B14))/120</f>
        <v>8.2017543859649129E-4</v>
      </c>
      <c r="C20" s="5" t="s">
        <v>5</v>
      </c>
      <c r="E20" s="5" t="s">
        <v>9</v>
      </c>
      <c r="F20" s="5" t="s">
        <v>17</v>
      </c>
      <c r="G20" s="3" t="s">
        <v>41</v>
      </c>
      <c r="H20" s="5" t="s">
        <v>143</v>
      </c>
      <c r="I20" s="5">
        <v>5</v>
      </c>
      <c r="J20" s="6">
        <f t="shared" ref="J20:J25" si="0">B20</f>
        <v>8.2017543859649129E-4</v>
      </c>
      <c r="K20" s="6">
        <f>(0.11*(B13/B16))/120</f>
        <v>7.0833333333333328E-4</v>
      </c>
      <c r="L20" s="6">
        <f>(0.11*(B13/B15))/120</f>
        <v>9.739583333333334E-4</v>
      </c>
      <c r="M20"/>
      <c r="O20" s="7"/>
    </row>
    <row r="21" spans="1:15" ht="16" x14ac:dyDescent="0.2">
      <c r="A21" s="8" t="s">
        <v>27</v>
      </c>
      <c r="B21" s="9">
        <f>1600/B10</f>
        <v>1.316872427983539E-8</v>
      </c>
      <c r="C21" t="s">
        <v>19</v>
      </c>
      <c r="E21" t="s">
        <v>8</v>
      </c>
      <c r="F21" t="s">
        <v>17</v>
      </c>
      <c r="G21" t="s">
        <v>28</v>
      </c>
      <c r="H21" s="3" t="s">
        <v>46</v>
      </c>
      <c r="I21" s="10">
        <v>5</v>
      </c>
      <c r="J21" s="11">
        <f t="shared" si="0"/>
        <v>1.316872427983539E-8</v>
      </c>
      <c r="K21" s="9">
        <f>1250/B12</f>
        <v>9.2592592592592591E-9</v>
      </c>
      <c r="L21" s="9">
        <f>2500/B11</f>
        <v>2.3148148148148148E-8</v>
      </c>
    </row>
    <row r="22" spans="1:15" x14ac:dyDescent="0.2">
      <c r="A22" t="s">
        <v>29</v>
      </c>
      <c r="B22" s="9">
        <f>201000/B10</f>
        <v>1.6543209876543209E-6</v>
      </c>
      <c r="C22" t="s">
        <v>5</v>
      </c>
      <c r="E22" t="s">
        <v>9</v>
      </c>
      <c r="F22" t="s">
        <v>17</v>
      </c>
      <c r="G22" t="s">
        <v>30</v>
      </c>
      <c r="H22" s="3" t="s">
        <v>47</v>
      </c>
      <c r="I22">
        <v>5</v>
      </c>
      <c r="J22" s="11">
        <f t="shared" si="0"/>
        <v>1.6543209876543209E-6</v>
      </c>
      <c r="K22" s="9">
        <f>105000/B12</f>
        <v>7.7777777777777779E-7</v>
      </c>
      <c r="L22" s="9">
        <f>300000/B11</f>
        <v>2.7777777777777779E-6</v>
      </c>
    </row>
    <row r="23" spans="1:15" x14ac:dyDescent="0.2">
      <c r="A23" t="s">
        <v>31</v>
      </c>
      <c r="B23" s="9">
        <f>670000/B10</f>
        <v>5.5144032921810691E-6</v>
      </c>
      <c r="C23" s="3" t="s">
        <v>19</v>
      </c>
      <c r="E23" t="s">
        <v>21</v>
      </c>
      <c r="F23" t="s">
        <v>17</v>
      </c>
      <c r="G23" t="s">
        <v>32</v>
      </c>
      <c r="H23" t="s">
        <v>48</v>
      </c>
      <c r="I23">
        <v>5</v>
      </c>
      <c r="J23" s="11">
        <f t="shared" si="0"/>
        <v>5.5144032921810691E-6</v>
      </c>
      <c r="K23" s="9">
        <f>350000/B12</f>
        <v>2.5925925925925925E-6</v>
      </c>
      <c r="L23" s="9">
        <f>1000000/B11</f>
        <v>9.2592592592592591E-6</v>
      </c>
    </row>
    <row r="24" spans="1:15" x14ac:dyDescent="0.2">
      <c r="A24" t="s">
        <v>44</v>
      </c>
      <c r="B24" s="11">
        <f>1/B10</f>
        <v>8.2304526748971185E-12</v>
      </c>
      <c r="C24" t="s">
        <v>19</v>
      </c>
      <c r="E24" t="s">
        <v>8</v>
      </c>
      <c r="F24" t="s">
        <v>17</v>
      </c>
      <c r="G24" t="s">
        <v>43</v>
      </c>
      <c r="H24" t="s">
        <v>101</v>
      </c>
      <c r="I24">
        <v>5</v>
      </c>
      <c r="J24" s="11">
        <f t="shared" si="0"/>
        <v>8.2304526748971185E-12</v>
      </c>
      <c r="K24" s="11">
        <f>1/B12</f>
        <v>7.4074074074074068E-12</v>
      </c>
      <c r="L24" s="11">
        <f>1/B11</f>
        <v>9.2592592592592589E-12</v>
      </c>
    </row>
    <row r="25" spans="1:15" x14ac:dyDescent="0.2">
      <c r="A25" t="s">
        <v>50</v>
      </c>
      <c r="B25" s="11">
        <f>1/B10</f>
        <v>8.2304526748971185E-12</v>
      </c>
      <c r="C25" t="s">
        <v>19</v>
      </c>
      <c r="E25" t="s">
        <v>8</v>
      </c>
      <c r="F25" t="s">
        <v>17</v>
      </c>
      <c r="G25" t="s">
        <v>49</v>
      </c>
      <c r="H25" t="s">
        <v>101</v>
      </c>
      <c r="I25">
        <v>5</v>
      </c>
      <c r="J25" s="11">
        <f t="shared" si="0"/>
        <v>8.2304526748971185E-12</v>
      </c>
      <c r="K25" s="11">
        <f>1/B12</f>
        <v>7.4074074074074068E-12</v>
      </c>
      <c r="L25" s="11">
        <f>1/B11</f>
        <v>9.2592592592592589E-12</v>
      </c>
    </row>
    <row r="26" spans="1:15" x14ac:dyDescent="0.2">
      <c r="A26" t="s">
        <v>52</v>
      </c>
      <c r="B26" s="11">
        <f>1.38106E-16</f>
        <v>1.38106E-16</v>
      </c>
      <c r="C26" t="s">
        <v>19</v>
      </c>
      <c r="E26" t="s">
        <v>8</v>
      </c>
      <c r="F26" t="s">
        <v>17</v>
      </c>
      <c r="G26" t="s">
        <v>51</v>
      </c>
      <c r="J26" s="11"/>
      <c r="K26" s="11"/>
      <c r="L26" s="11"/>
    </row>
    <row r="27" spans="1:15" x14ac:dyDescent="0.2">
      <c r="A27" t="s">
        <v>42</v>
      </c>
      <c r="B27" s="11">
        <f>B20*9/1000</f>
        <v>7.3815789473684209E-6</v>
      </c>
      <c r="C27" s="3"/>
      <c r="D27" t="s">
        <v>23</v>
      </c>
      <c r="E27" t="s">
        <v>9</v>
      </c>
      <c r="F27" t="s">
        <v>20</v>
      </c>
      <c r="H27" s="3" t="s">
        <v>144</v>
      </c>
      <c r="J27" s="11"/>
      <c r="K27" s="11"/>
      <c r="L27" s="11"/>
    </row>
    <row r="28" spans="1:15" x14ac:dyDescent="0.2">
      <c r="B28" s="11"/>
    </row>
    <row r="29" spans="1:15" ht="16" x14ac:dyDescent="0.2">
      <c r="A29" s="1" t="s">
        <v>3</v>
      </c>
      <c r="B29" s="1" t="s">
        <v>53</v>
      </c>
    </row>
    <row r="30" spans="1:15" x14ac:dyDescent="0.2">
      <c r="A30" t="s">
        <v>11</v>
      </c>
      <c r="B30" t="s">
        <v>61</v>
      </c>
    </row>
    <row r="31" spans="1:15" x14ac:dyDescent="0.2">
      <c r="A31" t="s">
        <v>10</v>
      </c>
      <c r="B31" t="s">
        <v>35</v>
      </c>
    </row>
    <row r="32" spans="1:15" x14ac:dyDescent="0.2">
      <c r="A32" t="s">
        <v>4</v>
      </c>
      <c r="B32" t="s">
        <v>5</v>
      </c>
    </row>
    <row r="33" spans="1:12" x14ac:dyDescent="0.2">
      <c r="A33" t="s">
        <v>6</v>
      </c>
      <c r="B33" t="s">
        <v>36</v>
      </c>
    </row>
    <row r="34" spans="1:12" x14ac:dyDescent="0.2">
      <c r="A34" t="s">
        <v>8</v>
      </c>
      <c r="B34" t="s">
        <v>18</v>
      </c>
    </row>
    <row r="35" spans="1:12" x14ac:dyDescent="0.2">
      <c r="A35" t="s">
        <v>96</v>
      </c>
      <c r="B35">
        <f>parameters!N8</f>
        <v>90000000000</v>
      </c>
    </row>
    <row r="36" spans="1:12" x14ac:dyDescent="0.2">
      <c r="A36" t="s">
        <v>97</v>
      </c>
      <c r="B36">
        <f>parameters!O8</f>
        <v>72000000000</v>
      </c>
    </row>
    <row r="37" spans="1:12" x14ac:dyDescent="0.2">
      <c r="A37" t="s">
        <v>98</v>
      </c>
      <c r="B37">
        <f>parameters!P8</f>
        <v>108000000000</v>
      </c>
    </row>
    <row r="38" spans="1:12" x14ac:dyDescent="0.2">
      <c r="A38" t="s">
        <v>140</v>
      </c>
      <c r="B38" s="13">
        <f>parameters!$C$15</f>
        <v>0.42500000000000004</v>
      </c>
    </row>
    <row r="39" spans="1:12" x14ac:dyDescent="0.2">
      <c r="A39" t="s">
        <v>137</v>
      </c>
      <c r="B39" s="13">
        <f>parameters!C19</f>
        <v>0.8</v>
      </c>
    </row>
    <row r="40" spans="1:12" x14ac:dyDescent="0.2">
      <c r="A40" t="s">
        <v>138</v>
      </c>
      <c r="B40" s="13">
        <f>parameters!D19</f>
        <v>0.75</v>
      </c>
    </row>
    <row r="41" spans="1:12" x14ac:dyDescent="0.2">
      <c r="A41" t="s">
        <v>139</v>
      </c>
      <c r="B41" s="13">
        <f>parameters!E19</f>
        <v>0.85</v>
      </c>
    </row>
    <row r="42" spans="1:12" ht="16" x14ac:dyDescent="0.2">
      <c r="A42" s="1" t="s">
        <v>12</v>
      </c>
    </row>
    <row r="43" spans="1:12" x14ac:dyDescent="0.2">
      <c r="A43" s="2" t="s">
        <v>13</v>
      </c>
      <c r="B43" s="2" t="s">
        <v>14</v>
      </c>
      <c r="C43" s="2" t="s">
        <v>4</v>
      </c>
      <c r="D43" s="2" t="s">
        <v>15</v>
      </c>
      <c r="E43" s="2" t="s">
        <v>8</v>
      </c>
      <c r="F43" s="2" t="s">
        <v>7</v>
      </c>
      <c r="G43" s="2" t="s">
        <v>6</v>
      </c>
      <c r="H43" s="2" t="s">
        <v>11</v>
      </c>
      <c r="I43" s="2" t="s">
        <v>37</v>
      </c>
      <c r="J43" s="2" t="s">
        <v>45</v>
      </c>
      <c r="K43" s="2" t="s">
        <v>38</v>
      </c>
      <c r="L43" s="2" t="s">
        <v>39</v>
      </c>
    </row>
    <row r="44" spans="1:12" x14ac:dyDescent="0.2">
      <c r="A44" t="str">
        <f>B29</f>
        <v>transport, freight, sea, container ship, powered with electricity</v>
      </c>
      <c r="B44">
        <v>1</v>
      </c>
      <c r="C44" t="s">
        <v>5</v>
      </c>
      <c r="E44" t="str">
        <f>B34</f>
        <v>ton kilometer</v>
      </c>
      <c r="F44" t="s">
        <v>16</v>
      </c>
      <c r="G44" t="str">
        <f>B33</f>
        <v>transport, freight, sea, container ship</v>
      </c>
    </row>
    <row r="45" spans="1:12" ht="16" x14ac:dyDescent="0.2">
      <c r="A45" t="s">
        <v>164</v>
      </c>
      <c r="B45" s="17">
        <f>0.11*(B38/B39)/3.6</f>
        <v>1.623263888888889E-2</v>
      </c>
      <c r="C45" t="s">
        <v>5</v>
      </c>
      <c r="E45" t="s">
        <v>21</v>
      </c>
      <c r="F45" t="s">
        <v>17</v>
      </c>
      <c r="G45" t="s">
        <v>22</v>
      </c>
      <c r="H45" s="5" t="s">
        <v>55</v>
      </c>
      <c r="I45">
        <v>5</v>
      </c>
      <c r="J45" s="6">
        <f>B45</f>
        <v>1.623263888888889E-2</v>
      </c>
      <c r="K45" s="6">
        <f>0.11*(B38/B41)/3.6</f>
        <v>1.5277777777777781E-2</v>
      </c>
      <c r="L45" s="6">
        <f>0.11*(B38/B40)/3.6</f>
        <v>1.7314814814814818E-2</v>
      </c>
    </row>
    <row r="46" spans="1:12" x14ac:dyDescent="0.2">
      <c r="A46" t="s">
        <v>31</v>
      </c>
      <c r="B46" s="9">
        <f>6700000/(180000000000*0.5)</f>
        <v>7.4444444444444444E-5</v>
      </c>
      <c r="C46" s="3" t="s">
        <v>19</v>
      </c>
      <c r="E46" t="s">
        <v>21</v>
      </c>
      <c r="F46" t="s">
        <v>17</v>
      </c>
      <c r="G46" t="s">
        <v>32</v>
      </c>
      <c r="H46" t="s">
        <v>56</v>
      </c>
      <c r="I46">
        <v>5</v>
      </c>
      <c r="J46" s="11">
        <f>B46</f>
        <v>7.4444444444444444E-5</v>
      </c>
      <c r="K46" s="9">
        <f>3500000/B37</f>
        <v>3.2407407407407408E-5</v>
      </c>
      <c r="L46" s="9">
        <f>10000000/B36</f>
        <v>1.3888888888888889E-4</v>
      </c>
    </row>
    <row r="47" spans="1:12" x14ac:dyDescent="0.2">
      <c r="A47" t="s">
        <v>44</v>
      </c>
      <c r="B47" s="11">
        <f>1/B35</f>
        <v>1.1111111111111111E-11</v>
      </c>
      <c r="C47" t="s">
        <v>19</v>
      </c>
      <c r="E47" t="s">
        <v>8</v>
      </c>
      <c r="F47" t="s">
        <v>17</v>
      </c>
      <c r="G47" t="s">
        <v>43</v>
      </c>
      <c r="H47" t="s">
        <v>54</v>
      </c>
      <c r="I47">
        <v>5</v>
      </c>
      <c r="J47" s="11">
        <f>B47</f>
        <v>1.1111111111111111E-11</v>
      </c>
      <c r="K47" s="11">
        <f>1/B37</f>
        <v>9.2592592592592589E-12</v>
      </c>
      <c r="L47" s="11">
        <f>1/B36</f>
        <v>1.3888888888888888E-11</v>
      </c>
    </row>
    <row r="48" spans="1:12" x14ac:dyDescent="0.2">
      <c r="A48" t="s">
        <v>50</v>
      </c>
      <c r="B48" s="11">
        <f>1/B35</f>
        <v>1.1111111111111111E-11</v>
      </c>
      <c r="C48" t="s">
        <v>19</v>
      </c>
      <c r="E48" t="s">
        <v>8</v>
      </c>
      <c r="F48" t="s">
        <v>17</v>
      </c>
      <c r="G48" t="s">
        <v>49</v>
      </c>
      <c r="H48" t="s">
        <v>54</v>
      </c>
      <c r="I48">
        <v>5</v>
      </c>
      <c r="J48" s="11">
        <f>B48</f>
        <v>1.1111111111111111E-11</v>
      </c>
      <c r="K48" s="11">
        <f>1/B37</f>
        <v>9.2592592592592589E-12</v>
      </c>
      <c r="L48" s="11">
        <f>1/B36</f>
        <v>1.3888888888888888E-11</v>
      </c>
    </row>
    <row r="49" spans="1:12" x14ac:dyDescent="0.2">
      <c r="A49" t="s">
        <v>52</v>
      </c>
      <c r="B49" s="11">
        <f>1.38106E-16</f>
        <v>1.38106E-16</v>
      </c>
      <c r="C49" t="s">
        <v>19</v>
      </c>
      <c r="E49" t="s">
        <v>8</v>
      </c>
      <c r="F49" t="s">
        <v>17</v>
      </c>
      <c r="G49" t="s">
        <v>51</v>
      </c>
      <c r="J49" s="11"/>
      <c r="K49" s="11"/>
      <c r="L49" s="11"/>
    </row>
    <row r="51" spans="1:12" ht="16" x14ac:dyDescent="0.2">
      <c r="A51" s="1" t="s">
        <v>3</v>
      </c>
      <c r="B51" s="1" t="s">
        <v>57</v>
      </c>
    </row>
    <row r="52" spans="1:12" x14ac:dyDescent="0.2">
      <c r="A52" t="s">
        <v>11</v>
      </c>
      <c r="B52" t="s">
        <v>100</v>
      </c>
    </row>
    <row r="53" spans="1:12" x14ac:dyDescent="0.2">
      <c r="A53" t="s">
        <v>10</v>
      </c>
      <c r="B53" t="s">
        <v>142</v>
      </c>
    </row>
    <row r="54" spans="1:12" x14ac:dyDescent="0.2">
      <c r="A54" t="s">
        <v>4</v>
      </c>
      <c r="B54" t="s">
        <v>5</v>
      </c>
    </row>
    <row r="55" spans="1:12" x14ac:dyDescent="0.2">
      <c r="A55" t="s">
        <v>6</v>
      </c>
      <c r="B55" t="s">
        <v>36</v>
      </c>
    </row>
    <row r="56" spans="1:12" x14ac:dyDescent="0.2">
      <c r="A56" t="s">
        <v>8</v>
      </c>
      <c r="B56" t="s">
        <v>18</v>
      </c>
    </row>
    <row r="57" spans="1:12" x14ac:dyDescent="0.2">
      <c r="A57" t="s">
        <v>96</v>
      </c>
      <c r="B57">
        <f>parameters!N6</f>
        <v>144000000000</v>
      </c>
    </row>
    <row r="58" spans="1:12" x14ac:dyDescent="0.2">
      <c r="A58" t="s">
        <v>97</v>
      </c>
      <c r="B58">
        <f>parameters!O6</f>
        <v>135000000000</v>
      </c>
    </row>
    <row r="59" spans="1:12" x14ac:dyDescent="0.2">
      <c r="A59" t="s">
        <v>98</v>
      </c>
      <c r="B59">
        <f>parameters!P6</f>
        <v>153000000000</v>
      </c>
    </row>
    <row r="60" spans="1:12" x14ac:dyDescent="0.2">
      <c r="A60" t="s">
        <v>140</v>
      </c>
      <c r="B60" s="13">
        <f>parameters!$C$15</f>
        <v>0.42500000000000004</v>
      </c>
    </row>
    <row r="61" spans="1:12" x14ac:dyDescent="0.2">
      <c r="A61" t="s">
        <v>137</v>
      </c>
      <c r="B61" s="13">
        <f>parameters!C17</f>
        <v>0.44</v>
      </c>
    </row>
    <row r="62" spans="1:12" x14ac:dyDescent="0.2">
      <c r="A62" t="s">
        <v>138</v>
      </c>
      <c r="B62" s="13">
        <f>parameters!D17</f>
        <v>0.35</v>
      </c>
    </row>
    <row r="63" spans="1:12" x14ac:dyDescent="0.2">
      <c r="A63" t="s">
        <v>139</v>
      </c>
      <c r="B63" s="13">
        <f>parameters!E17</f>
        <v>0.45</v>
      </c>
    </row>
    <row r="64" spans="1:12" ht="16" x14ac:dyDescent="0.2">
      <c r="A64" s="1" t="s">
        <v>12</v>
      </c>
    </row>
    <row r="65" spans="1:12" x14ac:dyDescent="0.2">
      <c r="A65" s="2" t="s">
        <v>13</v>
      </c>
      <c r="B65" s="2" t="s">
        <v>14</v>
      </c>
      <c r="C65" s="2" t="s">
        <v>4</v>
      </c>
      <c r="D65" s="2" t="s">
        <v>15</v>
      </c>
      <c r="E65" s="2" t="s">
        <v>8</v>
      </c>
      <c r="F65" s="2" t="s">
        <v>7</v>
      </c>
      <c r="G65" s="2" t="s">
        <v>6</v>
      </c>
      <c r="H65" s="2" t="s">
        <v>11</v>
      </c>
      <c r="I65" s="2" t="s">
        <v>37</v>
      </c>
      <c r="J65" s="2" t="s">
        <v>45</v>
      </c>
      <c r="K65" s="2" t="s">
        <v>38</v>
      </c>
      <c r="L65" s="2" t="s">
        <v>39</v>
      </c>
    </row>
    <row r="66" spans="1:12" x14ac:dyDescent="0.2">
      <c r="A66" t="str">
        <f>B51</f>
        <v>transport, freight, sea, container ship, powered with liquid ammonia</v>
      </c>
      <c r="B66">
        <v>1</v>
      </c>
      <c r="C66" t="s">
        <v>5</v>
      </c>
      <c r="E66" t="str">
        <f>B56</f>
        <v>ton kilometer</v>
      </c>
      <c r="F66" t="s">
        <v>16</v>
      </c>
      <c r="G66" t="str">
        <f>B55</f>
        <v>transport, freight, sea, container ship</v>
      </c>
    </row>
    <row r="67" spans="1:12" ht="16" x14ac:dyDescent="0.2">
      <c r="A67" t="s">
        <v>58</v>
      </c>
      <c r="B67" s="12">
        <f>(0.11*(B60/B61))/18.6</f>
        <v>5.7123655913978496E-3</v>
      </c>
      <c r="C67" t="s">
        <v>19</v>
      </c>
      <c r="E67" t="s">
        <v>9</v>
      </c>
      <c r="F67" t="s">
        <v>17</v>
      </c>
      <c r="G67" t="s">
        <v>59</v>
      </c>
      <c r="H67" s="5" t="s">
        <v>145</v>
      </c>
      <c r="I67">
        <v>5</v>
      </c>
      <c r="J67" s="6">
        <f>B67</f>
        <v>5.7123655913978496E-3</v>
      </c>
      <c r="K67" s="6">
        <f>(0.11*(B60/B63))/18.6</f>
        <v>5.5854241338112315E-3</v>
      </c>
      <c r="L67" s="6">
        <f>(0.11*(B60/B62))/18.6</f>
        <v>7.1812596006144399E-3</v>
      </c>
    </row>
    <row r="68" spans="1:12" x14ac:dyDescent="0.2">
      <c r="A68" t="s">
        <v>31</v>
      </c>
      <c r="B68" s="9">
        <f>5000/B57</f>
        <v>3.472222222222222E-8</v>
      </c>
      <c r="C68" s="3" t="s">
        <v>19</v>
      </c>
      <c r="E68" t="s">
        <v>21</v>
      </c>
      <c r="F68" t="s">
        <v>17</v>
      </c>
      <c r="G68" t="s">
        <v>32</v>
      </c>
      <c r="H68" t="s">
        <v>60</v>
      </c>
      <c r="I68">
        <v>5</v>
      </c>
      <c r="J68" s="11">
        <f>B68</f>
        <v>3.472222222222222E-8</v>
      </c>
      <c r="K68" s="9">
        <f>350000/B59</f>
        <v>2.2875816993464053E-6</v>
      </c>
      <c r="L68" s="9">
        <f>1000000/B58</f>
        <v>7.4074074074074075E-6</v>
      </c>
    </row>
    <row r="69" spans="1:12" x14ac:dyDescent="0.2">
      <c r="A69" t="s">
        <v>44</v>
      </c>
      <c r="B69" s="11">
        <f>1/B57</f>
        <v>6.9444444444444442E-12</v>
      </c>
      <c r="C69" t="s">
        <v>19</v>
      </c>
      <c r="E69" t="s">
        <v>8</v>
      </c>
      <c r="F69" t="s">
        <v>17</v>
      </c>
      <c r="G69" t="s">
        <v>43</v>
      </c>
      <c r="H69" t="s">
        <v>65</v>
      </c>
      <c r="I69">
        <v>5</v>
      </c>
      <c r="J69" s="11">
        <f>B69</f>
        <v>6.9444444444444442E-12</v>
      </c>
      <c r="K69" s="11">
        <f>1/B59</f>
        <v>6.5359477124183003E-12</v>
      </c>
      <c r="L69" s="11">
        <f>1/B58</f>
        <v>7.4074074074074068E-12</v>
      </c>
    </row>
    <row r="70" spans="1:12" x14ac:dyDescent="0.2">
      <c r="A70" t="s">
        <v>50</v>
      </c>
      <c r="B70" s="11">
        <f>1/B57</f>
        <v>6.9444444444444442E-12</v>
      </c>
      <c r="C70" t="s">
        <v>19</v>
      </c>
      <c r="E70" t="s">
        <v>8</v>
      </c>
      <c r="F70" t="s">
        <v>17</v>
      </c>
      <c r="G70" t="s">
        <v>49</v>
      </c>
      <c r="H70" t="s">
        <v>65</v>
      </c>
      <c r="I70">
        <v>5</v>
      </c>
      <c r="J70" s="11">
        <f>B70</f>
        <v>6.9444444444444442E-12</v>
      </c>
      <c r="K70" s="11">
        <f>1/B59</f>
        <v>6.5359477124183003E-12</v>
      </c>
      <c r="L70" s="11">
        <f>1/B58</f>
        <v>7.4074074074074068E-12</v>
      </c>
    </row>
    <row r="71" spans="1:12" x14ac:dyDescent="0.2">
      <c r="A71" t="s">
        <v>52</v>
      </c>
      <c r="B71" s="11">
        <f>1.38106E-16</f>
        <v>1.38106E-16</v>
      </c>
      <c r="C71" t="s">
        <v>19</v>
      </c>
      <c r="E71" t="s">
        <v>8</v>
      </c>
      <c r="F71" t="s">
        <v>17</v>
      </c>
      <c r="G71" t="s">
        <v>51</v>
      </c>
      <c r="J71" s="11"/>
      <c r="K71" s="11"/>
      <c r="L71" s="11"/>
    </row>
    <row r="72" spans="1:12" ht="16" x14ac:dyDescent="0.2">
      <c r="A72" t="s">
        <v>62</v>
      </c>
      <c r="B72">
        <f>0.00013*(B67*18.6*B61/3.6)</f>
        <v>1.6881944444444445E-6</v>
      </c>
      <c r="D72" t="s">
        <v>23</v>
      </c>
      <c r="E72" t="s">
        <v>9</v>
      </c>
      <c r="F72" t="s">
        <v>20</v>
      </c>
      <c r="H72" t="s">
        <v>73</v>
      </c>
      <c r="I72">
        <v>5</v>
      </c>
      <c r="J72" s="6">
        <f t="shared" ref="J72:J77" si="1">B72</f>
        <v>1.6881944444444445E-6</v>
      </c>
      <c r="K72" s="6">
        <f>0.00013*(B67*18.6*B62/3.6)</f>
        <v>1.3428819444444444E-6</v>
      </c>
      <c r="L72" s="6">
        <f>0.00013*(B67*18.6*B63/3.6)</f>
        <v>1.7265625E-6</v>
      </c>
    </row>
    <row r="73" spans="1:12" ht="16" x14ac:dyDescent="0.2">
      <c r="A73" t="s">
        <v>24</v>
      </c>
      <c r="B73">
        <f>0.0026*(B67*18.6*B61/3.6)</f>
        <v>3.3763888888888895E-5</v>
      </c>
      <c r="D73" t="s">
        <v>23</v>
      </c>
      <c r="E73" t="s">
        <v>9</v>
      </c>
      <c r="F73" t="s">
        <v>20</v>
      </c>
      <c r="H73" t="s">
        <v>74</v>
      </c>
      <c r="I73">
        <v>5</v>
      </c>
      <c r="J73" s="6">
        <f t="shared" si="1"/>
        <v>3.3763888888888895E-5</v>
      </c>
      <c r="K73" s="6">
        <f>0.0026*(B67*18.6*B62/3.6)</f>
        <v>2.6857638888888886E-5</v>
      </c>
      <c r="L73" s="6">
        <f>0.0026*(B67*18.6*B63/3.6)</f>
        <v>3.4531250000000002E-5</v>
      </c>
    </row>
    <row r="74" spans="1:12" ht="16" x14ac:dyDescent="0.2">
      <c r="A74" t="s">
        <v>63</v>
      </c>
      <c r="B74">
        <f>0.00002*(B67*18.6*B61/3.6)</f>
        <v>2.5972222222222228E-7</v>
      </c>
      <c r="D74" t="s">
        <v>23</v>
      </c>
      <c r="E74" t="s">
        <v>9</v>
      </c>
      <c r="F74" t="s">
        <v>20</v>
      </c>
      <c r="H74" t="s">
        <v>75</v>
      </c>
      <c r="I74">
        <v>5</v>
      </c>
      <c r="J74" s="6">
        <f t="shared" si="1"/>
        <v>2.5972222222222228E-7</v>
      </c>
      <c r="K74" s="6">
        <f>0.00002*(B67*18.6*B62/3.6)</f>
        <v>2.0659722222222224E-7</v>
      </c>
      <c r="L74" s="6">
        <f>0.00002*(B67*18.6*B63/3.6)</f>
        <v>2.6562500000000005E-7</v>
      </c>
    </row>
    <row r="75" spans="1:12" ht="16" x14ac:dyDescent="0.2">
      <c r="A75" t="s">
        <v>64</v>
      </c>
      <c r="B75">
        <f>0.0000028*(B67*18.6*B61/3.6)</f>
        <v>3.6361111111111118E-8</v>
      </c>
      <c r="D75" t="s">
        <v>23</v>
      </c>
      <c r="E75" t="s">
        <v>9</v>
      </c>
      <c r="F75" t="s">
        <v>20</v>
      </c>
      <c r="H75" t="s">
        <v>76</v>
      </c>
      <c r="I75">
        <v>5</v>
      </c>
      <c r="J75" s="6">
        <f t="shared" si="1"/>
        <v>3.6361111111111118E-8</v>
      </c>
      <c r="K75" s="6">
        <f>0.0000028*(B67*18.6*B62/3.6)</f>
        <v>2.8923611111111108E-8</v>
      </c>
      <c r="L75" s="6">
        <f>0.0000028*(B67*18.6*B63/3.6)</f>
        <v>3.7187500000000001E-8</v>
      </c>
    </row>
    <row r="76" spans="1:12" ht="16" x14ac:dyDescent="0.2">
      <c r="A76" t="s">
        <v>25</v>
      </c>
      <c r="B76">
        <f>0.00004*(B67*18.6*B61/3.6)</f>
        <v>5.1944444444444457E-7</v>
      </c>
      <c r="D76" t="s">
        <v>23</v>
      </c>
      <c r="E76" t="s">
        <v>9</v>
      </c>
      <c r="F76" t="s">
        <v>20</v>
      </c>
      <c r="H76" t="s">
        <v>77</v>
      </c>
      <c r="I76">
        <v>5</v>
      </c>
      <c r="J76" s="6">
        <f t="shared" si="1"/>
        <v>5.1944444444444457E-7</v>
      </c>
      <c r="K76" s="6">
        <f>0.00004*(B67*18.6*B62/3.6)</f>
        <v>4.1319444444444447E-7</v>
      </c>
      <c r="L76" s="6">
        <f>0.00004*(B67*18.6*B63/3.6)</f>
        <v>5.312500000000001E-7</v>
      </c>
    </row>
    <row r="77" spans="1:12" ht="16" x14ac:dyDescent="0.2">
      <c r="A77" t="s">
        <v>118</v>
      </c>
      <c r="B77">
        <f>0.000046*(B67*18.6*B61/3.6)</f>
        <v>5.9736111111111119E-7</v>
      </c>
      <c r="D77" t="s">
        <v>23</v>
      </c>
      <c r="E77" t="s">
        <v>9</v>
      </c>
      <c r="F77" t="s">
        <v>20</v>
      </c>
      <c r="H77" t="s">
        <v>78</v>
      </c>
      <c r="I77">
        <v>5</v>
      </c>
      <c r="J77" s="6">
        <f t="shared" si="1"/>
        <v>5.9736111111111119E-7</v>
      </c>
      <c r="K77" s="11">
        <f>0.00001*(B67*18.6*B62/3.6)</f>
        <v>1.0329861111111112E-7</v>
      </c>
      <c r="L77">
        <f>0.00013*(B67*18.6*B63/3.6)</f>
        <v>1.7265625E-6</v>
      </c>
    </row>
    <row r="78" spans="1:12" ht="16" x14ac:dyDescent="0.2">
      <c r="J78" s="6"/>
      <c r="K78" s="11"/>
    </row>
    <row r="79" spans="1:12" ht="16" x14ac:dyDescent="0.2">
      <c r="A79" s="1" t="s">
        <v>3</v>
      </c>
      <c r="B79" s="1" t="s">
        <v>66</v>
      </c>
    </row>
    <row r="80" spans="1:12" x14ac:dyDescent="0.2">
      <c r="A80" t="s">
        <v>11</v>
      </c>
      <c r="B80" t="s">
        <v>99</v>
      </c>
    </row>
    <row r="81" spans="1:12" x14ac:dyDescent="0.2">
      <c r="A81" t="s">
        <v>10</v>
      </c>
      <c r="B81" t="s">
        <v>142</v>
      </c>
    </row>
    <row r="82" spans="1:12" x14ac:dyDescent="0.2">
      <c r="A82" t="s">
        <v>4</v>
      </c>
      <c r="B82" t="s">
        <v>5</v>
      </c>
    </row>
    <row r="83" spans="1:12" x14ac:dyDescent="0.2">
      <c r="A83" t="s">
        <v>6</v>
      </c>
      <c r="B83" t="s">
        <v>36</v>
      </c>
    </row>
    <row r="84" spans="1:12" x14ac:dyDescent="0.2">
      <c r="A84" t="s">
        <v>8</v>
      </c>
      <c r="B84" t="s">
        <v>18</v>
      </c>
    </row>
    <row r="85" spans="1:12" x14ac:dyDescent="0.2">
      <c r="A85" t="s">
        <v>96</v>
      </c>
      <c r="B85">
        <f>parameters!N5</f>
        <v>144000000000</v>
      </c>
    </row>
    <row r="86" spans="1:12" x14ac:dyDescent="0.2">
      <c r="A86" t="s">
        <v>97</v>
      </c>
      <c r="B86">
        <f>parameters!O5</f>
        <v>135000000000</v>
      </c>
    </row>
    <row r="87" spans="1:12" x14ac:dyDescent="0.2">
      <c r="A87" t="s">
        <v>98</v>
      </c>
      <c r="B87">
        <f>parameters!P5</f>
        <v>153000000000</v>
      </c>
    </row>
    <row r="88" spans="1:12" x14ac:dyDescent="0.2">
      <c r="A88" t="s">
        <v>140</v>
      </c>
      <c r="B88" s="13">
        <f>parameters!$C$15</f>
        <v>0.42500000000000004</v>
      </c>
    </row>
    <row r="89" spans="1:12" x14ac:dyDescent="0.2">
      <c r="A89" t="s">
        <v>137</v>
      </c>
      <c r="B89" s="13">
        <f>parameters!C16</f>
        <v>0.375</v>
      </c>
    </row>
    <row r="90" spans="1:12" x14ac:dyDescent="0.2">
      <c r="A90" t="s">
        <v>138</v>
      </c>
      <c r="B90" s="13">
        <f>parameters!D16</f>
        <v>0.35</v>
      </c>
    </row>
    <row r="91" spans="1:12" x14ac:dyDescent="0.2">
      <c r="A91" t="s">
        <v>139</v>
      </c>
      <c r="B91" s="13">
        <f>parameters!E16</f>
        <v>0.4</v>
      </c>
    </row>
    <row r="92" spans="1:12" ht="16" x14ac:dyDescent="0.2">
      <c r="A92" s="1" t="s">
        <v>12</v>
      </c>
    </row>
    <row r="93" spans="1:12" x14ac:dyDescent="0.2">
      <c r="A93" s="2" t="s">
        <v>13</v>
      </c>
      <c r="B93" s="2" t="s">
        <v>14</v>
      </c>
      <c r="C93" s="2" t="s">
        <v>4</v>
      </c>
      <c r="D93" s="2" t="s">
        <v>15</v>
      </c>
      <c r="E93" s="2" t="s">
        <v>8</v>
      </c>
      <c r="F93" s="2" t="s">
        <v>7</v>
      </c>
      <c r="G93" s="2" t="s">
        <v>6</v>
      </c>
      <c r="H93" s="2" t="s">
        <v>11</v>
      </c>
      <c r="I93" s="2" t="s">
        <v>37</v>
      </c>
      <c r="J93" s="2" t="s">
        <v>45</v>
      </c>
      <c r="K93" s="2" t="s">
        <v>38</v>
      </c>
      <c r="L93" s="2" t="s">
        <v>39</v>
      </c>
    </row>
    <row r="94" spans="1:12" x14ac:dyDescent="0.2">
      <c r="A94" t="str">
        <f>B79</f>
        <v>transport, freight, sea, container ship, powered with methanol</v>
      </c>
      <c r="B94">
        <v>1</v>
      </c>
      <c r="C94" t="s">
        <v>5</v>
      </c>
      <c r="E94" t="str">
        <f>B84</f>
        <v>ton kilometer</v>
      </c>
      <c r="F94" t="s">
        <v>16</v>
      </c>
      <c r="G94" t="str">
        <f>B83</f>
        <v>transport, freight, sea, container ship</v>
      </c>
    </row>
    <row r="95" spans="1:12" ht="16" x14ac:dyDescent="0.2">
      <c r="A95" t="s">
        <v>68</v>
      </c>
      <c r="B95" s="12">
        <f>0.11*(B88/B89)/19.9</f>
        <v>6.2646566164154122E-3</v>
      </c>
      <c r="C95" t="s">
        <v>5</v>
      </c>
      <c r="E95" t="s">
        <v>9</v>
      </c>
      <c r="F95" t="s">
        <v>17</v>
      </c>
      <c r="G95" t="s">
        <v>69</v>
      </c>
      <c r="H95" t="s">
        <v>70</v>
      </c>
      <c r="I95">
        <v>5</v>
      </c>
      <c r="J95" s="6">
        <f>B95</f>
        <v>6.2646566164154122E-3</v>
      </c>
      <c r="K95" s="6">
        <f>0.11*(B88/B91)/19.9</f>
        <v>5.873115577889448E-3</v>
      </c>
      <c r="L95" s="6">
        <f>0.11*(B88/B90)/19.9</f>
        <v>6.7121320890165129E-3</v>
      </c>
    </row>
    <row r="96" spans="1:12" x14ac:dyDescent="0.2">
      <c r="A96" t="s">
        <v>44</v>
      </c>
      <c r="B96" s="11">
        <f>1/B85</f>
        <v>6.9444444444444442E-12</v>
      </c>
      <c r="C96" t="s">
        <v>19</v>
      </c>
      <c r="E96" t="s">
        <v>8</v>
      </c>
      <c r="F96" t="s">
        <v>17</v>
      </c>
      <c r="G96" t="s">
        <v>43</v>
      </c>
      <c r="H96" t="s">
        <v>67</v>
      </c>
      <c r="I96">
        <v>5</v>
      </c>
      <c r="J96" s="11">
        <f>B96</f>
        <v>6.9444444444444442E-12</v>
      </c>
      <c r="K96" s="11">
        <f>1/B87</f>
        <v>6.5359477124183003E-12</v>
      </c>
      <c r="L96" s="11">
        <f>1/B86</f>
        <v>7.4074074074074068E-12</v>
      </c>
    </row>
    <row r="97" spans="1:12" x14ac:dyDescent="0.2">
      <c r="A97" t="s">
        <v>50</v>
      </c>
      <c r="B97" s="11">
        <f>1/B85</f>
        <v>6.9444444444444442E-12</v>
      </c>
      <c r="C97" t="s">
        <v>19</v>
      </c>
      <c r="E97" t="s">
        <v>8</v>
      </c>
      <c r="F97" t="s">
        <v>17</v>
      </c>
      <c r="G97" t="s">
        <v>49</v>
      </c>
      <c r="H97" t="s">
        <v>67</v>
      </c>
      <c r="I97">
        <v>5</v>
      </c>
      <c r="J97" s="11">
        <f>B97</f>
        <v>6.9444444444444442E-12</v>
      </c>
      <c r="K97" s="11">
        <f>1/B87</f>
        <v>6.5359477124183003E-12</v>
      </c>
      <c r="L97" s="11">
        <f>1/B86</f>
        <v>7.4074074074074068E-12</v>
      </c>
    </row>
    <row r="98" spans="1:12" x14ac:dyDescent="0.2">
      <c r="A98" t="s">
        <v>52</v>
      </c>
      <c r="B98" s="11">
        <f>1.38106E-16</f>
        <v>1.38106E-16</v>
      </c>
      <c r="C98" t="s">
        <v>19</v>
      </c>
      <c r="E98" t="s">
        <v>8</v>
      </c>
      <c r="F98" t="s">
        <v>17</v>
      </c>
      <c r="G98" t="s">
        <v>51</v>
      </c>
      <c r="J98" s="11"/>
      <c r="K98" s="11"/>
      <c r="L98" s="11"/>
    </row>
    <row r="99" spans="1:12" ht="16" x14ac:dyDescent="0.2">
      <c r="A99" t="s">
        <v>71</v>
      </c>
      <c r="B99" s="12">
        <f>B95*1.37</f>
        <v>8.5825795644891151E-3</v>
      </c>
      <c r="D99" t="s">
        <v>23</v>
      </c>
      <c r="E99" t="s">
        <v>9</v>
      </c>
      <c r="F99" t="s">
        <v>20</v>
      </c>
      <c r="H99" t="s">
        <v>72</v>
      </c>
      <c r="I99">
        <v>5</v>
      </c>
      <c r="J99" s="6">
        <f>B99</f>
        <v>8.5825795644891151E-3</v>
      </c>
      <c r="K99" s="6">
        <f>K95*1.37</f>
        <v>8.0461683417085445E-3</v>
      </c>
      <c r="L99" s="6">
        <f>L95*1.37</f>
        <v>9.1956209619526233E-3</v>
      </c>
    </row>
    <row r="100" spans="1:12" ht="16" x14ac:dyDescent="0.2">
      <c r="A100" t="s">
        <v>62</v>
      </c>
      <c r="B100" s="11">
        <f>0.0048*(B95*19.9*B89/3.6)</f>
        <v>6.2333333333333335E-5</v>
      </c>
      <c r="D100" t="s">
        <v>23</v>
      </c>
      <c r="E100" t="s">
        <v>9</v>
      </c>
      <c r="F100" t="s">
        <v>20</v>
      </c>
      <c r="H100" t="s">
        <v>146</v>
      </c>
      <c r="I100">
        <v>5</v>
      </c>
      <c r="J100" s="6">
        <f t="shared" ref="J100:J103" si="2">B100</f>
        <v>6.2333333333333335E-5</v>
      </c>
      <c r="K100" s="6">
        <f>0.0048*(B95*19.9*B90/3.6)</f>
        <v>5.8177777777777779E-5</v>
      </c>
      <c r="L100" s="6">
        <f>0.0048*(B95*19.9*B91/3.6)</f>
        <v>6.6488888888888891E-5</v>
      </c>
    </row>
    <row r="101" spans="1:12" ht="16" x14ac:dyDescent="0.2">
      <c r="A101" t="s">
        <v>24</v>
      </c>
      <c r="B101">
        <f>0.0026*(B95*19.9*B89/3.6)</f>
        <v>3.3763888888888895E-5</v>
      </c>
      <c r="D101" t="s">
        <v>23</v>
      </c>
      <c r="E101" t="s">
        <v>9</v>
      </c>
      <c r="F101" t="s">
        <v>20</v>
      </c>
      <c r="H101" t="s">
        <v>147</v>
      </c>
      <c r="I101">
        <v>5</v>
      </c>
      <c r="J101" s="6">
        <f t="shared" si="2"/>
        <v>3.3763888888888895E-5</v>
      </c>
      <c r="K101" s="6">
        <f>0.0026*(B95*19.9*B90/3.6)</f>
        <v>3.1512962962962963E-5</v>
      </c>
      <c r="L101" s="6">
        <f>0.0026*(B95*19.9*B91/3.6)</f>
        <v>3.601481481481482E-5</v>
      </c>
    </row>
    <row r="102" spans="1:12" ht="16" x14ac:dyDescent="0.2">
      <c r="A102" t="s">
        <v>63</v>
      </c>
      <c r="B102">
        <f>0.00014*(B95*19.9*B89/3.6)</f>
        <v>1.8180555555555556E-6</v>
      </c>
      <c r="D102" t="s">
        <v>23</v>
      </c>
      <c r="E102" t="s">
        <v>9</v>
      </c>
      <c r="F102" t="s">
        <v>20</v>
      </c>
      <c r="H102" t="s">
        <v>148</v>
      </c>
      <c r="I102">
        <v>5</v>
      </c>
      <c r="J102" s="6">
        <f t="shared" si="2"/>
        <v>1.8180555555555556E-6</v>
      </c>
      <c r="K102" s="6">
        <f>0.00014*(B95*19.9*B90/3.6)</f>
        <v>1.6968518518518519E-6</v>
      </c>
      <c r="L102" s="6">
        <f>0.00014*(B95*19.9*B91/3.6)</f>
        <v>1.9392592592592593E-6</v>
      </c>
    </row>
    <row r="103" spans="1:12" ht="16" x14ac:dyDescent="0.2">
      <c r="A103" t="s">
        <v>26</v>
      </c>
      <c r="B103">
        <f>0.00000049*(B95*19.9*B89/3.6)</f>
        <v>6.3631944444444453E-9</v>
      </c>
      <c r="D103" t="s">
        <v>23</v>
      </c>
      <c r="E103" t="s">
        <v>9</v>
      </c>
      <c r="F103" t="s">
        <v>20</v>
      </c>
      <c r="H103" t="s">
        <v>149</v>
      </c>
      <c r="I103">
        <v>5</v>
      </c>
      <c r="J103" s="6">
        <f t="shared" si="2"/>
        <v>6.3631944444444453E-9</v>
      </c>
      <c r="K103" s="6">
        <f>0.00000049*(B95*19.9*B90/3.6)</f>
        <v>5.9389814814814818E-9</v>
      </c>
      <c r="L103" s="6">
        <f>0.00000049*(B95*19.9*B91/3.6)</f>
        <v>6.787407407407408E-9</v>
      </c>
    </row>
    <row r="104" spans="1:12" ht="16" x14ac:dyDescent="0.2">
      <c r="J104" s="6"/>
      <c r="K104" s="6"/>
      <c r="L104" s="6"/>
    </row>
    <row r="105" spans="1:12" ht="16" x14ac:dyDescent="0.2">
      <c r="A105" s="1" t="s">
        <v>3</v>
      </c>
      <c r="B105" s="1" t="s">
        <v>102</v>
      </c>
    </row>
    <row r="106" spans="1:12" x14ac:dyDescent="0.2">
      <c r="A106" t="s">
        <v>11</v>
      </c>
      <c r="B106" t="s">
        <v>121</v>
      </c>
    </row>
    <row r="107" spans="1:12" x14ac:dyDescent="0.2">
      <c r="A107" t="s">
        <v>10</v>
      </c>
      <c r="B107" t="s">
        <v>142</v>
      </c>
    </row>
    <row r="108" spans="1:12" x14ac:dyDescent="0.2">
      <c r="A108" t="s">
        <v>4</v>
      </c>
      <c r="B108" t="s">
        <v>5</v>
      </c>
    </row>
    <row r="109" spans="1:12" x14ac:dyDescent="0.2">
      <c r="A109" t="s">
        <v>6</v>
      </c>
      <c r="B109" t="s">
        <v>36</v>
      </c>
    </row>
    <row r="110" spans="1:12" x14ac:dyDescent="0.2">
      <c r="A110" t="s">
        <v>8</v>
      </c>
      <c r="B110" t="s">
        <v>18</v>
      </c>
    </row>
    <row r="111" spans="1:12" x14ac:dyDescent="0.2">
      <c r="A111" t="s">
        <v>96</v>
      </c>
      <c r="B111" s="11">
        <f>parameters!N10</f>
        <v>108000000000</v>
      </c>
    </row>
    <row r="112" spans="1:12" x14ac:dyDescent="0.2">
      <c r="A112" t="s">
        <v>97</v>
      </c>
      <c r="B112" s="11">
        <f>parameters!O10</f>
        <v>90000000000</v>
      </c>
    </row>
    <row r="113" spans="1:12" x14ac:dyDescent="0.2">
      <c r="A113" t="s">
        <v>98</v>
      </c>
      <c r="B113" s="11">
        <f>parameters!P10</f>
        <v>117000000000</v>
      </c>
    </row>
    <row r="114" spans="1:12" x14ac:dyDescent="0.2">
      <c r="A114" t="s">
        <v>140</v>
      </c>
      <c r="B114" s="13">
        <f>parameters!$C$15</f>
        <v>0.42500000000000004</v>
      </c>
    </row>
    <row r="115" spans="1:12" x14ac:dyDescent="0.2">
      <c r="A115" t="s">
        <v>137</v>
      </c>
      <c r="B115" s="13">
        <f>parameters!C21</f>
        <v>0.45</v>
      </c>
    </row>
    <row r="116" spans="1:12" x14ac:dyDescent="0.2">
      <c r="A116" t="s">
        <v>138</v>
      </c>
      <c r="B116" s="13">
        <f>parameters!D21</f>
        <v>0.4</v>
      </c>
    </row>
    <row r="117" spans="1:12" x14ac:dyDescent="0.2">
      <c r="A117" t="s">
        <v>139</v>
      </c>
      <c r="B117" s="13">
        <f>parameters!E21</f>
        <v>0.5</v>
      </c>
    </row>
    <row r="118" spans="1:12" ht="16" x14ac:dyDescent="0.2">
      <c r="A118" s="1" t="s">
        <v>12</v>
      </c>
    </row>
    <row r="119" spans="1:12" x14ac:dyDescent="0.2">
      <c r="A119" s="2" t="s">
        <v>13</v>
      </c>
      <c r="B119" s="2" t="s">
        <v>14</v>
      </c>
      <c r="C119" s="2" t="s">
        <v>4</v>
      </c>
      <c r="D119" s="2" t="s">
        <v>15</v>
      </c>
      <c r="E119" s="2" t="s">
        <v>8</v>
      </c>
      <c r="F119" s="2" t="s">
        <v>7</v>
      </c>
      <c r="G119" s="2" t="s">
        <v>6</v>
      </c>
      <c r="H119" s="2" t="s">
        <v>11</v>
      </c>
      <c r="I119" s="2" t="s">
        <v>37</v>
      </c>
      <c r="J119" s="2" t="s">
        <v>45</v>
      </c>
      <c r="K119" s="2" t="s">
        <v>38</v>
      </c>
      <c r="L119" s="2" t="s">
        <v>39</v>
      </c>
    </row>
    <row r="120" spans="1:12" x14ac:dyDescent="0.2">
      <c r="A120" t="str">
        <f>B105</f>
        <v>transport, freight, sea, container ship, powered with synthetic methane</v>
      </c>
      <c r="B120">
        <v>1</v>
      </c>
      <c r="C120" t="s">
        <v>5</v>
      </c>
      <c r="E120" t="str">
        <f>B110</f>
        <v>ton kilometer</v>
      </c>
      <c r="F120" t="s">
        <v>16</v>
      </c>
      <c r="G120" t="str">
        <f>B109</f>
        <v>transport, freight, sea, container ship</v>
      </c>
    </row>
    <row r="121" spans="1:12" ht="16" x14ac:dyDescent="0.2">
      <c r="A121" t="s">
        <v>112</v>
      </c>
      <c r="B121" s="12">
        <f>0.11*(B114/B115)/47.5</f>
        <v>2.1871345029239771E-3</v>
      </c>
      <c r="C121" t="s">
        <v>5</v>
      </c>
      <c r="E121" t="s">
        <v>9</v>
      </c>
      <c r="F121" t="s">
        <v>17</v>
      </c>
      <c r="G121" s="8" t="s">
        <v>113</v>
      </c>
      <c r="H121" t="s">
        <v>114</v>
      </c>
      <c r="I121">
        <v>5</v>
      </c>
      <c r="J121">
        <f>B121</f>
        <v>2.1871345029239771E-3</v>
      </c>
      <c r="K121" s="6">
        <f>0.11*(B114/B117)/47.5</f>
        <v>1.9684210526315794E-3</v>
      </c>
      <c r="L121" s="6">
        <f>0.11*(B114/B116)/47.5</f>
        <v>2.4605263157894738E-3</v>
      </c>
    </row>
    <row r="122" spans="1:12" x14ac:dyDescent="0.2">
      <c r="A122" t="s">
        <v>44</v>
      </c>
      <c r="B122" s="11">
        <f>1/B111</f>
        <v>9.2592592592592589E-12</v>
      </c>
      <c r="C122" t="s">
        <v>19</v>
      </c>
      <c r="E122" t="s">
        <v>8</v>
      </c>
      <c r="F122" t="s">
        <v>17</v>
      </c>
      <c r="G122" t="s">
        <v>43</v>
      </c>
      <c r="H122" t="s">
        <v>122</v>
      </c>
      <c r="I122">
        <v>5</v>
      </c>
      <c r="J122" s="11">
        <f>B122</f>
        <v>9.2592592592592589E-12</v>
      </c>
      <c r="K122" s="11">
        <f>1/B113</f>
        <v>8.5470085470085473E-12</v>
      </c>
      <c r="L122" s="11">
        <f>1/B112</f>
        <v>1.1111111111111111E-11</v>
      </c>
    </row>
    <row r="123" spans="1:12" x14ac:dyDescent="0.2">
      <c r="A123" t="s">
        <v>50</v>
      </c>
      <c r="B123" s="11">
        <f>1/B111</f>
        <v>9.2592592592592589E-12</v>
      </c>
      <c r="C123" t="s">
        <v>19</v>
      </c>
      <c r="E123" t="s">
        <v>8</v>
      </c>
      <c r="F123" t="s">
        <v>17</v>
      </c>
      <c r="G123" t="s">
        <v>49</v>
      </c>
      <c r="H123" t="s">
        <v>122</v>
      </c>
      <c r="I123">
        <v>5</v>
      </c>
      <c r="J123" s="11">
        <f>B123</f>
        <v>9.2592592592592589E-12</v>
      </c>
      <c r="K123" s="11">
        <f>1/B113</f>
        <v>8.5470085470085473E-12</v>
      </c>
      <c r="L123" s="11">
        <f>1/B112</f>
        <v>1.1111111111111111E-11</v>
      </c>
    </row>
    <row r="124" spans="1:12" x14ac:dyDescent="0.2">
      <c r="A124" t="s">
        <v>52</v>
      </c>
      <c r="B124" s="11">
        <f>1.38106E-16</f>
        <v>1.38106E-16</v>
      </c>
      <c r="C124" t="s">
        <v>19</v>
      </c>
      <c r="E124" t="s">
        <v>8</v>
      </c>
      <c r="F124" t="s">
        <v>17</v>
      </c>
      <c r="G124" t="s">
        <v>51</v>
      </c>
      <c r="J124" s="11"/>
      <c r="K124" s="11"/>
      <c r="L124" s="11"/>
    </row>
    <row r="125" spans="1:12" ht="16" x14ac:dyDescent="0.2">
      <c r="A125" t="s">
        <v>71</v>
      </c>
      <c r="B125" s="12">
        <f>B121*2.74</f>
        <v>5.9927485380116977E-3</v>
      </c>
      <c r="D125" t="s">
        <v>23</v>
      </c>
      <c r="E125" t="s">
        <v>9</v>
      </c>
      <c r="F125" t="s">
        <v>20</v>
      </c>
      <c r="H125" t="s">
        <v>115</v>
      </c>
      <c r="I125">
        <v>5</v>
      </c>
      <c r="J125" s="6">
        <f>B125</f>
        <v>5.9927485380116977E-3</v>
      </c>
      <c r="K125" s="6">
        <f>K121*2.74</f>
        <v>5.3934736842105278E-3</v>
      </c>
      <c r="L125" s="6">
        <f>L121*2.74</f>
        <v>6.7418421052631589E-3</v>
      </c>
    </row>
    <row r="126" spans="1:12" ht="16" x14ac:dyDescent="0.2">
      <c r="A126" t="s">
        <v>62</v>
      </c>
      <c r="B126" s="11">
        <f>0.00186*(B121*47.5*B115/3.6)</f>
        <v>2.4154166666666673E-5</v>
      </c>
      <c r="D126" t="s">
        <v>23</v>
      </c>
      <c r="E126" t="s">
        <v>9</v>
      </c>
      <c r="F126" t="s">
        <v>20</v>
      </c>
      <c r="H126" t="s">
        <v>150</v>
      </c>
      <c r="I126">
        <v>5</v>
      </c>
      <c r="J126" s="6">
        <f t="shared" ref="J126:J132" si="3">B126</f>
        <v>2.4154166666666673E-5</v>
      </c>
      <c r="K126" s="6">
        <f>0.00186*(B121*47.5*B116/3.6)</f>
        <v>2.1470370370370379E-5</v>
      </c>
      <c r="L126" s="6">
        <f>0.00186*(B121*47.5*B117/3.6)</f>
        <v>2.6837962962962968E-5</v>
      </c>
    </row>
    <row r="127" spans="1:12" ht="16" x14ac:dyDescent="0.2">
      <c r="A127" t="s">
        <v>24</v>
      </c>
      <c r="B127">
        <f>0.00117*(B121*47.5*B115/3.6)</f>
        <v>1.5193750000000003E-5</v>
      </c>
      <c r="D127" t="s">
        <v>23</v>
      </c>
      <c r="E127" t="s">
        <v>9</v>
      </c>
      <c r="F127" t="s">
        <v>20</v>
      </c>
      <c r="H127" t="s">
        <v>151</v>
      </c>
      <c r="I127">
        <v>5</v>
      </c>
      <c r="J127" s="6">
        <f t="shared" si="3"/>
        <v>1.5193750000000003E-5</v>
      </c>
      <c r="K127" s="6">
        <f>0.00117*(B121*47.5*B116/3.6)</f>
        <v>1.3505555555555559E-5</v>
      </c>
      <c r="L127" s="6">
        <f>0.00117*(B121*47.5*B117/3.6)</f>
        <v>1.6881944444444447E-5</v>
      </c>
    </row>
    <row r="128" spans="1:12" ht="16" x14ac:dyDescent="0.2">
      <c r="A128" t="s">
        <v>116</v>
      </c>
      <c r="B128" s="11">
        <f>0.00003*(B121*47.5*B115/3.6)</f>
        <v>3.895833333333334E-7</v>
      </c>
      <c r="D128" t="s">
        <v>23</v>
      </c>
      <c r="E128" t="s">
        <v>9</v>
      </c>
      <c r="F128" t="s">
        <v>20</v>
      </c>
      <c r="H128" t="s">
        <v>152</v>
      </c>
      <c r="I128">
        <v>5</v>
      </c>
      <c r="J128" s="6">
        <f t="shared" ref="J128" si="4">B128</f>
        <v>3.895833333333334E-7</v>
      </c>
      <c r="K128" s="6">
        <f>0.00003*(B121*47.5*B116/3.6)</f>
        <v>3.4629629629629639E-7</v>
      </c>
      <c r="L128" s="6">
        <f>0.00003*(B121*47.5*B117/3.6)</f>
        <v>4.3287037037037045E-7</v>
      </c>
    </row>
    <row r="129" spans="1:12" ht="16" x14ac:dyDescent="0.2">
      <c r="A129" t="s">
        <v>63</v>
      </c>
      <c r="B129" s="11">
        <f>0.00003*(B121*47.5*B115/3.6)</f>
        <v>3.895833333333334E-7</v>
      </c>
      <c r="D129" t="s">
        <v>23</v>
      </c>
      <c r="E129" t="s">
        <v>9</v>
      </c>
      <c r="F129" t="s">
        <v>20</v>
      </c>
      <c r="H129" t="s">
        <v>153</v>
      </c>
      <c r="I129">
        <v>5</v>
      </c>
      <c r="J129" s="6">
        <f t="shared" si="3"/>
        <v>3.895833333333334E-7</v>
      </c>
      <c r="K129" s="6">
        <f>0.00003*(B121*47.5*B116/3.6)</f>
        <v>3.4629629629629639E-7</v>
      </c>
      <c r="L129" s="6">
        <f>0.00003*(B121*47.5*B117/3.6)</f>
        <v>4.3287037037037045E-7</v>
      </c>
    </row>
    <row r="130" spans="1:12" ht="16" x14ac:dyDescent="0.2">
      <c r="A130" t="s">
        <v>117</v>
      </c>
      <c r="B130" s="11">
        <f>B121*0.02</f>
        <v>4.3742690058479544E-5</v>
      </c>
      <c r="D130" t="s">
        <v>23</v>
      </c>
      <c r="E130" t="s">
        <v>9</v>
      </c>
      <c r="F130" t="s">
        <v>20</v>
      </c>
      <c r="H130" t="s">
        <v>154</v>
      </c>
      <c r="I130">
        <v>5</v>
      </c>
      <c r="J130" s="6">
        <f t="shared" ref="J130:J132" si="5">B130</f>
        <v>4.3742690058479544E-5</v>
      </c>
      <c r="K130" s="6">
        <f>B121*0.02</f>
        <v>4.3742690058479544E-5</v>
      </c>
      <c r="L130" s="6">
        <f>B121*0.067</f>
        <v>1.4653801169590646E-4</v>
      </c>
    </row>
    <row r="131" spans="1:12" ht="16" x14ac:dyDescent="0.2">
      <c r="A131" t="s">
        <v>64</v>
      </c>
      <c r="B131" s="11">
        <f>0.00038*(B121*47.5*B115/3.6)</f>
        <v>4.9347222222222232E-6</v>
      </c>
      <c r="D131" t="s">
        <v>23</v>
      </c>
      <c r="E131" t="s">
        <v>9</v>
      </c>
      <c r="F131" t="s">
        <v>20</v>
      </c>
      <c r="H131" t="s">
        <v>155</v>
      </c>
      <c r="I131">
        <v>5</v>
      </c>
      <c r="J131" s="6">
        <f t="shared" si="5"/>
        <v>4.9347222222222232E-6</v>
      </c>
      <c r="K131" s="6">
        <f>0.00038*(B121*47.5*B116/3.6)</f>
        <v>4.3864197530864211E-6</v>
      </c>
      <c r="L131" s="6">
        <f>0.00038*(B121*47.5*B117/3.6)</f>
        <v>5.4830246913580262E-6</v>
      </c>
    </row>
    <row r="132" spans="1:12" ht="16" x14ac:dyDescent="0.2">
      <c r="A132" t="s">
        <v>118</v>
      </c>
      <c r="B132" s="11">
        <f>0.00002*(B121*47.5*B115/3.6)</f>
        <v>2.5972222222222228E-7</v>
      </c>
      <c r="D132" t="s">
        <v>23</v>
      </c>
      <c r="E132" t="s">
        <v>9</v>
      </c>
      <c r="F132" t="s">
        <v>20</v>
      </c>
      <c r="H132" t="s">
        <v>156</v>
      </c>
      <c r="I132">
        <v>5</v>
      </c>
      <c r="J132" s="6">
        <f t="shared" si="5"/>
        <v>2.5972222222222228E-7</v>
      </c>
      <c r="K132" s="11">
        <f>0.00002*(B121*47.5*B116/3.6)</f>
        <v>2.3086419753086429E-7</v>
      </c>
      <c r="L132" s="11">
        <f>0.00002*(B121*47.5*B117/3.6)</f>
        <v>2.885802469135803E-7</v>
      </c>
    </row>
    <row r="135" spans="1:12" ht="16" x14ac:dyDescent="0.2">
      <c r="A135" s="1" t="s">
        <v>3</v>
      </c>
      <c r="B135" s="1" t="s">
        <v>111</v>
      </c>
    </row>
    <row r="136" spans="1:12" x14ac:dyDescent="0.2">
      <c r="A136" t="s">
        <v>11</v>
      </c>
      <c r="B136" t="s">
        <v>125</v>
      </c>
    </row>
    <row r="137" spans="1:12" x14ac:dyDescent="0.2">
      <c r="A137" t="s">
        <v>10</v>
      </c>
      <c r="B137" t="s">
        <v>142</v>
      </c>
    </row>
    <row r="138" spans="1:12" x14ac:dyDescent="0.2">
      <c r="A138" t="s">
        <v>4</v>
      </c>
      <c r="B138" t="s">
        <v>5</v>
      </c>
    </row>
    <row r="139" spans="1:12" x14ac:dyDescent="0.2">
      <c r="A139" t="s">
        <v>6</v>
      </c>
      <c r="B139" t="s">
        <v>36</v>
      </c>
    </row>
    <row r="140" spans="1:12" x14ac:dyDescent="0.2">
      <c r="A140" t="s">
        <v>8</v>
      </c>
      <c r="B140" t="s">
        <v>18</v>
      </c>
    </row>
    <row r="141" spans="1:12" x14ac:dyDescent="0.2">
      <c r="A141" t="s">
        <v>96</v>
      </c>
      <c r="B141" s="11">
        <f>parameters!N9</f>
        <v>158400000000</v>
      </c>
    </row>
    <row r="142" spans="1:12" x14ac:dyDescent="0.2">
      <c r="A142" t="s">
        <v>97</v>
      </c>
      <c r="B142" s="11">
        <f>parameters!O9</f>
        <v>153000000000</v>
      </c>
    </row>
    <row r="143" spans="1:12" x14ac:dyDescent="0.2">
      <c r="A143" t="s">
        <v>98</v>
      </c>
      <c r="B143" s="11">
        <f>parameters!P9</f>
        <v>162000000000</v>
      </c>
    </row>
    <row r="144" spans="1:12" x14ac:dyDescent="0.2">
      <c r="A144" t="s">
        <v>140</v>
      </c>
      <c r="B144" s="13">
        <f>parameters!$C$15</f>
        <v>0.42500000000000004</v>
      </c>
    </row>
    <row r="145" spans="1:12" x14ac:dyDescent="0.2">
      <c r="A145" t="s">
        <v>137</v>
      </c>
      <c r="B145" s="13">
        <f>parameters!C20</f>
        <v>0.41500000000000004</v>
      </c>
    </row>
    <row r="146" spans="1:12" x14ac:dyDescent="0.2">
      <c r="A146" t="s">
        <v>138</v>
      </c>
      <c r="B146" s="13">
        <f>parameters!D20</f>
        <v>0.38</v>
      </c>
    </row>
    <row r="147" spans="1:12" x14ac:dyDescent="0.2">
      <c r="A147" t="s">
        <v>139</v>
      </c>
      <c r="B147" s="13">
        <f>parameters!E20</f>
        <v>0.45</v>
      </c>
    </row>
    <row r="148" spans="1:12" ht="16" x14ac:dyDescent="0.2">
      <c r="A148" s="1" t="s">
        <v>12</v>
      </c>
    </row>
    <row r="149" spans="1:12" x14ac:dyDescent="0.2">
      <c r="A149" s="2" t="s">
        <v>13</v>
      </c>
      <c r="B149" s="2" t="s">
        <v>14</v>
      </c>
      <c r="C149" s="2" t="s">
        <v>4</v>
      </c>
      <c r="D149" s="2" t="s">
        <v>15</v>
      </c>
      <c r="E149" s="2" t="s">
        <v>8</v>
      </c>
      <c r="F149" s="2" t="s">
        <v>7</v>
      </c>
      <c r="G149" s="2" t="s">
        <v>6</v>
      </c>
      <c r="H149" s="2" t="s">
        <v>11</v>
      </c>
      <c r="I149" s="2" t="s">
        <v>37</v>
      </c>
      <c r="J149" s="2" t="s">
        <v>45</v>
      </c>
      <c r="K149" s="2" t="s">
        <v>38</v>
      </c>
      <c r="L149" s="2" t="s">
        <v>39</v>
      </c>
    </row>
    <row r="150" spans="1:12" x14ac:dyDescent="0.2">
      <c r="A150" t="str">
        <f>B135</f>
        <v>transport, freight, sea, container ship, powered with synthetic liquefied petroleum gas</v>
      </c>
      <c r="B150">
        <v>1</v>
      </c>
      <c r="C150" t="s">
        <v>5</v>
      </c>
      <c r="E150" t="str">
        <f>B140</f>
        <v>ton kilometer</v>
      </c>
      <c r="F150" t="s">
        <v>16</v>
      </c>
      <c r="G150" t="str">
        <f>B139</f>
        <v>transport, freight, sea, container ship</v>
      </c>
    </row>
    <row r="151" spans="1:12" ht="16" x14ac:dyDescent="0.2">
      <c r="A151" t="s">
        <v>119</v>
      </c>
      <c r="B151" s="12">
        <f>0.11*(B144/B145)/46</f>
        <v>2.4489261393399685E-3</v>
      </c>
      <c r="C151" t="s">
        <v>5</v>
      </c>
      <c r="E151" t="s">
        <v>9</v>
      </c>
      <c r="F151" t="s">
        <v>17</v>
      </c>
      <c r="G151" s="8" t="s">
        <v>120</v>
      </c>
      <c r="H151" t="s">
        <v>126</v>
      </c>
      <c r="I151">
        <v>5</v>
      </c>
      <c r="J151">
        <f>B151</f>
        <v>2.4489261393399685E-3</v>
      </c>
      <c r="K151" s="6">
        <f>0.11*(B144/B147)/46</f>
        <v>2.2584541062801934E-3</v>
      </c>
      <c r="L151" s="6">
        <f>0.11*(B144/B146)/46</f>
        <v>2.6744851258581237E-3</v>
      </c>
    </row>
    <row r="152" spans="1:12" x14ac:dyDescent="0.2">
      <c r="A152" t="s">
        <v>44</v>
      </c>
      <c r="B152" s="11">
        <f>1/B141</f>
        <v>6.313131313131313E-12</v>
      </c>
      <c r="C152" t="s">
        <v>19</v>
      </c>
      <c r="E152" t="s">
        <v>8</v>
      </c>
      <c r="F152" t="s">
        <v>17</v>
      </c>
      <c r="G152" t="s">
        <v>43</v>
      </c>
      <c r="H152" t="s">
        <v>123</v>
      </c>
      <c r="I152">
        <v>5</v>
      </c>
      <c r="J152" s="11">
        <f>B152</f>
        <v>6.313131313131313E-12</v>
      </c>
      <c r="K152" s="11">
        <f>1/B143</f>
        <v>6.1728395061728393E-12</v>
      </c>
      <c r="L152" s="11">
        <f>1/B142</f>
        <v>6.5359477124183003E-12</v>
      </c>
    </row>
    <row r="153" spans="1:12" x14ac:dyDescent="0.2">
      <c r="A153" t="s">
        <v>50</v>
      </c>
      <c r="B153" s="11">
        <f>1/B141</f>
        <v>6.313131313131313E-12</v>
      </c>
      <c r="C153" t="s">
        <v>19</v>
      </c>
      <c r="E153" t="s">
        <v>8</v>
      </c>
      <c r="F153" t="s">
        <v>17</v>
      </c>
      <c r="G153" t="s">
        <v>49</v>
      </c>
      <c r="H153" t="s">
        <v>123</v>
      </c>
      <c r="I153">
        <v>5</v>
      </c>
      <c r="J153" s="11">
        <f>B153</f>
        <v>6.313131313131313E-12</v>
      </c>
      <c r="K153" s="11">
        <f>1/B143</f>
        <v>6.1728395061728393E-12</v>
      </c>
      <c r="L153" s="11">
        <f>1/B142</f>
        <v>6.5359477124183003E-12</v>
      </c>
    </row>
    <row r="154" spans="1:12" x14ac:dyDescent="0.2">
      <c r="A154" t="s">
        <v>52</v>
      </c>
      <c r="B154" s="11">
        <f>1.38106E-16</f>
        <v>1.38106E-16</v>
      </c>
      <c r="C154" t="s">
        <v>19</v>
      </c>
      <c r="E154" t="s">
        <v>8</v>
      </c>
      <c r="F154" t="s">
        <v>17</v>
      </c>
      <c r="G154" t="s">
        <v>51</v>
      </c>
      <c r="J154" s="11"/>
      <c r="K154" s="11"/>
      <c r="L154" s="11"/>
    </row>
    <row r="155" spans="1:12" ht="16" x14ac:dyDescent="0.2">
      <c r="A155" t="s">
        <v>71</v>
      </c>
      <c r="B155" s="12">
        <f>B151*3</f>
        <v>7.3467784180199051E-3</v>
      </c>
      <c r="D155" t="s">
        <v>23</v>
      </c>
      <c r="E155" t="s">
        <v>9</v>
      </c>
      <c r="F155" t="s">
        <v>20</v>
      </c>
      <c r="H155" t="s">
        <v>124</v>
      </c>
      <c r="I155">
        <v>5</v>
      </c>
      <c r="J155" s="6">
        <f>B155</f>
        <v>7.3467784180199051E-3</v>
      </c>
      <c r="K155" s="6">
        <f>K151*3</f>
        <v>6.7753623188405807E-3</v>
      </c>
      <c r="L155" s="6">
        <f>L151*3</f>
        <v>8.0234553775743716E-3</v>
      </c>
    </row>
    <row r="156" spans="1:12" ht="16" x14ac:dyDescent="0.2">
      <c r="A156" t="s">
        <v>62</v>
      </c>
      <c r="B156" s="11">
        <f>0.00186*(B151*46*B145/3.6)</f>
        <v>2.415416666666667E-5</v>
      </c>
      <c r="D156" t="s">
        <v>23</v>
      </c>
      <c r="E156" t="s">
        <v>9</v>
      </c>
      <c r="F156" t="s">
        <v>20</v>
      </c>
      <c r="H156" t="s">
        <v>157</v>
      </c>
      <c r="I156">
        <v>5</v>
      </c>
      <c r="J156" s="6">
        <f t="shared" ref="J156:J162" si="6">B156</f>
        <v>2.415416666666667E-5</v>
      </c>
      <c r="K156" s="6">
        <f>0.00186*(B151*46*B146/3.6)</f>
        <v>2.2117068273092368E-5</v>
      </c>
      <c r="L156" s="6">
        <f>0.00186*(B151*46*B147/3.6)</f>
        <v>2.6191265060240965E-5</v>
      </c>
    </row>
    <row r="157" spans="1:12" ht="16" x14ac:dyDescent="0.2">
      <c r="A157" t="s">
        <v>24</v>
      </c>
      <c r="B157">
        <f>0.00117*(B151*46*B145/3.6)</f>
        <v>1.519375E-5</v>
      </c>
      <c r="D157" t="s">
        <v>23</v>
      </c>
      <c r="E157" t="s">
        <v>9</v>
      </c>
      <c r="F157" t="s">
        <v>20</v>
      </c>
      <c r="H157" t="s">
        <v>158</v>
      </c>
      <c r="I157">
        <v>5</v>
      </c>
      <c r="J157" s="6">
        <f t="shared" si="6"/>
        <v>1.519375E-5</v>
      </c>
      <c r="K157" s="6">
        <f>0.00117*(B151*46*B146/3.6)</f>
        <v>1.391234939759036E-5</v>
      </c>
      <c r="L157" s="6">
        <f>0.00117*(B151*46*B147/3.6)</f>
        <v>1.6475150602409637E-5</v>
      </c>
    </row>
    <row r="158" spans="1:12" ht="16" x14ac:dyDescent="0.2">
      <c r="A158" t="s">
        <v>116</v>
      </c>
      <c r="B158" s="11">
        <f>0.00003*(B151*46*B145/3.6)</f>
        <v>3.8958333333333334E-7</v>
      </c>
      <c r="D158" t="s">
        <v>23</v>
      </c>
      <c r="E158" t="s">
        <v>9</v>
      </c>
      <c r="F158" t="s">
        <v>20</v>
      </c>
      <c r="H158" t="s">
        <v>159</v>
      </c>
      <c r="I158">
        <v>5</v>
      </c>
      <c r="J158" s="6">
        <f t="shared" si="6"/>
        <v>3.8958333333333334E-7</v>
      </c>
      <c r="K158" s="6">
        <f>0.00003*(B151*46*B146/3.6)</f>
        <v>3.5672690763052206E-7</v>
      </c>
      <c r="L158" s="6">
        <f>0.00003*(B151*46*B147/3.6)</f>
        <v>4.2243975903614458E-7</v>
      </c>
    </row>
    <row r="159" spans="1:12" ht="16" x14ac:dyDescent="0.2">
      <c r="A159" t="s">
        <v>63</v>
      </c>
      <c r="B159" s="11">
        <f>0.00003*(B151*46*B145/3.6)</f>
        <v>3.8958333333333334E-7</v>
      </c>
      <c r="D159" t="s">
        <v>23</v>
      </c>
      <c r="E159" t="s">
        <v>9</v>
      </c>
      <c r="F159" t="s">
        <v>20</v>
      </c>
      <c r="H159" t="s">
        <v>160</v>
      </c>
      <c r="I159">
        <v>5</v>
      </c>
      <c r="J159" s="6">
        <f t="shared" si="6"/>
        <v>3.8958333333333334E-7</v>
      </c>
      <c r="K159" s="6">
        <f>0.00003*(B151*46*B146/3.6)</f>
        <v>3.5672690763052206E-7</v>
      </c>
      <c r="L159" s="6">
        <f>0.00003*(B151*46*B147/3.6)</f>
        <v>4.2243975903614458E-7</v>
      </c>
    </row>
    <row r="160" spans="1:12" ht="16" x14ac:dyDescent="0.2">
      <c r="A160" t="s">
        <v>117</v>
      </c>
      <c r="B160" s="11">
        <f>B151*0.02</f>
        <v>4.8978522786799369E-5</v>
      </c>
      <c r="D160" t="s">
        <v>23</v>
      </c>
      <c r="E160" t="s">
        <v>9</v>
      </c>
      <c r="F160" t="s">
        <v>20</v>
      </c>
      <c r="H160" t="s">
        <v>161</v>
      </c>
      <c r="I160">
        <v>5</v>
      </c>
      <c r="J160" s="6">
        <f t="shared" si="6"/>
        <v>4.8978522786799369E-5</v>
      </c>
      <c r="K160" s="6">
        <f>J160</f>
        <v>4.8978522786799369E-5</v>
      </c>
      <c r="L160" s="6">
        <f>0.067*B151</f>
        <v>1.640780513357779E-4</v>
      </c>
    </row>
    <row r="161" spans="1:12" ht="16" x14ac:dyDescent="0.2">
      <c r="A161" t="s">
        <v>64</v>
      </c>
      <c r="B161" s="11">
        <f>0.00038*(B151*46*B145/3.6)</f>
        <v>4.9347222222222224E-6</v>
      </c>
      <c r="D161" t="s">
        <v>23</v>
      </c>
      <c r="E161" t="s">
        <v>9</v>
      </c>
      <c r="F161" t="s">
        <v>20</v>
      </c>
      <c r="H161" t="s">
        <v>162</v>
      </c>
      <c r="I161">
        <v>5</v>
      </c>
      <c r="J161" s="6">
        <f t="shared" si="6"/>
        <v>4.9347222222222224E-6</v>
      </c>
      <c r="K161" s="6">
        <f>0.00038*(B151*46*B146/3.6)</f>
        <v>4.5185408299866128E-6</v>
      </c>
      <c r="L161" s="6">
        <f>0.00038*(B151*46*B147/3.6)</f>
        <v>5.3509036144578311E-6</v>
      </c>
    </row>
    <row r="162" spans="1:12" ht="16" x14ac:dyDescent="0.2">
      <c r="A162" t="s">
        <v>118</v>
      </c>
      <c r="B162" s="11">
        <f>0.00002*(B151*46*B145/3.6)</f>
        <v>2.5972222222222223E-7</v>
      </c>
      <c r="D162" t="s">
        <v>23</v>
      </c>
      <c r="E162" t="s">
        <v>9</v>
      </c>
      <c r="F162" t="s">
        <v>20</v>
      </c>
      <c r="H162" t="s">
        <v>163</v>
      </c>
      <c r="I162">
        <v>5</v>
      </c>
      <c r="J162" s="6">
        <f t="shared" si="6"/>
        <v>2.5972222222222223E-7</v>
      </c>
      <c r="K162" s="11">
        <f>0.00002*(B151*46*B146/3.6)</f>
        <v>2.3781793842034805E-7</v>
      </c>
      <c r="L162">
        <f>0.00002*(B151*46*B147/3.6)</f>
        <v>2.8162650602409639E-7</v>
      </c>
    </row>
    <row r="167" spans="1:12" x14ac:dyDescent="0.2">
      <c r="B167" s="11"/>
    </row>
    <row r="173" spans="1:12" x14ac:dyDescent="0.2">
      <c r="B173" s="11"/>
    </row>
    <row r="174" spans="1:12" x14ac:dyDescent="0.2">
      <c r="B174" s="11"/>
    </row>
    <row r="175" spans="1:12" x14ac:dyDescent="0.2">
      <c r="B175" s="11"/>
    </row>
    <row r="176" spans="1:12" x14ac:dyDescent="0.2">
      <c r="B176" s="11"/>
    </row>
  </sheetData>
  <autoFilter ref="A1:J25" xr:uid="{00000000-0001-0000-0000-000000000000}"/>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1A7F4-A2B5-7747-AA61-2990069064F9}">
  <dimension ref="A1:P21"/>
  <sheetViews>
    <sheetView workbookViewId="0">
      <selection activeCell="C37" sqref="C37"/>
    </sheetView>
  </sheetViews>
  <sheetFormatPr baseColWidth="10" defaultRowHeight="15" x14ac:dyDescent="0.2"/>
  <cols>
    <col min="1" max="1" width="4.1640625" bestFit="1" customWidth="1"/>
    <col min="2" max="2" width="24.6640625" customWidth="1"/>
    <col min="3" max="3" width="19" bestFit="1" customWidth="1"/>
    <col min="4" max="4" width="17.83203125" bestFit="1" customWidth="1"/>
    <col min="5" max="5" width="23" bestFit="1" customWidth="1"/>
    <col min="6" max="6" width="16" bestFit="1" customWidth="1"/>
    <col min="7" max="7" width="17" bestFit="1" customWidth="1"/>
    <col min="8" max="8" width="23.6640625" bestFit="1" customWidth="1"/>
    <col min="9" max="9" width="23.83203125" bestFit="1" customWidth="1"/>
    <col min="10" max="10" width="22.5" bestFit="1" customWidth="1"/>
    <col min="11" max="11" width="22.6640625" bestFit="1" customWidth="1"/>
    <col min="12" max="12" width="23.6640625" bestFit="1" customWidth="1"/>
    <col min="13" max="13" width="12.33203125" bestFit="1" customWidth="1"/>
    <col min="14" max="14" width="25.5" bestFit="1" customWidth="1"/>
    <col min="15" max="15" width="24.1640625" bestFit="1" customWidth="1"/>
    <col min="16" max="16" width="24.33203125" bestFit="1" customWidth="1"/>
  </cols>
  <sheetData>
    <row r="1" spans="1:16" x14ac:dyDescent="0.2">
      <c r="A1" t="s">
        <v>79</v>
      </c>
    </row>
    <row r="3" spans="1:16" x14ac:dyDescent="0.2">
      <c r="B3" s="2" t="s">
        <v>80</v>
      </c>
      <c r="C3" s="2" t="s">
        <v>81</v>
      </c>
      <c r="D3" s="2" t="s">
        <v>82</v>
      </c>
      <c r="E3" s="2" t="s">
        <v>107</v>
      </c>
      <c r="F3" s="2" t="s">
        <v>108</v>
      </c>
      <c r="G3" s="2" t="s">
        <v>109</v>
      </c>
      <c r="H3" s="2" t="s">
        <v>110</v>
      </c>
      <c r="I3" s="2" t="s">
        <v>93</v>
      </c>
      <c r="J3" s="2" t="s">
        <v>94</v>
      </c>
      <c r="K3" s="2" t="s">
        <v>95</v>
      </c>
      <c r="L3" s="2" t="s">
        <v>131</v>
      </c>
      <c r="M3" s="2" t="s">
        <v>127</v>
      </c>
      <c r="N3" s="2" t="s">
        <v>128</v>
      </c>
      <c r="O3" s="2" t="s">
        <v>129</v>
      </c>
      <c r="P3" s="2" t="s">
        <v>130</v>
      </c>
    </row>
    <row r="4" spans="1:16" x14ac:dyDescent="0.2">
      <c r="B4" t="s">
        <v>83</v>
      </c>
      <c r="C4" t="s">
        <v>84</v>
      </c>
      <c r="D4" s="16">
        <v>1</v>
      </c>
      <c r="E4" s="16">
        <f>1/D4</f>
        <v>1</v>
      </c>
      <c r="F4" s="16">
        <v>1</v>
      </c>
      <c r="G4" s="16">
        <f>E4*F4</f>
        <v>1</v>
      </c>
      <c r="H4" s="14">
        <f>1-(1/G4)</f>
        <v>0</v>
      </c>
      <c r="I4" s="13">
        <v>0</v>
      </c>
      <c r="L4" s="15">
        <v>7200000000</v>
      </c>
      <c r="M4">
        <v>25</v>
      </c>
      <c r="N4" s="15">
        <f>L4*M4*(1-I4)</f>
        <v>180000000000</v>
      </c>
      <c r="O4" s="15">
        <f>L4*M4*(1-K4)</f>
        <v>180000000000</v>
      </c>
      <c r="P4" s="15">
        <f>L4*M4*(1-J4)</f>
        <v>180000000000</v>
      </c>
    </row>
    <row r="5" spans="1:16" x14ac:dyDescent="0.2">
      <c r="B5" t="s">
        <v>85</v>
      </c>
      <c r="C5" t="s">
        <v>86</v>
      </c>
      <c r="D5" s="16">
        <v>0.43880000000000002</v>
      </c>
      <c r="E5" s="16">
        <f t="shared" ref="E5:E10" si="0">1/D5</f>
        <v>2.2789425706472195</v>
      </c>
      <c r="F5" s="16">
        <v>1.1000000000000001</v>
      </c>
      <c r="G5" s="16">
        <f t="shared" ref="G5:G10" si="1">E5*F5</f>
        <v>2.5068368277119415</v>
      </c>
      <c r="H5" s="14">
        <f t="shared" ref="H5:H10" si="2">1-(1/G5)</f>
        <v>0.60109090909090912</v>
      </c>
      <c r="I5" s="13">
        <f>AVERAGE(J5:K5)</f>
        <v>0.2</v>
      </c>
      <c r="J5" s="13">
        <v>0.15</v>
      </c>
      <c r="K5" s="13">
        <v>0.25</v>
      </c>
      <c r="L5" s="15">
        <v>7200000000</v>
      </c>
      <c r="M5">
        <v>25</v>
      </c>
      <c r="N5" s="15">
        <f t="shared" ref="N5:N8" si="3">L5*M5*(1-I5)</f>
        <v>144000000000</v>
      </c>
      <c r="O5" s="15">
        <f t="shared" ref="O5:O10" si="4">L5*M5*(1-K5)</f>
        <v>135000000000</v>
      </c>
      <c r="P5" s="15">
        <f t="shared" ref="P5:P10" si="5">L5*M5*(1-J5)</f>
        <v>153000000000</v>
      </c>
    </row>
    <row r="6" spans="1:16" x14ac:dyDescent="0.2">
      <c r="B6" t="s">
        <v>87</v>
      </c>
      <c r="C6" t="s">
        <v>88</v>
      </c>
      <c r="D6" s="16">
        <v>0.35270000000000001</v>
      </c>
      <c r="E6" s="16">
        <f t="shared" si="0"/>
        <v>2.8352707683583782</v>
      </c>
      <c r="F6" s="16">
        <v>1.2</v>
      </c>
      <c r="G6" s="16">
        <f t="shared" si="1"/>
        <v>3.4023249220300538</v>
      </c>
      <c r="H6" s="14">
        <f t="shared" si="2"/>
        <v>0.7060833333333334</v>
      </c>
      <c r="I6" s="13">
        <f t="shared" ref="I6:I8" si="6">AVERAGE(J6:K6)</f>
        <v>0.2</v>
      </c>
      <c r="J6" s="14">
        <v>0.15</v>
      </c>
      <c r="K6" s="14">
        <v>0.25</v>
      </c>
      <c r="L6" s="15">
        <v>7200000000</v>
      </c>
      <c r="M6">
        <v>25</v>
      </c>
      <c r="N6" s="15">
        <f>L6*M6*(1-I6)</f>
        <v>144000000000</v>
      </c>
      <c r="O6" s="15">
        <f t="shared" si="4"/>
        <v>135000000000</v>
      </c>
      <c r="P6" s="15">
        <f t="shared" si="5"/>
        <v>153000000000</v>
      </c>
    </row>
    <row r="7" spans="1:16" x14ac:dyDescent="0.2">
      <c r="B7" t="s">
        <v>89</v>
      </c>
      <c r="C7" t="s">
        <v>90</v>
      </c>
      <c r="D7" s="16">
        <v>0.25</v>
      </c>
      <c r="E7" s="16">
        <f t="shared" si="0"/>
        <v>4</v>
      </c>
      <c r="F7" s="16">
        <v>1.3</v>
      </c>
      <c r="G7" s="16">
        <f t="shared" si="1"/>
        <v>5.2</v>
      </c>
      <c r="H7" s="14">
        <f t="shared" si="2"/>
        <v>0.80769230769230771</v>
      </c>
      <c r="I7" s="13">
        <f t="shared" si="6"/>
        <v>0.32500000000000001</v>
      </c>
      <c r="J7" s="14">
        <v>0.25</v>
      </c>
      <c r="K7" s="14">
        <v>0.4</v>
      </c>
      <c r="L7" s="15">
        <v>7200000000</v>
      </c>
      <c r="M7">
        <v>25</v>
      </c>
      <c r="N7" s="15">
        <f t="shared" ref="N7:N10" si="7">L7*M7*(1-I7)</f>
        <v>121500000000.00002</v>
      </c>
      <c r="O7" s="15">
        <f t="shared" si="4"/>
        <v>108000000000</v>
      </c>
      <c r="P7" s="15">
        <f t="shared" si="5"/>
        <v>135000000000</v>
      </c>
    </row>
    <row r="8" spans="1:16" x14ac:dyDescent="0.2">
      <c r="B8" t="s">
        <v>91</v>
      </c>
      <c r="C8" t="s">
        <v>92</v>
      </c>
      <c r="D8" s="16">
        <v>8.3300000000000006E-3</v>
      </c>
      <c r="E8" s="16">
        <f t="shared" si="0"/>
        <v>120.04801920768307</v>
      </c>
      <c r="F8" s="16">
        <v>1</v>
      </c>
      <c r="G8" s="16">
        <f t="shared" si="1"/>
        <v>120.04801920768307</v>
      </c>
      <c r="H8" s="14">
        <f t="shared" si="2"/>
        <v>0.99167000000000005</v>
      </c>
      <c r="I8" s="13">
        <f t="shared" si="6"/>
        <v>0.5</v>
      </c>
      <c r="J8" s="14">
        <v>0.4</v>
      </c>
      <c r="K8" s="14">
        <v>0.6</v>
      </c>
      <c r="L8" s="15">
        <v>7200000000</v>
      </c>
      <c r="M8">
        <v>25</v>
      </c>
      <c r="N8" s="15">
        <f t="shared" si="7"/>
        <v>90000000000</v>
      </c>
      <c r="O8" s="15">
        <f t="shared" si="4"/>
        <v>72000000000</v>
      </c>
      <c r="P8" s="15">
        <f t="shared" si="5"/>
        <v>108000000000</v>
      </c>
    </row>
    <row r="9" spans="1:16" x14ac:dyDescent="0.2">
      <c r="B9" t="s">
        <v>106</v>
      </c>
      <c r="C9" t="s">
        <v>103</v>
      </c>
      <c r="D9" s="16">
        <v>0.61109999999999998</v>
      </c>
      <c r="E9" s="16">
        <f t="shared" si="0"/>
        <v>1.6363933889707085</v>
      </c>
      <c r="F9" s="16">
        <v>1.1000000000000001</v>
      </c>
      <c r="G9" s="16">
        <f t="shared" si="1"/>
        <v>1.8000327278677795</v>
      </c>
      <c r="H9" s="14">
        <f t="shared" si="2"/>
        <v>0.44445454545454544</v>
      </c>
      <c r="I9" s="13">
        <v>0.12</v>
      </c>
      <c r="J9" s="13">
        <v>0.1</v>
      </c>
      <c r="K9" s="13">
        <v>0.15</v>
      </c>
      <c r="L9" s="15">
        <v>7200000000</v>
      </c>
      <c r="M9">
        <v>25</v>
      </c>
      <c r="N9" s="15">
        <f t="shared" si="7"/>
        <v>158400000000</v>
      </c>
      <c r="O9" s="15">
        <f t="shared" si="4"/>
        <v>153000000000</v>
      </c>
      <c r="P9" s="15">
        <f t="shared" si="5"/>
        <v>162000000000</v>
      </c>
    </row>
    <row r="10" spans="1:16" x14ac:dyDescent="0.2">
      <c r="B10" t="s">
        <v>104</v>
      </c>
      <c r="C10" t="s">
        <v>105</v>
      </c>
      <c r="D10" s="16">
        <v>0.27700000000000002</v>
      </c>
      <c r="E10" s="16">
        <f t="shared" si="0"/>
        <v>3.6101083032490973</v>
      </c>
      <c r="F10" s="16">
        <v>1.3</v>
      </c>
      <c r="G10" s="16">
        <f t="shared" si="1"/>
        <v>4.6931407942238268</v>
      </c>
      <c r="H10" s="14">
        <f t="shared" si="2"/>
        <v>0.78692307692307695</v>
      </c>
      <c r="I10" s="13">
        <v>0.4</v>
      </c>
      <c r="J10" s="13">
        <v>0.35</v>
      </c>
      <c r="K10" s="13">
        <v>0.5</v>
      </c>
      <c r="L10" s="15">
        <v>7200000000</v>
      </c>
      <c r="M10">
        <v>25</v>
      </c>
      <c r="N10" s="15">
        <f t="shared" si="7"/>
        <v>108000000000</v>
      </c>
      <c r="O10" s="15">
        <f t="shared" si="4"/>
        <v>90000000000</v>
      </c>
      <c r="P10" s="15">
        <f t="shared" si="5"/>
        <v>117000000000</v>
      </c>
    </row>
    <row r="12" spans="1:16" x14ac:dyDescent="0.2">
      <c r="O12" s="11"/>
    </row>
    <row r="14" spans="1:16" x14ac:dyDescent="0.2">
      <c r="B14" s="2" t="s">
        <v>132</v>
      </c>
      <c r="C14" s="2" t="s">
        <v>133</v>
      </c>
      <c r="D14" s="2" t="s">
        <v>134</v>
      </c>
      <c r="E14" s="2" t="s">
        <v>135</v>
      </c>
    </row>
    <row r="15" spans="1:16" x14ac:dyDescent="0.2">
      <c r="B15" t="s">
        <v>136</v>
      </c>
      <c r="C15" s="14">
        <f>AVERAGE(D15:E15)</f>
        <v>0.42500000000000004</v>
      </c>
      <c r="D15" s="14">
        <v>0.4</v>
      </c>
      <c r="E15" s="14">
        <v>0.45</v>
      </c>
    </row>
    <row r="16" spans="1:16" x14ac:dyDescent="0.2">
      <c r="B16" t="s">
        <v>85</v>
      </c>
      <c r="C16" s="14">
        <f>AVERAGE(D16:E16)</f>
        <v>0.375</v>
      </c>
      <c r="D16" s="14">
        <v>0.35</v>
      </c>
      <c r="E16" s="14">
        <v>0.4</v>
      </c>
    </row>
    <row r="17" spans="2:5" x14ac:dyDescent="0.2">
      <c r="B17" t="s">
        <v>87</v>
      </c>
      <c r="C17" s="14">
        <v>0.44</v>
      </c>
      <c r="D17" s="14">
        <v>0.35</v>
      </c>
      <c r="E17" s="14">
        <v>0.45</v>
      </c>
    </row>
    <row r="18" spans="2:5" x14ac:dyDescent="0.2">
      <c r="B18" t="s">
        <v>89</v>
      </c>
      <c r="C18" s="14">
        <f>AVERAGE(D18:E18)</f>
        <v>0.47500000000000003</v>
      </c>
      <c r="D18" s="14">
        <v>0.4</v>
      </c>
      <c r="E18" s="14">
        <v>0.55000000000000004</v>
      </c>
    </row>
    <row r="19" spans="2:5" x14ac:dyDescent="0.2">
      <c r="B19" t="s">
        <v>91</v>
      </c>
      <c r="C19" s="14">
        <f>AVERAGE(D19:E19)</f>
        <v>0.8</v>
      </c>
      <c r="D19" s="14">
        <v>0.75</v>
      </c>
      <c r="E19" s="14">
        <v>0.85</v>
      </c>
    </row>
    <row r="20" spans="2:5" x14ac:dyDescent="0.2">
      <c r="B20" t="s">
        <v>106</v>
      </c>
      <c r="C20" s="14">
        <f>AVERAGE(D20:E20)</f>
        <v>0.41500000000000004</v>
      </c>
      <c r="D20" s="14">
        <v>0.38</v>
      </c>
      <c r="E20" s="14">
        <v>0.45</v>
      </c>
    </row>
    <row r="21" spans="2:5" x14ac:dyDescent="0.2">
      <c r="B21" t="s">
        <v>104</v>
      </c>
      <c r="C21" s="14">
        <f>AVERAGE(D21:E21)</f>
        <v>0.45</v>
      </c>
      <c r="D21" s="14">
        <v>0.4</v>
      </c>
      <c r="E21" s="14">
        <v>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inventories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2025-04-12T17:39:32Z</dcterms:modified>
</cp:coreProperties>
</file>