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F7C9D57-C6D1-7C45-82AB-6B1F4B59595C}" xr6:coauthVersionLast="47" xr6:coauthVersionMax="47" xr10:uidLastSave="{00000000-0000-0000-0000-000000000000}"/>
  <bookViews>
    <workbookView xWindow="34260" yWindow="-920" windowWidth="30240" windowHeight="18880" xr2:uid="{00000000-000D-0000-FFFF-FFFF00000000}"/>
  </bookViews>
  <sheets>
    <sheet name="inventories" sheetId="1" r:id="rId1"/>
    <sheet name="parameters" sheetId="2" r:id="rId2"/>
  </sheets>
  <definedNames>
    <definedName name="_xlnm._FilterDatabase" localSheetId="0" hidden="1">inventories!$A$1:$O$225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3" i="1" l="1"/>
  <c r="B201" i="1"/>
  <c r="B190" i="1"/>
  <c r="B221" i="1"/>
  <c r="B189" i="1"/>
  <c r="B220" i="1"/>
  <c r="B188" i="1"/>
  <c r="B219" i="1"/>
  <c r="B204" i="1"/>
  <c r="B205" i="1"/>
  <c r="G200" i="1"/>
  <c r="E200" i="1"/>
  <c r="A200" i="1"/>
  <c r="B194" i="1"/>
  <c r="B202" i="1"/>
  <c r="B206" i="1" l="1"/>
  <c r="J206" i="1" s="1"/>
  <c r="B208" i="1"/>
  <c r="J208" i="1" s="1"/>
  <c r="B210" i="1"/>
  <c r="J210" i="1" s="1"/>
  <c r="B207" i="1"/>
  <c r="J207" i="1" s="1"/>
  <c r="B209" i="1"/>
  <c r="J209" i="1" s="1"/>
  <c r="B211" i="1"/>
  <c r="J211" i="1" s="1"/>
  <c r="B252" i="1"/>
  <c r="B251" i="1"/>
  <c r="B250" i="1"/>
  <c r="B265" i="1" s="1"/>
  <c r="B266" i="1"/>
  <c r="B263" i="1"/>
  <c r="B271" i="1" s="1"/>
  <c r="J271" i="1" s="1"/>
  <c r="G262" i="1"/>
  <c r="E262" i="1"/>
  <c r="A262" i="1"/>
  <c r="B259" i="1"/>
  <c r="B258" i="1"/>
  <c r="B257" i="1"/>
  <c r="B256" i="1"/>
  <c r="B255" i="1"/>
  <c r="B254" i="1"/>
  <c r="B253" i="1"/>
  <c r="L211" i="1" l="1"/>
  <c r="K211" i="1"/>
  <c r="L207" i="1"/>
  <c r="K207" i="1"/>
  <c r="K208" i="1"/>
  <c r="L208" i="1"/>
  <c r="L209" i="1"/>
  <c r="K209" i="1"/>
  <c r="L210" i="1"/>
  <c r="K210" i="1"/>
  <c r="K206" i="1"/>
  <c r="L206" i="1"/>
  <c r="K271" i="1"/>
  <c r="L271" i="1"/>
  <c r="B272" i="1"/>
  <c r="J272" i="1" s="1"/>
  <c r="B267" i="1"/>
  <c r="B273" i="1"/>
  <c r="J273" i="1" s="1"/>
  <c r="B268" i="1"/>
  <c r="J268" i="1" s="1"/>
  <c r="B270" i="1"/>
  <c r="J270" i="1" s="1"/>
  <c r="B264" i="1"/>
  <c r="B269" i="1"/>
  <c r="J269" i="1" s="1"/>
  <c r="K270" i="1" l="1"/>
  <c r="L270" i="1"/>
  <c r="K268" i="1"/>
  <c r="L268" i="1"/>
  <c r="L273" i="1"/>
  <c r="K273" i="1"/>
  <c r="K272" i="1"/>
  <c r="L272" i="1"/>
  <c r="K269" i="1"/>
  <c r="L269" i="1"/>
  <c r="B235" i="1" l="1"/>
  <c r="B232" i="1"/>
  <c r="B234" i="1"/>
  <c r="G231" i="1"/>
  <c r="E231" i="1"/>
  <c r="A231" i="1"/>
  <c r="B228" i="1"/>
  <c r="B227" i="1"/>
  <c r="B226" i="1"/>
  <c r="B225" i="1"/>
  <c r="B224" i="1"/>
  <c r="B223" i="1"/>
  <c r="B222" i="1"/>
  <c r="B169" i="1"/>
  <c r="B161" i="1"/>
  <c r="B160" i="1"/>
  <c r="B159" i="1"/>
  <c r="B128" i="1"/>
  <c r="B127" i="1"/>
  <c r="B126" i="1"/>
  <c r="B99" i="1"/>
  <c r="B98" i="1"/>
  <c r="B97" i="1"/>
  <c r="B67" i="1"/>
  <c r="B68" i="1"/>
  <c r="B66" i="1"/>
  <c r="B43" i="1"/>
  <c r="B42" i="1"/>
  <c r="B41" i="1"/>
  <c r="B15" i="1"/>
  <c r="B14" i="1"/>
  <c r="B13" i="1"/>
  <c r="B162" i="1"/>
  <c r="B129" i="1"/>
  <c r="B100" i="1"/>
  <c r="B69" i="1"/>
  <c r="B44" i="1"/>
  <c r="B16" i="1"/>
  <c r="B165" i="1"/>
  <c r="B164" i="1"/>
  <c r="B163" i="1"/>
  <c r="B132" i="1"/>
  <c r="B131" i="1"/>
  <c r="B130" i="1"/>
  <c r="B103" i="1"/>
  <c r="B102" i="1"/>
  <c r="B101" i="1"/>
  <c r="B72" i="1"/>
  <c r="B71" i="1"/>
  <c r="B70" i="1"/>
  <c r="B47" i="1"/>
  <c r="B46" i="1"/>
  <c r="B45" i="1"/>
  <c r="B19" i="1"/>
  <c r="B18" i="1"/>
  <c r="B17" i="1"/>
  <c r="C20" i="2"/>
  <c r="C21" i="2"/>
  <c r="C16" i="2"/>
  <c r="C19" i="2"/>
  <c r="C15" i="2"/>
  <c r="C18" i="2"/>
  <c r="P7" i="2"/>
  <c r="P8" i="2"/>
  <c r="P9" i="2"/>
  <c r="P10" i="2"/>
  <c r="O7" i="2"/>
  <c r="O8" i="2"/>
  <c r="O9" i="2"/>
  <c r="O10" i="2"/>
  <c r="N7" i="2"/>
  <c r="N8" i="2"/>
  <c r="N9" i="2"/>
  <c r="N10" i="2"/>
  <c r="N6" i="2"/>
  <c r="K169" i="1" l="1"/>
  <c r="B239" i="1"/>
  <c r="B242" i="1"/>
  <c r="B241" i="1"/>
  <c r="B240" i="1"/>
  <c r="J240" i="1" s="1"/>
  <c r="L169" i="1"/>
  <c r="L173" i="1" s="1"/>
  <c r="B238" i="1"/>
  <c r="J238" i="1" s="1"/>
  <c r="J241" i="1"/>
  <c r="B236" i="1"/>
  <c r="J242" i="1"/>
  <c r="J239" i="1"/>
  <c r="B237" i="1"/>
  <c r="J237" i="1" s="1"/>
  <c r="B233" i="1"/>
  <c r="K107" i="1"/>
  <c r="K136" i="1"/>
  <c r="B136" i="1"/>
  <c r="L143" i="1" s="1"/>
  <c r="L136" i="1"/>
  <c r="L140" i="1" s="1"/>
  <c r="B76" i="1"/>
  <c r="L84" i="1" s="1"/>
  <c r="B107" i="1"/>
  <c r="K112" i="1" s="1"/>
  <c r="L107" i="1"/>
  <c r="L111" i="1" s="1"/>
  <c r="K76" i="1"/>
  <c r="B51" i="1"/>
  <c r="L76" i="1"/>
  <c r="K51" i="1"/>
  <c r="L51" i="1"/>
  <c r="K23" i="1"/>
  <c r="L23" i="1"/>
  <c r="B23" i="1"/>
  <c r="K111" i="1"/>
  <c r="K140" i="1"/>
  <c r="L180" i="1"/>
  <c r="K173" i="1"/>
  <c r="L240" i="1" l="1"/>
  <c r="K240" i="1"/>
  <c r="L241" i="1"/>
  <c r="K241" i="1"/>
  <c r="L238" i="1"/>
  <c r="K238" i="1"/>
  <c r="L242" i="1"/>
  <c r="K242" i="1"/>
  <c r="K237" i="1"/>
  <c r="L237" i="1"/>
  <c r="K239" i="1"/>
  <c r="L239" i="1"/>
  <c r="L141" i="1"/>
  <c r="L146" i="1"/>
  <c r="K145" i="1"/>
  <c r="K113" i="1"/>
  <c r="L115" i="1"/>
  <c r="K114" i="1"/>
  <c r="B113" i="1"/>
  <c r="L114" i="1"/>
  <c r="B112" i="1"/>
  <c r="L113" i="1"/>
  <c r="L112" i="1"/>
  <c r="K179" i="1"/>
  <c r="L178" i="1"/>
  <c r="K174" i="1"/>
  <c r="B179" i="1"/>
  <c r="J179" i="1" s="1"/>
  <c r="K175" i="1"/>
  <c r="K146" i="1"/>
  <c r="K147" i="1"/>
  <c r="K115" i="1"/>
  <c r="K144" i="1"/>
  <c r="B114" i="1"/>
  <c r="B115" i="1"/>
  <c r="B180" i="1"/>
  <c r="K176" i="1"/>
  <c r="K86" i="1"/>
  <c r="B178" i="1"/>
  <c r="L175" i="1"/>
  <c r="L177" i="1"/>
  <c r="L179" i="1"/>
  <c r="B177" i="1"/>
  <c r="B174" i="1"/>
  <c r="B175" i="1"/>
  <c r="L174" i="1"/>
  <c r="B173" i="1"/>
  <c r="K83" i="1"/>
  <c r="K82" i="1"/>
  <c r="K141" i="1"/>
  <c r="B141" i="1"/>
  <c r="K142" i="1"/>
  <c r="K81" i="1"/>
  <c r="K85" i="1"/>
  <c r="K143" i="1"/>
  <c r="B144" i="1"/>
  <c r="B147" i="1"/>
  <c r="J147" i="1" s="1"/>
  <c r="L145" i="1"/>
  <c r="B84" i="1"/>
  <c r="L85" i="1"/>
  <c r="B146" i="1"/>
  <c r="B85" i="1"/>
  <c r="B86" i="1"/>
  <c r="L83" i="1"/>
  <c r="L144" i="1"/>
  <c r="B83" i="1"/>
  <c r="K84" i="1"/>
  <c r="B81" i="1"/>
  <c r="B142" i="1"/>
  <c r="L142" i="1"/>
  <c r="B82" i="1"/>
  <c r="L82" i="1"/>
  <c r="L81" i="1"/>
  <c r="L86" i="1"/>
  <c r="L147" i="1"/>
  <c r="K180" i="1"/>
  <c r="B145" i="1"/>
  <c r="B176" i="1"/>
  <c r="B143" i="1"/>
  <c r="K177" i="1"/>
  <c r="L176" i="1"/>
  <c r="B172" i="1"/>
  <c r="B139" i="1"/>
  <c r="B140" i="1" l="1"/>
  <c r="J140" i="1" s="1"/>
  <c r="J175" i="1"/>
  <c r="J177" i="1"/>
  <c r="J169" i="1"/>
  <c r="J174" i="1"/>
  <c r="J176" i="1"/>
  <c r="J178" i="1"/>
  <c r="K178" i="1" s="1"/>
  <c r="J180" i="1"/>
  <c r="J173" i="1"/>
  <c r="J141" i="1"/>
  <c r="J143" i="1"/>
  <c r="J144" i="1"/>
  <c r="J142" i="1"/>
  <c r="J136" i="1"/>
  <c r="B158" i="1" l="1"/>
  <c r="B157" i="1"/>
  <c r="B156" i="1"/>
  <c r="B170" i="1" s="1"/>
  <c r="G168" i="1"/>
  <c r="E168" i="1"/>
  <c r="A168" i="1"/>
  <c r="H7" i="2"/>
  <c r="H8" i="2"/>
  <c r="G8" i="2"/>
  <c r="G10" i="2"/>
  <c r="H10" i="2" s="1"/>
  <c r="G4" i="2"/>
  <c r="H4" i="2" s="1"/>
  <c r="E5" i="2"/>
  <c r="G5" i="2" s="1"/>
  <c r="H5" i="2" s="1"/>
  <c r="E6" i="2"/>
  <c r="G6" i="2" s="1"/>
  <c r="H6" i="2" s="1"/>
  <c r="E7" i="2"/>
  <c r="G7" i="2" s="1"/>
  <c r="E8" i="2"/>
  <c r="E9" i="2"/>
  <c r="G9" i="2" s="1"/>
  <c r="H9" i="2" s="1"/>
  <c r="E10" i="2"/>
  <c r="E4" i="2"/>
  <c r="B125" i="1"/>
  <c r="B124" i="1"/>
  <c r="B123" i="1"/>
  <c r="G135" i="1"/>
  <c r="E135" i="1"/>
  <c r="A135" i="1"/>
  <c r="O5" i="2"/>
  <c r="B95" i="1" s="1"/>
  <c r="P5" i="2"/>
  <c r="B96" i="1" s="1"/>
  <c r="O6" i="2"/>
  <c r="B64" i="1" s="1"/>
  <c r="P6" i="2"/>
  <c r="B11" i="1"/>
  <c r="L27" i="1" s="1"/>
  <c r="B12" i="1"/>
  <c r="K24" i="1" s="1"/>
  <c r="B39" i="1"/>
  <c r="B40" i="1"/>
  <c r="P4" i="2"/>
  <c r="O4" i="2"/>
  <c r="B110" i="1"/>
  <c r="B80" i="1"/>
  <c r="B55" i="1"/>
  <c r="B52" i="1"/>
  <c r="B29" i="1"/>
  <c r="N4" i="2"/>
  <c r="I8" i="2"/>
  <c r="B38" i="1" s="1"/>
  <c r="I7" i="2"/>
  <c r="B10" i="1" s="1"/>
  <c r="I6" i="2"/>
  <c r="B63" i="1" s="1"/>
  <c r="I5" i="2"/>
  <c r="N5" i="2" s="1"/>
  <c r="B94" i="1" s="1"/>
  <c r="K171" i="1" l="1"/>
  <c r="K170" i="1"/>
  <c r="L171" i="1"/>
  <c r="L170" i="1"/>
  <c r="J170" i="1"/>
  <c r="B171" i="1"/>
  <c r="J171" i="1" s="1"/>
  <c r="B138" i="1"/>
  <c r="B137" i="1"/>
  <c r="L138" i="1"/>
  <c r="L137" i="1"/>
  <c r="K137" i="1"/>
  <c r="K138" i="1"/>
  <c r="K25" i="1"/>
  <c r="B77" i="1"/>
  <c r="K26" i="1"/>
  <c r="L54" i="1"/>
  <c r="L53" i="1"/>
  <c r="L52" i="1"/>
  <c r="L79" i="1"/>
  <c r="L78" i="1"/>
  <c r="L77" i="1"/>
  <c r="B109" i="1"/>
  <c r="B108" i="1"/>
  <c r="K108" i="1"/>
  <c r="K109" i="1"/>
  <c r="L108" i="1"/>
  <c r="L109" i="1"/>
  <c r="K54" i="1"/>
  <c r="K53" i="1"/>
  <c r="K52" i="1"/>
  <c r="B65" i="1"/>
  <c r="K27" i="1"/>
  <c r="L28" i="1"/>
  <c r="K28" i="1"/>
  <c r="L24" i="1"/>
  <c r="L25" i="1"/>
  <c r="L26" i="1"/>
  <c r="B54" i="1"/>
  <c r="B26" i="1"/>
  <c r="B78" i="1"/>
  <c r="B79" i="1"/>
  <c r="B27" i="1"/>
  <c r="J27" i="1" s="1"/>
  <c r="B24" i="1"/>
  <c r="B28" i="1"/>
  <c r="B53" i="1"/>
  <c r="B25" i="1"/>
  <c r="B111" i="1"/>
  <c r="J111" i="1" s="1"/>
  <c r="J138" i="1" l="1"/>
  <c r="J146" i="1"/>
  <c r="J137" i="1"/>
  <c r="J145" i="1"/>
  <c r="K77" i="1"/>
  <c r="K78" i="1"/>
  <c r="K79" i="1"/>
  <c r="J107" i="1"/>
  <c r="J112" i="1"/>
  <c r="J115" i="1"/>
  <c r="J114" i="1"/>
  <c r="J113" i="1"/>
  <c r="J109" i="1" l="1"/>
  <c r="J108" i="1"/>
  <c r="G106" i="1"/>
  <c r="E106" i="1"/>
  <c r="A106" i="1"/>
  <c r="J79" i="1" l="1"/>
  <c r="J78" i="1"/>
  <c r="J77" i="1"/>
  <c r="J52" i="1"/>
  <c r="J26" i="1"/>
  <c r="J25" i="1"/>
  <c r="J24" i="1"/>
  <c r="G75" i="1"/>
  <c r="E75" i="1"/>
  <c r="A75" i="1"/>
  <c r="J51" i="1"/>
  <c r="J28" i="1"/>
  <c r="J54" i="1"/>
  <c r="J53" i="1"/>
  <c r="G50" i="1"/>
  <c r="E50" i="1"/>
  <c r="A50" i="1"/>
  <c r="E22" i="1"/>
  <c r="J23" i="1"/>
  <c r="G22" i="1"/>
  <c r="A22" i="1"/>
  <c r="J85" i="1" l="1"/>
  <c r="J86" i="1"/>
  <c r="J76" i="1"/>
  <c r="J84" i="1"/>
  <c r="J83" i="1"/>
  <c r="J82" i="1"/>
  <c r="J81" i="1"/>
  <c r="B30" i="1"/>
</calcChain>
</file>

<file path=xl/sharedStrings.xml><?xml version="1.0" encoding="utf-8"?>
<sst xmlns="http://schemas.openxmlformats.org/spreadsheetml/2006/main" count="860" uniqueCount="191">
  <si>
    <t>Database</t>
  </si>
  <si>
    <t>format</t>
  </si>
  <si>
    <t>Excel spreadsheet</t>
  </si>
  <si>
    <t>Activity</t>
  </si>
  <si>
    <t>location</t>
  </si>
  <si>
    <t>RER</t>
  </si>
  <si>
    <t>reference product</t>
  </si>
  <si>
    <t>type</t>
  </si>
  <si>
    <t>unit</t>
  </si>
  <si>
    <t>kilogram</t>
  </si>
  <si>
    <t>source</t>
  </si>
  <si>
    <t>comment</t>
  </si>
  <si>
    <t>Exchanges</t>
  </si>
  <si>
    <t>name</t>
  </si>
  <si>
    <t>amount</t>
  </si>
  <si>
    <t>categories</t>
  </si>
  <si>
    <t>production</t>
  </si>
  <si>
    <t>technosphere</t>
  </si>
  <si>
    <t>ton kilometer</t>
  </si>
  <si>
    <t>GLO</t>
  </si>
  <si>
    <t>biosphere</t>
  </si>
  <si>
    <t>kilowatt hour</t>
  </si>
  <si>
    <t>electricity, low voltage</t>
  </si>
  <si>
    <t>air</t>
  </si>
  <si>
    <t>Nitrogen oxides</t>
  </si>
  <si>
    <t>Ammonia</t>
  </si>
  <si>
    <t>Formaldehyde</t>
  </si>
  <si>
    <t>fuel cell system assembly, 1 kWe, proton exchange membrane (PEM)</t>
  </si>
  <si>
    <t>fuel cell system, 1 kWe, proton exchange membrane (PEM)</t>
  </si>
  <si>
    <t>fuel tank assembly, compressed hydrogen gas, 700bar</t>
  </si>
  <si>
    <t>fuel tank, compressed hydrogen gas, 700bar</t>
  </si>
  <si>
    <t>market for battery capacity (MIX scenario)</t>
  </si>
  <si>
    <t>electricity storage capacity</t>
  </si>
  <si>
    <t>lci-ships</t>
  </si>
  <si>
    <t>transport, freight, sea, container ship, powered with hydrogen</t>
  </si>
  <si>
    <t>ecoinvent 3.10.1, with additional assumptions.</t>
  </si>
  <si>
    <t>transport, freight, sea, container ship</t>
  </si>
  <si>
    <t>uncertainty type</t>
  </si>
  <si>
    <t>minimum</t>
  </si>
  <si>
    <t>maximum</t>
  </si>
  <si>
    <t>market for hydrogen, gaseous, low pressure</t>
  </si>
  <si>
    <t>hydrogen, gaseous, low pressure</t>
  </si>
  <si>
    <t>Water</t>
  </si>
  <si>
    <t>container ship</t>
  </si>
  <si>
    <t>market for container ship</t>
  </si>
  <si>
    <t>loc</t>
  </si>
  <si>
    <t>A 1600 kW fuel cell system is assumed with a ship lifetime of 1.8e11 tkm.</t>
  </si>
  <si>
    <t>A 201'000 kg liquid H2 tank is considered, with a gravimetric density of 0.5, to store 1700 kg H2 onboard, with a ship lifetime of 1.8e11 tkm.</t>
  </si>
  <si>
    <t>A 670 MWh battery system is assumed, which is about 10% of the battery system of a battery electric ship.</t>
  </si>
  <si>
    <t>maintenance, container ship</t>
  </si>
  <si>
    <t>market for maintenance, container ship</t>
  </si>
  <si>
    <t>port facilities</t>
  </si>
  <si>
    <t>market for port facilities</t>
  </si>
  <si>
    <t>transport, freight, sea, container ship, powered with electricity</t>
  </si>
  <si>
    <t>50% penalty of load carrying capacity, due to the low gravimetric density of batteries.</t>
  </si>
  <si>
    <t>A 6'700 MWh battery system is assumed, based on various prototypes.</t>
  </si>
  <si>
    <t>transport, freight, sea, container ship, powered with liquid ammonia</t>
  </si>
  <si>
    <t>ammonia production, hydrogen from electrolysis</t>
  </si>
  <si>
    <t>ammonia, anhydrous, liquid</t>
  </si>
  <si>
    <t>5 MWh battery system to support startup and load ramping.</t>
  </si>
  <si>
    <t>Based on the ecoinvent dataset transport, freight, sea, container ship, to which we add batteries, an electric motor and a hydrogen input and corresponding emissions. We assume a 50% penalty for the lifetime transport performance, compared to an oil-powered ship, due to the gravimetric density of batteries. This is of course highly uncertain, and is reflect in the distribution ranges. We further assume the battery electric ship is about twice as efficient as the oil-powered one.</t>
  </si>
  <si>
    <t>Carbon monoxide, non-fossil</t>
  </si>
  <si>
    <t>Particulate Matter, &lt; 2.5 um</t>
  </si>
  <si>
    <t>NMVOC, non-methane volatile organic compounds</t>
  </si>
  <si>
    <t>20% penalty of load carrying capacity, due to the low gravimetric density of liquid ammonia.</t>
  </si>
  <si>
    <t>transport, freight, sea, container ship, powered with methanol</t>
  </si>
  <si>
    <t>20% penalty of load carrying capacity, due to the low gravimetric density of methanol.</t>
  </si>
  <si>
    <t>methanol distillation, hydrogen from electrolysis, CO2 from DAC</t>
  </si>
  <si>
    <t>methanol, purified</t>
  </si>
  <si>
    <t>Carbon dioxide, non-fossil</t>
  </si>
  <si>
    <t>Assumes 1.37 kg CO2 emitted per kg of methanol combusted.</t>
  </si>
  <si>
    <t>0.00013 kg CO/kWh shaft power. 44% efficiency. 18.6 MJ/kg ammonia.</t>
  </si>
  <si>
    <t>0.0026 kg NOx/kWh shaft power. 44% efficiency. 18.6 MJ/kg ammonia.</t>
  </si>
  <si>
    <t>0.00002 kg PM 2.5/kWh shaft power. 44% efficiency. 18.6 MJ/kg ammonia.</t>
  </si>
  <si>
    <t>2.8e-6 kg NMVOC/kWh shaft power. 44% efficiency. 18.6 MJ/kg ammonia.</t>
  </si>
  <si>
    <t>0.00004 kg NH3/kWh shaft power. 44% efficiency. 18.6 MJ/kg ammonia.</t>
  </si>
  <si>
    <t>0.000046 kg N2O/kWh shaft power.  44% efficiency. 18.6 MJ/kg ammonia. Min-max represent 0.01g-0.13g N2O/kWh shaft power.</t>
  </si>
  <si>
    <t>skip</t>
  </si>
  <si>
    <t>Fuel</t>
  </si>
  <si>
    <t>LHV (MJ/L)</t>
  </si>
  <si>
    <t>Relative to Diesel</t>
  </si>
  <si>
    <t>~36</t>
  </si>
  <si>
    <t>Methanol</t>
  </si>
  <si>
    <t>~15.8</t>
  </si>
  <si>
    <t>Liquid Ammonia</t>
  </si>
  <si>
    <t>~12.7</t>
  </si>
  <si>
    <t>Liquid Hydrogen</t>
  </si>
  <si>
    <t>~8–10</t>
  </si>
  <si>
    <t>Li-ion Batteries</t>
  </si>
  <si>
    <t>~0.25–0.35</t>
  </si>
  <si>
    <t>Mean Cargo Penalty Estimate</t>
  </si>
  <si>
    <t>Min Cargo Penalty Estimate</t>
  </si>
  <si>
    <t>Max Cargo Penalty Estimate</t>
  </si>
  <si>
    <t>total lifetime work, mean</t>
  </si>
  <si>
    <t>total lifetime work, min</t>
  </si>
  <si>
    <t>total lifetime work, max</t>
  </si>
  <si>
    <t>Based on the ecoinvent dataset transport, freight, sea, container ship, to which we add an input of methanol and corresponding emissions. We assume a 20% penalty for the lifetime transport performance, compared to an oil-powered ship, due to the gravimetric density of methanol. This is of course highly uncertain, and is reflect in the distribution ranges.</t>
  </si>
  <si>
    <t>Based on the ecoinvent dataset transport, freight, sea, container ship, to which we add an input of liquid ammonia and corresponding emissions. We assume a 20% penalty for the lifetime transport performance, compared to an oil-powered ship, due to the gravimetric density of liquid ammonia. This is of course highly uncertain, and is reflect in the distribution ranges.</t>
  </si>
  <si>
    <t>33% penalty of load carrying capacity, due to the low gravimetric density of batteries.</t>
  </si>
  <si>
    <t>transport, freight, sea, container ship, powered with synthetic methane</t>
  </si>
  <si>
    <t>~21–23</t>
  </si>
  <si>
    <t>Methane (compressed)</t>
  </si>
  <si>
    <t>~9–11</t>
  </si>
  <si>
    <t>LNG (liquefied methane)</t>
  </si>
  <si>
    <t>Volume multiplier required</t>
  </si>
  <si>
    <t>Storage complexity</t>
  </si>
  <si>
    <t>Total system penalty</t>
  </si>
  <si>
    <t>Theoretical cargo penalty (%)</t>
  </si>
  <si>
    <t>transport, freight, sea, container ship, powered with synthetic liquefied petroleum gas</t>
  </si>
  <si>
    <t>methane, from electrochemical methanation, with carbon from atmosphere</t>
  </si>
  <si>
    <t>methane, from electrochemical methanation</t>
  </si>
  <si>
    <t>Assumes 2.74 kg CO2 emitted per kg of methane combusted.</t>
  </si>
  <si>
    <t>Sulfur dioxide</t>
  </si>
  <si>
    <t>Methane, non-fossil</t>
  </si>
  <si>
    <t>Dinitrogen monoxide</t>
  </si>
  <si>
    <t>liquefied petroleum gas production, from methanol, hydrogen from electrolysis, CO2 from DAC, energy allocation</t>
  </si>
  <si>
    <t>liquefied petroleum gas, synthetic</t>
  </si>
  <si>
    <t>Based on the ecoinvent dataset transport, freight, sea, container ship, to which we add an input of synthetic methane and corresponding emissions. We assume a 40% penalty for the lifetime transport performance, compared to an oil-powered ship, due to the gravimetric density of methanol. This is of course highly uncertain, and is reflect in the distribution ranges. We assume a similar tank-to-wake efficiency as that of a martime oil-powered. ship.</t>
  </si>
  <si>
    <t>40% penalty of load carrying capacity, due to the low gravimetric density of methane.</t>
  </si>
  <si>
    <t>12% penalty of load carrying capacity, due to the low gravimetric density of LPG.</t>
  </si>
  <si>
    <t>Assumes 3 kg CO2 emitted per kg of LPG combusted.</t>
  </si>
  <si>
    <t>Based on the ecoinvent dataset transport, freight, sea, container ship, to which we add an input of synthetic LPG and corresponding emissions. We assume a 12% penalty for the lifetime transport performance, compared to an oil-powered ship, due to the lower gravimetric density of LPG. This is of course highly uncertain, and is reflect in the distribution ranges. We assume a similar tank-to-wake efficiency as that of a martime oil-powered ship.</t>
  </si>
  <si>
    <t>Lifetime (year)</t>
  </si>
  <si>
    <t>Total lifetime work, mean (tkm)</t>
  </si>
  <si>
    <t>Total lifetime work, min (tkm)</t>
  </si>
  <si>
    <t>Total lifetime work, max (tkm)</t>
  </si>
  <si>
    <t>Cargo carrying capacity (tons)</t>
  </si>
  <si>
    <t>Efficiency</t>
  </si>
  <si>
    <t>Tank-to-wake (%), mean</t>
  </si>
  <si>
    <t>Tank-to-wake (%), min</t>
  </si>
  <si>
    <t>Tank-to-wake (%), max</t>
  </si>
  <si>
    <t>Marine diesel</t>
  </si>
  <si>
    <t>tank-to-wake eff., mean</t>
  </si>
  <si>
    <t>tank-to-wake eff., min</t>
  </si>
  <si>
    <t>tank-to-wake eff., max</t>
  </si>
  <si>
    <t>tank-to-wake eff., marine diesel</t>
  </si>
  <si>
    <t>Based on the ecoinvent dataset transport, freight, sea, container ship, to which we add liquid hydrogen storage tanks, an electric motor and a hydrogen input and corresponding emissions. We assume a 33% penalty on the load carrying capacity, due to the low gravimetric density of liquid hydrogen compared to marine oil.</t>
  </si>
  <si>
    <t>ecoinvent 3.10.1, with additional assumptions from Anna Ingwersen, Alvaro J. Hahn Menacho, Stephan Pfister, Jonathan N. Peel, Romain Sacchi, Christian Moretti, Prospective life cycle assessment of cost-effective pathways for achieving the FuelEU marine Regulation targets, Science of The Total Environment, Volume 958, 2025, https://doi.org/10.1016/j.scitotenv.2024.177880.</t>
  </si>
  <si>
    <t>9 kg H2O/kg H2</t>
  </si>
  <si>
    <t>0.0048 kg CO/kWh shaft power. 38% efficiency. 19.9 MJ/kg methanol.</t>
  </si>
  <si>
    <t>0.0026 kg NOx/kWh shaft power. 38% efficiency. 19.9 MJ/kg methanol.</t>
  </si>
  <si>
    <t>0.00014 kg PM 2.5/kWh shaft power. 38% efficiency. 19.9 MJ/kg methanol.</t>
  </si>
  <si>
    <t>4.9e-7 kg Formaldehyde/kWh shaft power. 38% efficiency. 19.9 MJ/kg methanol.</t>
  </si>
  <si>
    <t>0.00186 kg CO/kWh shaft power. 45% efficiency. 47.5 MJ/kg methane.</t>
  </si>
  <si>
    <t>0.0026 kg NOx/kWh shaft power. 45% efficiency. 47.5 MJ/kg methane.</t>
  </si>
  <si>
    <t>0.00003 kg SO2/kWh shaft power. 45% efficiency. 47.5 MJ/kg methane.</t>
  </si>
  <si>
    <t>0.00003 kg PM 2.5/kWh shaft power. 45% efficiency. 47.5 MJ/kg methane.</t>
  </si>
  <si>
    <t>0.003 kg CH4/kWh shaft power. 45% efficiency. 47.5 MJ/kg methane. Min-max: 2%-6.7% methane leakage rate.</t>
  </si>
  <si>
    <t>0.00038 kg NMVOC/kWh shaft power. 45% efficiency. 47.5 MJ/kg methane.</t>
  </si>
  <si>
    <t>0.00002 kg N2O/kWh shaft power.  45% efficiency. 47.5 MJ/kg methane.</t>
  </si>
  <si>
    <t>0.00186 kg CO/kWh shaft power. 42% efficiency. 46 MJ/kg LPG.</t>
  </si>
  <si>
    <t>0.0026 kg NOx/kWh shaft power. 42% efficiency. 46 MJ/kg LPG.</t>
  </si>
  <si>
    <t>0.00003 kg SO2/kWh shaft power. 42% efficiency. 46 MJ/kg LPG.</t>
  </si>
  <si>
    <t>0.00003 kg PM 2.5/kWh shaft power. 42% efficiency. 46 MJ/kg LPG.</t>
  </si>
  <si>
    <t>0.003 kg CH4/kWh shaft power. 42% efficiency. 46 MJ/kg LPG. Or roughly 2% of the fuel input mass.</t>
  </si>
  <si>
    <t>0.00038 kg NMVOC/kWh shaft power. 42% efficiency. 46 MJ/kg LPG.</t>
  </si>
  <si>
    <t>0.00002 kg N2O/kWh shaft power.  42% efficiency. 46 MJ/kg LPG.</t>
  </si>
  <si>
    <t>market group for electricity, low voltage</t>
  </si>
  <si>
    <t>cubic meter</t>
  </si>
  <si>
    <t>cargo penalty estimate, mean</t>
  </si>
  <si>
    <t>cargo penalty estimate, min</t>
  </si>
  <si>
    <t>cargo penalty estimate, max</t>
  </si>
  <si>
    <t>We assume a combined tank-to-wake efficiency of ~48–55%. We also penalize the fuel consumption because of the cargo penalty.</t>
  </si>
  <si>
    <t>We assume a combined tank-to-wake efficiency of ~80%, so about the twice as much as the oil-powered option. We also penalize the fuel consumption because of the cargo penalty.</t>
  </si>
  <si>
    <t>44% engine efficiency, according to Ingwersen et al, 2025. LHV of 18.6MJ/kg NH3. We also penalize the fuel consumption because of the cargo penalty.</t>
  </si>
  <si>
    <t>Assumes similar efficiency as with an oil-powered ship. Methanol LHV: 19.9 MJ/kg. We also penalize the fuel consumption because of the cargo penalty.</t>
  </si>
  <si>
    <t>Assumes similar efficiency as with an oil-powered ship. Methane LHV: 47.5 MJ/kg. We also penalize the fuel consumption because of the cargo penalty.</t>
  </si>
  <si>
    <t>Assumes similar efficiency as with an oil-powered ship. LPG LHV: 46 MJ/kg. We also penalize the fuel consumption because of the cargo penalty.</t>
  </si>
  <si>
    <t>transport, freight, sea, container ship, powered with synthetic diesel</t>
  </si>
  <si>
    <t>Diesel/Marine oil</t>
  </si>
  <si>
    <t>Based on the ecoinvent dataset transport, freight, sea, container ship, to which we add an input of synthetic diesel and corresponding emissions. We assume a similar tank-to-wake efficiency as that of a martime oil-powered ship.</t>
  </si>
  <si>
    <t>diesel production, synthetic, Fischer Tropsch process, hydrogen from electrolysis, energy allocation</t>
  </si>
  <si>
    <t>diesel, synthetic</t>
  </si>
  <si>
    <t>Assumes similar efficiency as with an oil-powered ship. Diesel LHV: 43 MJ/kg.</t>
  </si>
  <si>
    <t>0.0009 kg CO/kWh shaft power. 43% efficiency. 43 MJ/kg diesel.</t>
  </si>
  <si>
    <t>0.0026 kg NOx/kWh shaft power. 43% efficiency. 43 MJ/kg diesel.</t>
  </si>
  <si>
    <t>0.00002 kg N2O/kWh shaft power. 43% efficiency. 43 MJ/kg diesel.</t>
  </si>
  <si>
    <t>0.00025 kg PM 2.5/kWh shaft power. 43% efficiency. 43 MJ/kg diesel.</t>
  </si>
  <si>
    <t>0.00001 kg CH4/kWh shaft power. 43% efficiency. 43 MJ/kg diesel.</t>
  </si>
  <si>
    <t>0.00041 kg NMVOC/kWh shaft power. 43% efficiency. 43 MJ/kg diesel.</t>
  </si>
  <si>
    <t>transport, freight, sea, container ship, powered with biodiesel</t>
  </si>
  <si>
    <t>Based on the ecoinvent dataset transport, freight, sea, container ship, to which we add an input of biodiesel and corresponding emissions. We assume a similar tank-to-wake efficiency as that of a martime oil-powered ship.</t>
  </si>
  <si>
    <t>biodiesel production, via Fischer-Tropsch, from forest product (non-residual), energy allocation</t>
  </si>
  <si>
    <t>biodiesel, from forest residues</t>
  </si>
  <si>
    <t>transport, freight, sea, container ship, powered with diesel</t>
  </si>
  <si>
    <t>Carbon dioxide, fossil</t>
  </si>
  <si>
    <t>Carbon monoxide, fossil</t>
  </si>
  <si>
    <t>Methane, fossil</t>
  </si>
  <si>
    <t>diesel production, low-sulfur, petroleum refinery operation</t>
  </si>
  <si>
    <t>Europe without Switzerland</t>
  </si>
  <si>
    <t>diesel, low-sulfur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</si>
</sst>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0.0"/>
    <numFmt numFmtId="166" formatCode="_ * #,##0_ ;_ * \-#,##0_ ;_ * &quot;-&quot;??_ ;_ @_ "/>
    <numFmt numFmtId="167" formatCode="0.00000"/>
  </numFmts>
  <fonts count="6"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sz val="12"/>
      <name val="Calibri (Body)"/>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1" fillId="0" borderId="0" xfId="0" applyFont="1"/>
    <xf numFmtId="0" fontId="3" fillId="0" borderId="0" xfId="0" applyFont="1"/>
    <xf numFmtId="0" fontId="2" fillId="0" borderId="0" xfId="0" applyFont="1"/>
    <xf numFmtId="164" fontId="4" fillId="0" borderId="0" xfId="0" applyNumberFormat="1" applyFont="1" applyAlignment="1">
      <alignment horizontal="right"/>
    </xf>
    <xf numFmtId="0" fontId="4" fillId="0" borderId="0" xfId="0" applyFont="1"/>
    <xf numFmtId="11" fontId="4" fillId="0" borderId="0" xfId="0" applyNumberFormat="1" applyFont="1"/>
    <xf numFmtId="165" fontId="4" fillId="0" borderId="0" xfId="0" applyNumberFormat="1" applyFont="1"/>
    <xf numFmtId="0" fontId="5" fillId="0" borderId="0" xfId="0" applyFont="1"/>
    <xf numFmtId="11" fontId="0" fillId="0" borderId="0" xfId="0" applyNumberFormat="1" applyAlignment="1">
      <alignment horizontal="right"/>
    </xf>
    <xf numFmtId="0" fontId="0" fillId="0" borderId="0" xfId="0" applyAlignment="1">
      <alignment horizontal="right"/>
    </xf>
    <xf numFmtId="11" fontId="0" fillId="0" borderId="0" xfId="0" applyNumberFormat="1"/>
    <xf numFmtId="164" fontId="0" fillId="0" borderId="0" xfId="0" applyNumberFormat="1"/>
    <xf numFmtId="9" fontId="0" fillId="0" borderId="0" xfId="0" applyNumberFormat="1"/>
    <xf numFmtId="9" fontId="0" fillId="0" borderId="0" xfId="2" applyFont="1"/>
    <xf numFmtId="166" fontId="0" fillId="0" borderId="0" xfId="1" applyNumberFormat="1" applyFont="1"/>
    <xf numFmtId="2" fontId="0" fillId="0" borderId="0" xfId="0" applyNumberFormat="1"/>
    <xf numFmtId="167" fontId="0" fillId="0" borderId="0" xfId="0" applyNumberFormat="1"/>
  </cellXfs>
  <cellStyles count="3">
    <cellStyle name="Comma" xfId="1" builtinId="3"/>
    <cellStyle name="Normal" xfId="0" builtinId="0"/>
    <cellStyle name="Per 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3"/>
  <sheetViews>
    <sheetView tabSelected="1" topLeftCell="A128" workbookViewId="0">
      <selection activeCell="B150" sqref="B150"/>
    </sheetView>
  </sheetViews>
  <sheetFormatPr baseColWidth="10" defaultColWidth="8.83203125" defaultRowHeight="15" x14ac:dyDescent="0.2"/>
  <cols>
    <col min="1" max="1" width="62.1640625" customWidth="1"/>
    <col min="2" max="2" width="12.1640625" bestFit="1" customWidth="1"/>
    <col min="3" max="3" width="9.1640625" bestFit="1" customWidth="1"/>
    <col min="6" max="6" width="19.1640625" customWidth="1"/>
    <col min="7" max="7" width="22.83203125" customWidth="1"/>
    <col min="8" max="8" width="56" bestFit="1" customWidth="1"/>
    <col min="10" max="12" width="11.83203125" bestFit="1" customWidth="1"/>
  </cols>
  <sheetData>
    <row r="1" spans="1:2" ht="16" x14ac:dyDescent="0.2">
      <c r="A1" s="1" t="s">
        <v>0</v>
      </c>
      <c r="B1" s="1" t="s">
        <v>33</v>
      </c>
    </row>
    <row r="2" spans="1:2" x14ac:dyDescent="0.2">
      <c r="A2" t="s">
        <v>1</v>
      </c>
      <c r="B2" t="s">
        <v>2</v>
      </c>
    </row>
    <row r="4" spans="1:2" ht="16" x14ac:dyDescent="0.2">
      <c r="A4" s="1" t="s">
        <v>3</v>
      </c>
      <c r="B4" s="1" t="s">
        <v>34</v>
      </c>
    </row>
    <row r="5" spans="1:2" x14ac:dyDescent="0.2">
      <c r="A5" t="s">
        <v>11</v>
      </c>
      <c r="B5" t="s">
        <v>136</v>
      </c>
    </row>
    <row r="6" spans="1:2" x14ac:dyDescent="0.2">
      <c r="A6" t="s">
        <v>10</v>
      </c>
      <c r="B6" t="s">
        <v>35</v>
      </c>
    </row>
    <row r="7" spans="1:2" x14ac:dyDescent="0.2">
      <c r="A7" t="s">
        <v>4</v>
      </c>
      <c r="B7" t="s">
        <v>5</v>
      </c>
    </row>
    <row r="8" spans="1:2" x14ac:dyDescent="0.2">
      <c r="A8" t="s">
        <v>6</v>
      </c>
      <c r="B8" t="s">
        <v>36</v>
      </c>
    </row>
    <row r="9" spans="1:2" x14ac:dyDescent="0.2">
      <c r="A9" t="s">
        <v>8</v>
      </c>
      <c r="B9" t="s">
        <v>18</v>
      </c>
    </row>
    <row r="10" spans="1:2" x14ac:dyDescent="0.2">
      <c r="A10" t="s">
        <v>93</v>
      </c>
      <c r="B10">
        <f>parameters!N7</f>
        <v>121500000000.00002</v>
      </c>
    </row>
    <row r="11" spans="1:2" x14ac:dyDescent="0.2">
      <c r="A11" t="s">
        <v>94</v>
      </c>
      <c r="B11">
        <f>parameters!O7</f>
        <v>108000000000</v>
      </c>
    </row>
    <row r="12" spans="1:2" x14ac:dyDescent="0.2">
      <c r="A12" t="s">
        <v>95</v>
      </c>
      <c r="B12">
        <f>parameters!P7</f>
        <v>135000000000</v>
      </c>
    </row>
    <row r="13" spans="1:2" x14ac:dyDescent="0.2">
      <c r="A13" t="s">
        <v>159</v>
      </c>
      <c r="B13" s="13">
        <f>parameters!I7</f>
        <v>0.32500000000000001</v>
      </c>
    </row>
    <row r="14" spans="1:2" x14ac:dyDescent="0.2">
      <c r="A14" t="s">
        <v>160</v>
      </c>
      <c r="B14" s="13">
        <f>parameters!J7</f>
        <v>0.25</v>
      </c>
    </row>
    <row r="15" spans="1:2" x14ac:dyDescent="0.2">
      <c r="A15" t="s">
        <v>161</v>
      </c>
      <c r="B15" s="13">
        <f>parameters!K7</f>
        <v>0.4</v>
      </c>
    </row>
    <row r="16" spans="1:2" x14ac:dyDescent="0.2">
      <c r="A16" t="s">
        <v>135</v>
      </c>
      <c r="B16" s="13">
        <f>parameters!$C$15</f>
        <v>0.42500000000000004</v>
      </c>
    </row>
    <row r="17" spans="1:15" x14ac:dyDescent="0.2">
      <c r="A17" t="s">
        <v>132</v>
      </c>
      <c r="B17" s="13">
        <f>parameters!C18</f>
        <v>0.47500000000000003</v>
      </c>
    </row>
    <row r="18" spans="1:15" x14ac:dyDescent="0.2">
      <c r="A18" t="s">
        <v>133</v>
      </c>
      <c r="B18" s="13">
        <f>parameters!D18</f>
        <v>0.4</v>
      </c>
    </row>
    <row r="19" spans="1:15" x14ac:dyDescent="0.2">
      <c r="A19" t="s">
        <v>134</v>
      </c>
      <c r="B19" s="13">
        <f>parameters!E18</f>
        <v>0.55000000000000004</v>
      </c>
    </row>
    <row r="20" spans="1:15" ht="16" x14ac:dyDescent="0.2">
      <c r="A20" s="1" t="s">
        <v>12</v>
      </c>
    </row>
    <row r="21" spans="1:15" x14ac:dyDescent="0.2">
      <c r="A21" s="2" t="s">
        <v>13</v>
      </c>
      <c r="B21" s="2" t="s">
        <v>14</v>
      </c>
      <c r="C21" s="2" t="s">
        <v>4</v>
      </c>
      <c r="D21" s="2" t="s">
        <v>15</v>
      </c>
      <c r="E21" s="2" t="s">
        <v>8</v>
      </c>
      <c r="F21" s="2" t="s">
        <v>7</v>
      </c>
      <c r="G21" s="2" t="s">
        <v>6</v>
      </c>
      <c r="H21" s="2" t="s">
        <v>11</v>
      </c>
      <c r="I21" s="2" t="s">
        <v>37</v>
      </c>
      <c r="J21" s="2" t="s">
        <v>45</v>
      </c>
      <c r="K21" s="2" t="s">
        <v>38</v>
      </c>
      <c r="L21" s="2" t="s">
        <v>39</v>
      </c>
    </row>
    <row r="22" spans="1:15" x14ac:dyDescent="0.2">
      <c r="A22" t="str">
        <f>B4</f>
        <v>transport, freight, sea, container ship, powered with hydrogen</v>
      </c>
      <c r="B22">
        <v>1</v>
      </c>
      <c r="C22" t="s">
        <v>5</v>
      </c>
      <c r="E22" t="str">
        <f>B9</f>
        <v>ton kilometer</v>
      </c>
      <c r="F22" t="s">
        <v>16</v>
      </c>
      <c r="G22" t="str">
        <f>B8</f>
        <v>transport, freight, sea, container ship</v>
      </c>
    </row>
    <row r="23" spans="1:15" s="5" customFormat="1" ht="16" x14ac:dyDescent="0.2">
      <c r="A23" s="3" t="s">
        <v>40</v>
      </c>
      <c r="B23" s="4">
        <f>(0.11*(B16/B17))/120/(1-B13)</f>
        <v>1.2150747238466536E-3</v>
      </c>
      <c r="C23" s="5" t="s">
        <v>5</v>
      </c>
      <c r="E23" s="5" t="s">
        <v>9</v>
      </c>
      <c r="F23" s="5" t="s">
        <v>17</v>
      </c>
      <c r="G23" s="3" t="s">
        <v>41</v>
      </c>
      <c r="H23" s="5" t="s">
        <v>162</v>
      </c>
      <c r="I23" s="5">
        <v>5</v>
      </c>
      <c r="J23" s="6">
        <f t="shared" ref="J23:J28" si="0">B23</f>
        <v>1.2150747238466536E-3</v>
      </c>
      <c r="K23" s="6">
        <f>(0.11*(B16/B19))/120/(1-B14)</f>
        <v>9.4444444444444437E-4</v>
      </c>
      <c r="L23" s="6">
        <f>(0.11*(B16/B18))/120/(1-B15)</f>
        <v>1.6232638888888892E-3</v>
      </c>
      <c r="M23"/>
      <c r="O23" s="7"/>
    </row>
    <row r="24" spans="1:15" ht="16" x14ac:dyDescent="0.2">
      <c r="A24" s="8" t="s">
        <v>27</v>
      </c>
      <c r="B24" s="9">
        <f>1600/B10</f>
        <v>1.316872427983539E-8</v>
      </c>
      <c r="C24" t="s">
        <v>19</v>
      </c>
      <c r="E24" t="s">
        <v>8</v>
      </c>
      <c r="F24" t="s">
        <v>17</v>
      </c>
      <c r="G24" t="s">
        <v>28</v>
      </c>
      <c r="H24" s="3" t="s">
        <v>46</v>
      </c>
      <c r="I24" s="10">
        <v>5</v>
      </c>
      <c r="J24" s="11">
        <f t="shared" si="0"/>
        <v>1.316872427983539E-8</v>
      </c>
      <c r="K24" s="9">
        <f>1250/B12</f>
        <v>9.2592592592592591E-9</v>
      </c>
      <c r="L24" s="9">
        <f>2500/B11</f>
        <v>2.3148148148148148E-8</v>
      </c>
    </row>
    <row r="25" spans="1:15" x14ac:dyDescent="0.2">
      <c r="A25" t="s">
        <v>29</v>
      </c>
      <c r="B25" s="9">
        <f>201000/B10</f>
        <v>1.6543209876543209E-6</v>
      </c>
      <c r="C25" t="s">
        <v>5</v>
      </c>
      <c r="E25" t="s">
        <v>9</v>
      </c>
      <c r="F25" t="s">
        <v>17</v>
      </c>
      <c r="G25" t="s">
        <v>30</v>
      </c>
      <c r="H25" s="3" t="s">
        <v>47</v>
      </c>
      <c r="I25">
        <v>5</v>
      </c>
      <c r="J25" s="11">
        <f t="shared" si="0"/>
        <v>1.6543209876543209E-6</v>
      </c>
      <c r="K25" s="9">
        <f>105000/B12</f>
        <v>7.7777777777777779E-7</v>
      </c>
      <c r="L25" s="9">
        <f>300000/B11</f>
        <v>2.7777777777777779E-6</v>
      </c>
    </row>
    <row r="26" spans="1:15" x14ac:dyDescent="0.2">
      <c r="A26" t="s">
        <v>31</v>
      </c>
      <c r="B26" s="9">
        <f>670000/B10</f>
        <v>5.5144032921810691E-6</v>
      </c>
      <c r="C26" s="3" t="s">
        <v>19</v>
      </c>
      <c r="E26" t="s">
        <v>21</v>
      </c>
      <c r="F26" t="s">
        <v>17</v>
      </c>
      <c r="G26" t="s">
        <v>32</v>
      </c>
      <c r="H26" t="s">
        <v>48</v>
      </c>
      <c r="I26">
        <v>5</v>
      </c>
      <c r="J26" s="11">
        <f t="shared" si="0"/>
        <v>5.5144032921810691E-6</v>
      </c>
      <c r="K26" s="9">
        <f>350000/B12</f>
        <v>2.5925925925925925E-6</v>
      </c>
      <c r="L26" s="9">
        <f>1000000/B11</f>
        <v>9.2592592592592591E-6</v>
      </c>
    </row>
    <row r="27" spans="1:15" x14ac:dyDescent="0.2">
      <c r="A27" t="s">
        <v>44</v>
      </c>
      <c r="B27" s="11">
        <f>1/B10</f>
        <v>8.2304526748971185E-12</v>
      </c>
      <c r="C27" t="s">
        <v>19</v>
      </c>
      <c r="E27" t="s">
        <v>8</v>
      </c>
      <c r="F27" t="s">
        <v>17</v>
      </c>
      <c r="G27" t="s">
        <v>43</v>
      </c>
      <c r="H27" t="s">
        <v>98</v>
      </c>
      <c r="I27">
        <v>5</v>
      </c>
      <c r="J27" s="11">
        <f t="shared" si="0"/>
        <v>8.2304526748971185E-12</v>
      </c>
      <c r="K27" s="11">
        <f>1/B12</f>
        <v>7.4074074074074068E-12</v>
      </c>
      <c r="L27" s="11">
        <f>1/B11</f>
        <v>9.2592592592592589E-12</v>
      </c>
    </row>
    <row r="28" spans="1:15" x14ac:dyDescent="0.2">
      <c r="A28" t="s">
        <v>50</v>
      </c>
      <c r="B28" s="11">
        <f>1/B10</f>
        <v>8.2304526748971185E-12</v>
      </c>
      <c r="C28" t="s">
        <v>19</v>
      </c>
      <c r="E28" t="s">
        <v>8</v>
      </c>
      <c r="F28" t="s">
        <v>17</v>
      </c>
      <c r="G28" t="s">
        <v>49</v>
      </c>
      <c r="H28" t="s">
        <v>98</v>
      </c>
      <c r="I28">
        <v>5</v>
      </c>
      <c r="J28" s="11">
        <f t="shared" si="0"/>
        <v>8.2304526748971185E-12</v>
      </c>
      <c r="K28" s="11">
        <f>1/B12</f>
        <v>7.4074074074074068E-12</v>
      </c>
      <c r="L28" s="11">
        <f>1/B11</f>
        <v>9.2592592592592589E-12</v>
      </c>
    </row>
    <row r="29" spans="1:15" x14ac:dyDescent="0.2">
      <c r="A29" t="s">
        <v>52</v>
      </c>
      <c r="B29" s="11">
        <f>1.38106E-16</f>
        <v>1.38106E-16</v>
      </c>
      <c r="C29" t="s">
        <v>19</v>
      </c>
      <c r="E29" t="s">
        <v>8</v>
      </c>
      <c r="F29" t="s">
        <v>17</v>
      </c>
      <c r="G29" t="s">
        <v>51</v>
      </c>
      <c r="J29" s="11"/>
      <c r="K29" s="11"/>
      <c r="L29" s="11"/>
    </row>
    <row r="30" spans="1:15" x14ac:dyDescent="0.2">
      <c r="A30" t="s">
        <v>42</v>
      </c>
      <c r="B30" s="11">
        <f>B23*9/1000</f>
        <v>1.0935672514619883E-5</v>
      </c>
      <c r="C30" s="3"/>
      <c r="D30" t="s">
        <v>23</v>
      </c>
      <c r="E30" t="s">
        <v>158</v>
      </c>
      <c r="F30" t="s">
        <v>20</v>
      </c>
      <c r="H30" s="3" t="s">
        <v>138</v>
      </c>
      <c r="J30" s="11"/>
      <c r="K30" s="11"/>
      <c r="L30" s="11"/>
    </row>
    <row r="31" spans="1:15" x14ac:dyDescent="0.2">
      <c r="B31" s="11"/>
    </row>
    <row r="32" spans="1:15" ht="16" x14ac:dyDescent="0.2">
      <c r="A32" s="1" t="s">
        <v>3</v>
      </c>
      <c r="B32" s="1" t="s">
        <v>53</v>
      </c>
    </row>
    <row r="33" spans="1:2" x14ac:dyDescent="0.2">
      <c r="A33" t="s">
        <v>11</v>
      </c>
      <c r="B33" t="s">
        <v>60</v>
      </c>
    </row>
    <row r="34" spans="1:2" x14ac:dyDescent="0.2">
      <c r="A34" t="s">
        <v>10</v>
      </c>
      <c r="B34" t="s">
        <v>35</v>
      </c>
    </row>
    <row r="35" spans="1:2" x14ac:dyDescent="0.2">
      <c r="A35" t="s">
        <v>4</v>
      </c>
      <c r="B35" t="s">
        <v>5</v>
      </c>
    </row>
    <row r="36" spans="1:2" x14ac:dyDescent="0.2">
      <c r="A36" t="s">
        <v>6</v>
      </c>
      <c r="B36" t="s">
        <v>36</v>
      </c>
    </row>
    <row r="37" spans="1:2" x14ac:dyDescent="0.2">
      <c r="A37" t="s">
        <v>8</v>
      </c>
      <c r="B37" t="s">
        <v>18</v>
      </c>
    </row>
    <row r="38" spans="1:2" x14ac:dyDescent="0.2">
      <c r="A38" t="s">
        <v>93</v>
      </c>
      <c r="B38">
        <f>parameters!N8</f>
        <v>90000000000</v>
      </c>
    </row>
    <row r="39" spans="1:2" x14ac:dyDescent="0.2">
      <c r="A39" t="s">
        <v>94</v>
      </c>
      <c r="B39">
        <f>parameters!O8</f>
        <v>72000000000</v>
      </c>
    </row>
    <row r="40" spans="1:2" x14ac:dyDescent="0.2">
      <c r="A40" t="s">
        <v>95</v>
      </c>
      <c r="B40">
        <f>parameters!P8</f>
        <v>108000000000</v>
      </c>
    </row>
    <row r="41" spans="1:2" x14ac:dyDescent="0.2">
      <c r="A41" t="s">
        <v>159</v>
      </c>
      <c r="B41" s="13">
        <f>parameters!I8</f>
        <v>0.5</v>
      </c>
    </row>
    <row r="42" spans="1:2" x14ac:dyDescent="0.2">
      <c r="A42" t="s">
        <v>160</v>
      </c>
      <c r="B42" s="13">
        <f>parameters!J8</f>
        <v>0.4</v>
      </c>
    </row>
    <row r="43" spans="1:2" x14ac:dyDescent="0.2">
      <c r="A43" t="s">
        <v>161</v>
      </c>
      <c r="B43" s="13">
        <f>parameters!K8</f>
        <v>0.6</v>
      </c>
    </row>
    <row r="44" spans="1:2" x14ac:dyDescent="0.2">
      <c r="A44" t="s">
        <v>135</v>
      </c>
      <c r="B44" s="13">
        <f>parameters!$C$15</f>
        <v>0.42500000000000004</v>
      </c>
    </row>
    <row r="45" spans="1:2" x14ac:dyDescent="0.2">
      <c r="A45" t="s">
        <v>132</v>
      </c>
      <c r="B45" s="13">
        <f>parameters!C19</f>
        <v>0.8</v>
      </c>
    </row>
    <row r="46" spans="1:2" x14ac:dyDescent="0.2">
      <c r="A46" t="s">
        <v>133</v>
      </c>
      <c r="B46" s="13">
        <f>parameters!D19</f>
        <v>0.75</v>
      </c>
    </row>
    <row r="47" spans="1:2" x14ac:dyDescent="0.2">
      <c r="A47" t="s">
        <v>134</v>
      </c>
      <c r="B47" s="13">
        <f>parameters!E19</f>
        <v>0.85</v>
      </c>
    </row>
    <row r="48" spans="1:2" ht="16" x14ac:dyDescent="0.2">
      <c r="A48" s="1" t="s">
        <v>12</v>
      </c>
    </row>
    <row r="49" spans="1:12" x14ac:dyDescent="0.2">
      <c r="A49" s="2" t="s">
        <v>13</v>
      </c>
      <c r="B49" s="2" t="s">
        <v>14</v>
      </c>
      <c r="C49" s="2" t="s">
        <v>4</v>
      </c>
      <c r="D49" s="2" t="s">
        <v>15</v>
      </c>
      <c r="E49" s="2" t="s">
        <v>8</v>
      </c>
      <c r="F49" s="2" t="s">
        <v>7</v>
      </c>
      <c r="G49" s="2" t="s">
        <v>6</v>
      </c>
      <c r="H49" s="2" t="s">
        <v>11</v>
      </c>
      <c r="I49" s="2" t="s">
        <v>37</v>
      </c>
      <c r="J49" s="2" t="s">
        <v>45</v>
      </c>
      <c r="K49" s="2" t="s">
        <v>38</v>
      </c>
      <c r="L49" s="2" t="s">
        <v>39</v>
      </c>
    </row>
    <row r="50" spans="1:12" x14ac:dyDescent="0.2">
      <c r="A50" t="str">
        <f>B32</f>
        <v>transport, freight, sea, container ship, powered with electricity</v>
      </c>
      <c r="B50">
        <v>1</v>
      </c>
      <c r="C50" t="s">
        <v>5</v>
      </c>
      <c r="E50" t="str">
        <f>B37</f>
        <v>ton kilometer</v>
      </c>
      <c r="F50" t="s">
        <v>16</v>
      </c>
      <c r="G50" t="str">
        <f>B36</f>
        <v>transport, freight, sea, container ship</v>
      </c>
    </row>
    <row r="51" spans="1:12" ht="16" x14ac:dyDescent="0.2">
      <c r="A51" t="s">
        <v>157</v>
      </c>
      <c r="B51" s="17">
        <f>0.11*(B44/B45)/3.6/(1-B41)</f>
        <v>3.246527777777778E-2</v>
      </c>
      <c r="C51" t="s">
        <v>5</v>
      </c>
      <c r="E51" t="s">
        <v>21</v>
      </c>
      <c r="F51" t="s">
        <v>17</v>
      </c>
      <c r="G51" t="s">
        <v>22</v>
      </c>
      <c r="H51" s="5" t="s">
        <v>163</v>
      </c>
      <c r="I51">
        <v>5</v>
      </c>
      <c r="J51" s="6">
        <f>B51</f>
        <v>3.246527777777778E-2</v>
      </c>
      <c r="K51" s="6">
        <f>0.11*(B44/B47)/3.6/(1-B42)</f>
        <v>2.5462962962962968E-2</v>
      </c>
      <c r="L51" s="6">
        <f>0.11*(B44/B46)/3.6/(1-B43)</f>
        <v>4.3287037037037041E-2</v>
      </c>
    </row>
    <row r="52" spans="1:12" x14ac:dyDescent="0.2">
      <c r="A52" t="s">
        <v>31</v>
      </c>
      <c r="B52" s="9">
        <f>6700000/(180000000000*0.5)</f>
        <v>7.4444444444444444E-5</v>
      </c>
      <c r="C52" s="3" t="s">
        <v>19</v>
      </c>
      <c r="E52" t="s">
        <v>21</v>
      </c>
      <c r="F52" t="s">
        <v>17</v>
      </c>
      <c r="G52" t="s">
        <v>32</v>
      </c>
      <c r="H52" t="s">
        <v>55</v>
      </c>
      <c r="I52">
        <v>5</v>
      </c>
      <c r="J52" s="11">
        <f>B52</f>
        <v>7.4444444444444444E-5</v>
      </c>
      <c r="K52" s="9">
        <f>3500000/B40</f>
        <v>3.2407407407407408E-5</v>
      </c>
      <c r="L52" s="9">
        <f>10000000/B39</f>
        <v>1.3888888888888889E-4</v>
      </c>
    </row>
    <row r="53" spans="1:12" x14ac:dyDescent="0.2">
      <c r="A53" t="s">
        <v>44</v>
      </c>
      <c r="B53" s="11">
        <f>1/B38</f>
        <v>1.1111111111111111E-11</v>
      </c>
      <c r="C53" t="s">
        <v>19</v>
      </c>
      <c r="E53" t="s">
        <v>8</v>
      </c>
      <c r="F53" t="s">
        <v>17</v>
      </c>
      <c r="G53" t="s">
        <v>43</v>
      </c>
      <c r="H53" t="s">
        <v>54</v>
      </c>
      <c r="I53">
        <v>5</v>
      </c>
      <c r="J53" s="11">
        <f>B53</f>
        <v>1.1111111111111111E-11</v>
      </c>
      <c r="K53" s="11">
        <f>1/B40</f>
        <v>9.2592592592592589E-12</v>
      </c>
      <c r="L53" s="11">
        <f>1/B39</f>
        <v>1.3888888888888888E-11</v>
      </c>
    </row>
    <row r="54" spans="1:12" x14ac:dyDescent="0.2">
      <c r="A54" t="s">
        <v>50</v>
      </c>
      <c r="B54" s="11">
        <f>1/B38</f>
        <v>1.1111111111111111E-11</v>
      </c>
      <c r="C54" t="s">
        <v>19</v>
      </c>
      <c r="E54" t="s">
        <v>8</v>
      </c>
      <c r="F54" t="s">
        <v>17</v>
      </c>
      <c r="G54" t="s">
        <v>49</v>
      </c>
      <c r="H54" t="s">
        <v>54</v>
      </c>
      <c r="I54">
        <v>5</v>
      </c>
      <c r="J54" s="11">
        <f>B54</f>
        <v>1.1111111111111111E-11</v>
      </c>
      <c r="K54" s="11">
        <f>1/B40</f>
        <v>9.2592592592592589E-12</v>
      </c>
      <c r="L54" s="11">
        <f>1/B39</f>
        <v>1.3888888888888888E-11</v>
      </c>
    </row>
    <row r="55" spans="1:12" x14ac:dyDescent="0.2">
      <c r="A55" t="s">
        <v>52</v>
      </c>
      <c r="B55" s="11">
        <f>1.38106E-16</f>
        <v>1.38106E-16</v>
      </c>
      <c r="C55" t="s">
        <v>19</v>
      </c>
      <c r="E55" t="s">
        <v>8</v>
      </c>
      <c r="F55" t="s">
        <v>17</v>
      </c>
      <c r="G55" t="s">
        <v>51</v>
      </c>
      <c r="J55" s="11"/>
      <c r="K55" s="11"/>
      <c r="L55" s="11"/>
    </row>
    <row r="57" spans="1:12" ht="16" x14ac:dyDescent="0.2">
      <c r="A57" s="1" t="s">
        <v>3</v>
      </c>
      <c r="B57" s="1" t="s">
        <v>56</v>
      </c>
    </row>
    <row r="58" spans="1:12" x14ac:dyDescent="0.2">
      <c r="A58" t="s">
        <v>11</v>
      </c>
      <c r="B58" t="s">
        <v>97</v>
      </c>
    </row>
    <row r="59" spans="1:12" x14ac:dyDescent="0.2">
      <c r="A59" t="s">
        <v>10</v>
      </c>
      <c r="B59" t="s">
        <v>137</v>
      </c>
    </row>
    <row r="60" spans="1:12" x14ac:dyDescent="0.2">
      <c r="A60" t="s">
        <v>4</v>
      </c>
      <c r="B60" t="s">
        <v>5</v>
      </c>
    </row>
    <row r="61" spans="1:12" x14ac:dyDescent="0.2">
      <c r="A61" t="s">
        <v>6</v>
      </c>
      <c r="B61" t="s">
        <v>36</v>
      </c>
    </row>
    <row r="62" spans="1:12" x14ac:dyDescent="0.2">
      <c r="A62" t="s">
        <v>8</v>
      </c>
      <c r="B62" t="s">
        <v>18</v>
      </c>
    </row>
    <row r="63" spans="1:12" x14ac:dyDescent="0.2">
      <c r="A63" t="s">
        <v>93</v>
      </c>
      <c r="B63">
        <f>parameters!N6</f>
        <v>144000000000</v>
      </c>
    </row>
    <row r="64" spans="1:12" x14ac:dyDescent="0.2">
      <c r="A64" t="s">
        <v>94</v>
      </c>
      <c r="B64">
        <f>parameters!O6</f>
        <v>135000000000</v>
      </c>
    </row>
    <row r="65" spans="1:12" x14ac:dyDescent="0.2">
      <c r="A65" t="s">
        <v>95</v>
      </c>
      <c r="B65">
        <f>parameters!P6</f>
        <v>153000000000</v>
      </c>
    </row>
    <row r="66" spans="1:12" x14ac:dyDescent="0.2">
      <c r="A66" t="s">
        <v>159</v>
      </c>
      <c r="B66" s="13">
        <f>parameters!I6</f>
        <v>0.2</v>
      </c>
    </row>
    <row r="67" spans="1:12" x14ac:dyDescent="0.2">
      <c r="A67" t="s">
        <v>160</v>
      </c>
      <c r="B67" s="13">
        <f>parameters!J6</f>
        <v>0.15</v>
      </c>
    </row>
    <row r="68" spans="1:12" x14ac:dyDescent="0.2">
      <c r="A68" t="s">
        <v>161</v>
      </c>
      <c r="B68" s="13">
        <f>parameters!K6</f>
        <v>0.25</v>
      </c>
    </row>
    <row r="69" spans="1:12" x14ac:dyDescent="0.2">
      <c r="A69" t="s">
        <v>135</v>
      </c>
      <c r="B69" s="13">
        <f>parameters!$C$15</f>
        <v>0.42500000000000004</v>
      </c>
    </row>
    <row r="70" spans="1:12" x14ac:dyDescent="0.2">
      <c r="A70" t="s">
        <v>132</v>
      </c>
      <c r="B70" s="13">
        <f>parameters!C17</f>
        <v>0.44</v>
      </c>
    </row>
    <row r="71" spans="1:12" x14ac:dyDescent="0.2">
      <c r="A71" t="s">
        <v>133</v>
      </c>
      <c r="B71" s="13">
        <f>parameters!D17</f>
        <v>0.35</v>
      </c>
    </row>
    <row r="72" spans="1:12" x14ac:dyDescent="0.2">
      <c r="A72" t="s">
        <v>134</v>
      </c>
      <c r="B72" s="13">
        <f>parameters!E17</f>
        <v>0.45</v>
      </c>
    </row>
    <row r="73" spans="1:12" ht="16" x14ac:dyDescent="0.2">
      <c r="A73" s="1" t="s">
        <v>12</v>
      </c>
    </row>
    <row r="74" spans="1:12" x14ac:dyDescent="0.2">
      <c r="A74" s="2" t="s">
        <v>13</v>
      </c>
      <c r="B74" s="2" t="s">
        <v>14</v>
      </c>
      <c r="C74" s="2" t="s">
        <v>4</v>
      </c>
      <c r="D74" s="2" t="s">
        <v>15</v>
      </c>
      <c r="E74" s="2" t="s">
        <v>8</v>
      </c>
      <c r="F74" s="2" t="s">
        <v>7</v>
      </c>
      <c r="G74" s="2" t="s">
        <v>6</v>
      </c>
      <c r="H74" s="2" t="s">
        <v>11</v>
      </c>
      <c r="I74" s="2" t="s">
        <v>37</v>
      </c>
      <c r="J74" s="2" t="s">
        <v>45</v>
      </c>
      <c r="K74" s="2" t="s">
        <v>38</v>
      </c>
      <c r="L74" s="2" t="s">
        <v>39</v>
      </c>
    </row>
    <row r="75" spans="1:12" x14ac:dyDescent="0.2">
      <c r="A75" t="str">
        <f>B57</f>
        <v>transport, freight, sea, container ship, powered with liquid ammonia</v>
      </c>
      <c r="B75">
        <v>1</v>
      </c>
      <c r="C75" t="s">
        <v>5</v>
      </c>
      <c r="E75" t="str">
        <f>B62</f>
        <v>ton kilometer</v>
      </c>
      <c r="F75" t="s">
        <v>16</v>
      </c>
      <c r="G75" t="str">
        <f>B61</f>
        <v>transport, freight, sea, container ship</v>
      </c>
    </row>
    <row r="76" spans="1:12" ht="16" x14ac:dyDescent="0.2">
      <c r="A76" t="s">
        <v>57</v>
      </c>
      <c r="B76" s="12">
        <f>(0.11*(B69/B70))/18.6/(1-B66)</f>
        <v>7.1404569892473116E-3</v>
      </c>
      <c r="C76" t="s">
        <v>19</v>
      </c>
      <c r="E76" t="s">
        <v>9</v>
      </c>
      <c r="F76" t="s">
        <v>17</v>
      </c>
      <c r="G76" t="s">
        <v>58</v>
      </c>
      <c r="H76" s="5" t="s">
        <v>164</v>
      </c>
      <c r="I76">
        <v>5</v>
      </c>
      <c r="J76" s="6">
        <f>B76</f>
        <v>7.1404569892473116E-3</v>
      </c>
      <c r="K76" s="6">
        <f>(0.11*(B69/B72))/18.6/(1-B67)</f>
        <v>6.5710872162485076E-3</v>
      </c>
      <c r="L76" s="6">
        <f>(0.11*(B69/B71))/18.6/(1-B68)</f>
        <v>9.5750128008192537E-3</v>
      </c>
    </row>
    <row r="77" spans="1:12" x14ac:dyDescent="0.2">
      <c r="A77" t="s">
        <v>31</v>
      </c>
      <c r="B77" s="9">
        <f>5000/B63</f>
        <v>3.472222222222222E-8</v>
      </c>
      <c r="C77" s="3" t="s">
        <v>19</v>
      </c>
      <c r="E77" t="s">
        <v>21</v>
      </c>
      <c r="F77" t="s">
        <v>17</v>
      </c>
      <c r="G77" t="s">
        <v>32</v>
      </c>
      <c r="H77" t="s">
        <v>59</v>
      </c>
      <c r="I77">
        <v>5</v>
      </c>
      <c r="J77" s="11">
        <f>B77</f>
        <v>3.472222222222222E-8</v>
      </c>
      <c r="K77" s="9">
        <f>350000/B65</f>
        <v>2.2875816993464053E-6</v>
      </c>
      <c r="L77" s="9">
        <f>1000000/B64</f>
        <v>7.4074074074074075E-6</v>
      </c>
    </row>
    <row r="78" spans="1:12" x14ac:dyDescent="0.2">
      <c r="A78" t="s">
        <v>44</v>
      </c>
      <c r="B78" s="11">
        <f>1/B63</f>
        <v>6.9444444444444442E-12</v>
      </c>
      <c r="C78" t="s">
        <v>19</v>
      </c>
      <c r="E78" t="s">
        <v>8</v>
      </c>
      <c r="F78" t="s">
        <v>17</v>
      </c>
      <c r="G78" t="s">
        <v>43</v>
      </c>
      <c r="H78" t="s">
        <v>64</v>
      </c>
      <c r="I78">
        <v>5</v>
      </c>
      <c r="J78" s="11">
        <f>B78</f>
        <v>6.9444444444444442E-12</v>
      </c>
      <c r="K78" s="11">
        <f>1/B65</f>
        <v>6.5359477124183003E-12</v>
      </c>
      <c r="L78" s="11">
        <f>1/B64</f>
        <v>7.4074074074074068E-12</v>
      </c>
    </row>
    <row r="79" spans="1:12" x14ac:dyDescent="0.2">
      <c r="A79" t="s">
        <v>50</v>
      </c>
      <c r="B79" s="11">
        <f>1/B63</f>
        <v>6.9444444444444442E-12</v>
      </c>
      <c r="C79" t="s">
        <v>19</v>
      </c>
      <c r="E79" t="s">
        <v>8</v>
      </c>
      <c r="F79" t="s">
        <v>17</v>
      </c>
      <c r="G79" t="s">
        <v>49</v>
      </c>
      <c r="H79" t="s">
        <v>64</v>
      </c>
      <c r="I79">
        <v>5</v>
      </c>
      <c r="J79" s="11">
        <f>B79</f>
        <v>6.9444444444444442E-12</v>
      </c>
      <c r="K79" s="11">
        <f>1/B65</f>
        <v>6.5359477124183003E-12</v>
      </c>
      <c r="L79" s="11">
        <f>1/B64</f>
        <v>7.4074074074074068E-12</v>
      </c>
    </row>
    <row r="80" spans="1:12" x14ac:dyDescent="0.2">
      <c r="A80" t="s">
        <v>52</v>
      </c>
      <c r="B80" s="11">
        <f>1.38106E-16</f>
        <v>1.38106E-16</v>
      </c>
      <c r="C80" t="s">
        <v>19</v>
      </c>
      <c r="E80" t="s">
        <v>8</v>
      </c>
      <c r="F80" t="s">
        <v>17</v>
      </c>
      <c r="G80" t="s">
        <v>51</v>
      </c>
      <c r="J80" s="11"/>
      <c r="K80" s="11"/>
      <c r="L80" s="11"/>
    </row>
    <row r="81" spans="1:12" ht="16" x14ac:dyDescent="0.2">
      <c r="A81" t="s">
        <v>61</v>
      </c>
      <c r="B81">
        <f>0.00013*(B76*18.6*B70/3.6)</f>
        <v>2.1102430555555555E-6</v>
      </c>
      <c r="D81" t="s">
        <v>23</v>
      </c>
      <c r="E81" t="s">
        <v>9</v>
      </c>
      <c r="F81" t="s">
        <v>20</v>
      </c>
      <c r="H81" t="s">
        <v>71</v>
      </c>
      <c r="I81">
        <v>5</v>
      </c>
      <c r="J81" s="6">
        <f t="shared" ref="J81:J86" si="1">B81</f>
        <v>2.1102430555555555E-6</v>
      </c>
      <c r="K81" s="6">
        <f>0.00013*(B76*18.6*B71/3.6)</f>
        <v>1.6786024305555552E-6</v>
      </c>
      <c r="L81" s="6">
        <f>0.00013*(B76*18.6*B72/3.6)</f>
        <v>2.1582031249999997E-6</v>
      </c>
    </row>
    <row r="82" spans="1:12" ht="16" x14ac:dyDescent="0.2">
      <c r="A82" t="s">
        <v>24</v>
      </c>
      <c r="B82">
        <f>0.0026*(B76*18.6*B70/3.6)</f>
        <v>4.2204861111111112E-5</v>
      </c>
      <c r="D82" t="s">
        <v>23</v>
      </c>
      <c r="E82" t="s">
        <v>9</v>
      </c>
      <c r="F82" t="s">
        <v>20</v>
      </c>
      <c r="H82" t="s">
        <v>72</v>
      </c>
      <c r="I82">
        <v>5</v>
      </c>
      <c r="J82" s="6">
        <f t="shared" si="1"/>
        <v>4.2204861111111112E-5</v>
      </c>
      <c r="K82" s="6">
        <f>0.0026*(B76*18.6*B71/3.6)</f>
        <v>3.3572048611111104E-5</v>
      </c>
      <c r="L82" s="6">
        <f>0.0026*(B76*18.6*B72/3.6)</f>
        <v>4.3164062499999996E-5</v>
      </c>
    </row>
    <row r="83" spans="1:12" ht="16" x14ac:dyDescent="0.2">
      <c r="A83" t="s">
        <v>62</v>
      </c>
      <c r="B83">
        <f>0.00002*(B76*18.6*B70/3.6)</f>
        <v>3.2465277777777784E-7</v>
      </c>
      <c r="D83" t="s">
        <v>23</v>
      </c>
      <c r="E83" t="s">
        <v>9</v>
      </c>
      <c r="F83" t="s">
        <v>20</v>
      </c>
      <c r="H83" t="s">
        <v>73</v>
      </c>
      <c r="I83">
        <v>5</v>
      </c>
      <c r="J83" s="6">
        <f t="shared" si="1"/>
        <v>3.2465277777777784E-7</v>
      </c>
      <c r="K83" s="6">
        <f>0.00002*(B76*18.6*B71/3.6)</f>
        <v>2.5824652777777776E-7</v>
      </c>
      <c r="L83" s="6">
        <f>0.00002*(B76*18.6*B72/3.6)</f>
        <v>3.3203125000000002E-7</v>
      </c>
    </row>
    <row r="84" spans="1:12" ht="16" x14ac:dyDescent="0.2">
      <c r="A84" t="s">
        <v>63</v>
      </c>
      <c r="B84">
        <f>0.0000028*(B76*18.6*B70/3.6)</f>
        <v>4.5451388888888888E-8</v>
      </c>
      <c r="D84" t="s">
        <v>23</v>
      </c>
      <c r="E84" t="s">
        <v>9</v>
      </c>
      <c r="F84" t="s">
        <v>20</v>
      </c>
      <c r="H84" t="s">
        <v>74</v>
      </c>
      <c r="I84">
        <v>5</v>
      </c>
      <c r="J84" s="6">
        <f t="shared" si="1"/>
        <v>4.5451388888888888E-8</v>
      </c>
      <c r="K84" s="6">
        <f>0.0000028*(B76*18.6*B71/3.6)</f>
        <v>3.6154513888888877E-8</v>
      </c>
      <c r="L84" s="6">
        <f>0.0000028*(B76*18.6*B72/3.6)</f>
        <v>4.6484374999999998E-8</v>
      </c>
    </row>
    <row r="85" spans="1:12" ht="16" x14ac:dyDescent="0.2">
      <c r="A85" t="s">
        <v>25</v>
      </c>
      <c r="B85">
        <f>0.00004*(B76*18.6*B70/3.6)</f>
        <v>6.4930555555555568E-7</v>
      </c>
      <c r="D85" t="s">
        <v>23</v>
      </c>
      <c r="E85" t="s">
        <v>9</v>
      </c>
      <c r="F85" t="s">
        <v>20</v>
      </c>
      <c r="H85" t="s">
        <v>75</v>
      </c>
      <c r="I85">
        <v>5</v>
      </c>
      <c r="J85" s="6">
        <f t="shared" si="1"/>
        <v>6.4930555555555568E-7</v>
      </c>
      <c r="K85" s="6">
        <f>0.00004*(B76*18.6*B71/3.6)</f>
        <v>5.1649305555555552E-7</v>
      </c>
      <c r="L85" s="6">
        <f>0.00004*(B76*18.6*B72/3.6)</f>
        <v>6.6406250000000005E-7</v>
      </c>
    </row>
    <row r="86" spans="1:12" ht="16" x14ac:dyDescent="0.2">
      <c r="A86" t="s">
        <v>114</v>
      </c>
      <c r="B86">
        <f>0.000046*(B76*18.6*B70/3.6)</f>
        <v>7.4670138888888891E-7</v>
      </c>
      <c r="D86" t="s">
        <v>23</v>
      </c>
      <c r="E86" t="s">
        <v>9</v>
      </c>
      <c r="F86" t="s">
        <v>20</v>
      </c>
      <c r="H86" t="s">
        <v>76</v>
      </c>
      <c r="I86">
        <v>5</v>
      </c>
      <c r="J86" s="6">
        <f t="shared" si="1"/>
        <v>7.4670138888888891E-7</v>
      </c>
      <c r="K86" s="11">
        <f>0.00001*(B76*18.6*B71/3.6)</f>
        <v>1.2912326388888888E-7</v>
      </c>
      <c r="L86">
        <f>0.00013*(B76*18.6*B72/3.6)</f>
        <v>2.1582031249999997E-6</v>
      </c>
    </row>
    <row r="87" spans="1:12" ht="16" x14ac:dyDescent="0.2">
      <c r="J87" s="6"/>
      <c r="K87" s="11"/>
    </row>
    <row r="88" spans="1:12" ht="16" x14ac:dyDescent="0.2">
      <c r="A88" s="1" t="s">
        <v>3</v>
      </c>
      <c r="B88" s="1" t="s">
        <v>65</v>
      </c>
    </row>
    <row r="89" spans="1:12" x14ac:dyDescent="0.2">
      <c r="A89" t="s">
        <v>11</v>
      </c>
      <c r="B89" t="s">
        <v>96</v>
      </c>
    </row>
    <row r="90" spans="1:12" x14ac:dyDescent="0.2">
      <c r="A90" t="s">
        <v>10</v>
      </c>
      <c r="B90" t="s">
        <v>137</v>
      </c>
    </row>
    <row r="91" spans="1:12" x14ac:dyDescent="0.2">
      <c r="A91" t="s">
        <v>4</v>
      </c>
      <c r="B91" t="s">
        <v>5</v>
      </c>
    </row>
    <row r="92" spans="1:12" x14ac:dyDescent="0.2">
      <c r="A92" t="s">
        <v>6</v>
      </c>
      <c r="B92" t="s">
        <v>36</v>
      </c>
    </row>
    <row r="93" spans="1:12" x14ac:dyDescent="0.2">
      <c r="A93" t="s">
        <v>8</v>
      </c>
      <c r="B93" t="s">
        <v>18</v>
      </c>
    </row>
    <row r="94" spans="1:12" x14ac:dyDescent="0.2">
      <c r="A94" t="s">
        <v>93</v>
      </c>
      <c r="B94">
        <f>parameters!N5</f>
        <v>144000000000</v>
      </c>
    </row>
    <row r="95" spans="1:12" x14ac:dyDescent="0.2">
      <c r="A95" t="s">
        <v>94</v>
      </c>
      <c r="B95">
        <f>parameters!O5</f>
        <v>135000000000</v>
      </c>
    </row>
    <row r="96" spans="1:12" x14ac:dyDescent="0.2">
      <c r="A96" t="s">
        <v>95</v>
      </c>
      <c r="B96">
        <f>parameters!P5</f>
        <v>153000000000</v>
      </c>
    </row>
    <row r="97" spans="1:12" x14ac:dyDescent="0.2">
      <c r="A97" t="s">
        <v>159</v>
      </c>
      <c r="B97" s="13">
        <f>parameters!I5</f>
        <v>0.2</v>
      </c>
    </row>
    <row r="98" spans="1:12" x14ac:dyDescent="0.2">
      <c r="A98" t="s">
        <v>160</v>
      </c>
      <c r="B98" s="13">
        <f>parameters!J5</f>
        <v>0.15</v>
      </c>
    </row>
    <row r="99" spans="1:12" x14ac:dyDescent="0.2">
      <c r="A99" t="s">
        <v>161</v>
      </c>
      <c r="B99" s="13">
        <f>parameters!K5</f>
        <v>0.25</v>
      </c>
    </row>
    <row r="100" spans="1:12" x14ac:dyDescent="0.2">
      <c r="A100" t="s">
        <v>135</v>
      </c>
      <c r="B100" s="13">
        <f>parameters!$C$15</f>
        <v>0.42500000000000004</v>
      </c>
    </row>
    <row r="101" spans="1:12" x14ac:dyDescent="0.2">
      <c r="A101" t="s">
        <v>132</v>
      </c>
      <c r="B101" s="13">
        <f>parameters!C16</f>
        <v>0.375</v>
      </c>
    </row>
    <row r="102" spans="1:12" x14ac:dyDescent="0.2">
      <c r="A102" t="s">
        <v>133</v>
      </c>
      <c r="B102" s="13">
        <f>parameters!D16</f>
        <v>0.35</v>
      </c>
    </row>
    <row r="103" spans="1:12" x14ac:dyDescent="0.2">
      <c r="A103" t="s">
        <v>134</v>
      </c>
      <c r="B103" s="13">
        <f>parameters!E16</f>
        <v>0.4</v>
      </c>
    </row>
    <row r="104" spans="1:12" ht="16" x14ac:dyDescent="0.2">
      <c r="A104" s="1" t="s">
        <v>12</v>
      </c>
    </row>
    <row r="105" spans="1:12" x14ac:dyDescent="0.2">
      <c r="A105" s="2" t="s">
        <v>13</v>
      </c>
      <c r="B105" s="2" t="s">
        <v>14</v>
      </c>
      <c r="C105" s="2" t="s">
        <v>4</v>
      </c>
      <c r="D105" s="2" t="s">
        <v>15</v>
      </c>
      <c r="E105" s="2" t="s">
        <v>8</v>
      </c>
      <c r="F105" s="2" t="s">
        <v>7</v>
      </c>
      <c r="G105" s="2" t="s">
        <v>6</v>
      </c>
      <c r="H105" s="2" t="s">
        <v>11</v>
      </c>
      <c r="I105" s="2" t="s">
        <v>37</v>
      </c>
      <c r="J105" s="2" t="s">
        <v>45</v>
      </c>
      <c r="K105" s="2" t="s">
        <v>38</v>
      </c>
      <c r="L105" s="2" t="s">
        <v>39</v>
      </c>
    </row>
    <row r="106" spans="1:12" x14ac:dyDescent="0.2">
      <c r="A106" t="str">
        <f>B88</f>
        <v>transport, freight, sea, container ship, powered with methanol</v>
      </c>
      <c r="B106">
        <v>1</v>
      </c>
      <c r="C106" t="s">
        <v>5</v>
      </c>
      <c r="E106" t="str">
        <f>B93</f>
        <v>ton kilometer</v>
      </c>
      <c r="F106" t="s">
        <v>16</v>
      </c>
      <c r="G106" t="str">
        <f>B92</f>
        <v>transport, freight, sea, container ship</v>
      </c>
    </row>
    <row r="107" spans="1:12" ht="16" x14ac:dyDescent="0.2">
      <c r="A107" t="s">
        <v>67</v>
      </c>
      <c r="B107" s="12">
        <f>0.11*(B100/B101)/19.9/(1-B97)</f>
        <v>7.8308207705192652E-3</v>
      </c>
      <c r="C107" t="s">
        <v>5</v>
      </c>
      <c r="E107" t="s">
        <v>9</v>
      </c>
      <c r="F107" t="s">
        <v>17</v>
      </c>
      <c r="G107" t="s">
        <v>68</v>
      </c>
      <c r="H107" t="s">
        <v>165</v>
      </c>
      <c r="I107">
        <v>5</v>
      </c>
      <c r="J107" s="6">
        <f>B107</f>
        <v>7.8308207705192652E-3</v>
      </c>
      <c r="K107" s="6">
        <f>0.11*(B100/B103)/19.9/(1-B98)</f>
        <v>6.9095477386934686E-3</v>
      </c>
      <c r="L107" s="6">
        <f>0.11*(B100/B102)/19.9/(1-B99)</f>
        <v>8.9495094520220166E-3</v>
      </c>
    </row>
    <row r="108" spans="1:12" x14ac:dyDescent="0.2">
      <c r="A108" t="s">
        <v>44</v>
      </c>
      <c r="B108" s="11">
        <f>1/B94</f>
        <v>6.9444444444444442E-12</v>
      </c>
      <c r="C108" t="s">
        <v>19</v>
      </c>
      <c r="E108" t="s">
        <v>8</v>
      </c>
      <c r="F108" t="s">
        <v>17</v>
      </c>
      <c r="G108" t="s">
        <v>43</v>
      </c>
      <c r="H108" t="s">
        <v>66</v>
      </c>
      <c r="I108">
        <v>5</v>
      </c>
      <c r="J108" s="11">
        <f>B108</f>
        <v>6.9444444444444442E-12</v>
      </c>
      <c r="K108" s="11">
        <f>1/B96</f>
        <v>6.5359477124183003E-12</v>
      </c>
      <c r="L108" s="11">
        <f>1/B95</f>
        <v>7.4074074074074068E-12</v>
      </c>
    </row>
    <row r="109" spans="1:12" x14ac:dyDescent="0.2">
      <c r="A109" t="s">
        <v>50</v>
      </c>
      <c r="B109" s="11">
        <f>1/B94</f>
        <v>6.9444444444444442E-12</v>
      </c>
      <c r="C109" t="s">
        <v>19</v>
      </c>
      <c r="E109" t="s">
        <v>8</v>
      </c>
      <c r="F109" t="s">
        <v>17</v>
      </c>
      <c r="G109" t="s">
        <v>49</v>
      </c>
      <c r="H109" t="s">
        <v>66</v>
      </c>
      <c r="I109">
        <v>5</v>
      </c>
      <c r="J109" s="11">
        <f>B109</f>
        <v>6.9444444444444442E-12</v>
      </c>
      <c r="K109" s="11">
        <f>1/B96</f>
        <v>6.5359477124183003E-12</v>
      </c>
      <c r="L109" s="11">
        <f>1/B95</f>
        <v>7.4074074074074068E-12</v>
      </c>
    </row>
    <row r="110" spans="1:12" x14ac:dyDescent="0.2">
      <c r="A110" t="s">
        <v>52</v>
      </c>
      <c r="B110" s="11">
        <f>1.38106E-16</f>
        <v>1.38106E-16</v>
      </c>
      <c r="C110" t="s">
        <v>19</v>
      </c>
      <c r="E110" t="s">
        <v>8</v>
      </c>
      <c r="F110" t="s">
        <v>17</v>
      </c>
      <c r="G110" t="s">
        <v>51</v>
      </c>
      <c r="J110" s="11"/>
      <c r="K110" s="11"/>
      <c r="L110" s="11"/>
    </row>
    <row r="111" spans="1:12" ht="16" x14ac:dyDescent="0.2">
      <c r="A111" t="s">
        <v>69</v>
      </c>
      <c r="B111" s="12">
        <f>B107*1.37</f>
        <v>1.0728224455611394E-2</v>
      </c>
      <c r="D111" t="s">
        <v>23</v>
      </c>
      <c r="E111" t="s">
        <v>9</v>
      </c>
      <c r="F111" t="s">
        <v>20</v>
      </c>
      <c r="H111" t="s">
        <v>70</v>
      </c>
      <c r="I111">
        <v>5</v>
      </c>
      <c r="J111" s="6">
        <f>B111</f>
        <v>1.0728224455611394E-2</v>
      </c>
      <c r="K111" s="6">
        <f>K107*1.37</f>
        <v>9.466080402010052E-3</v>
      </c>
      <c r="L111" s="6">
        <f>L107*1.37</f>
        <v>1.2260827949270164E-2</v>
      </c>
    </row>
    <row r="112" spans="1:12" ht="16" x14ac:dyDescent="0.2">
      <c r="A112" t="s">
        <v>61</v>
      </c>
      <c r="B112" s="11">
        <f>0.0048*(B107*19.9*B101/3.6)</f>
        <v>7.7916666666666686E-5</v>
      </c>
      <c r="D112" t="s">
        <v>23</v>
      </c>
      <c r="E112" t="s">
        <v>9</v>
      </c>
      <c r="F112" t="s">
        <v>20</v>
      </c>
      <c r="H112" t="s">
        <v>139</v>
      </c>
      <c r="I112">
        <v>5</v>
      </c>
      <c r="J112" s="6">
        <f t="shared" ref="J112:J115" si="2">B112</f>
        <v>7.7916666666666686E-5</v>
      </c>
      <c r="K112" s="6">
        <f>0.0048*(B107*19.9*B102/3.6)</f>
        <v>7.2722222222222231E-5</v>
      </c>
      <c r="L112" s="6">
        <f>0.0048*(B107*19.9*B103/3.6)</f>
        <v>8.3111111111111141E-5</v>
      </c>
    </row>
    <row r="113" spans="1:12" ht="16" x14ac:dyDescent="0.2">
      <c r="A113" t="s">
        <v>24</v>
      </c>
      <c r="B113">
        <f>0.0026*(B107*19.9*B101/3.6)</f>
        <v>4.2204861111111119E-5</v>
      </c>
      <c r="D113" t="s">
        <v>23</v>
      </c>
      <c r="E113" t="s">
        <v>9</v>
      </c>
      <c r="F113" t="s">
        <v>20</v>
      </c>
      <c r="H113" t="s">
        <v>140</v>
      </c>
      <c r="I113">
        <v>5</v>
      </c>
      <c r="J113" s="6">
        <f t="shared" si="2"/>
        <v>4.2204861111111119E-5</v>
      </c>
      <c r="K113" s="6">
        <f>0.0026*(B107*19.9*B102/3.6)</f>
        <v>3.9391203703703708E-5</v>
      </c>
      <c r="L113" s="6">
        <f>0.0026*(B107*19.9*B103/3.6)</f>
        <v>4.5018518518518536E-5</v>
      </c>
    </row>
    <row r="114" spans="1:12" ht="16" x14ac:dyDescent="0.2">
      <c r="A114" t="s">
        <v>62</v>
      </c>
      <c r="B114">
        <f>0.00014*(B107*19.9*B101/3.6)</f>
        <v>2.2725694444444447E-6</v>
      </c>
      <c r="D114" t="s">
        <v>23</v>
      </c>
      <c r="E114" t="s">
        <v>9</v>
      </c>
      <c r="F114" t="s">
        <v>20</v>
      </c>
      <c r="H114" t="s">
        <v>141</v>
      </c>
      <c r="I114">
        <v>5</v>
      </c>
      <c r="J114" s="6">
        <f t="shared" si="2"/>
        <v>2.2725694444444447E-6</v>
      </c>
      <c r="K114" s="6">
        <f>0.00014*(B107*19.9*B102/3.6)</f>
        <v>2.1210648148148152E-6</v>
      </c>
      <c r="L114" s="6">
        <f>0.00014*(B107*19.9*B103/3.6)</f>
        <v>2.4240740740740747E-6</v>
      </c>
    </row>
    <row r="115" spans="1:12" ht="16" x14ac:dyDescent="0.2">
      <c r="A115" t="s">
        <v>26</v>
      </c>
      <c r="B115">
        <f>0.00000049*(B107*19.9*B101/3.6)</f>
        <v>7.9539930555555566E-9</v>
      </c>
      <c r="D115" t="s">
        <v>23</v>
      </c>
      <c r="E115" t="s">
        <v>9</v>
      </c>
      <c r="F115" t="s">
        <v>20</v>
      </c>
      <c r="H115" t="s">
        <v>142</v>
      </c>
      <c r="I115">
        <v>5</v>
      </c>
      <c r="J115" s="6">
        <f t="shared" si="2"/>
        <v>7.9539930555555566E-9</v>
      </c>
      <c r="K115" s="6">
        <f>0.00000049*(B107*19.9*B102/3.6)</f>
        <v>7.4237268518518529E-9</v>
      </c>
      <c r="L115" s="6">
        <f>0.00000049*(B107*19.9*B103/3.6)</f>
        <v>8.4842592592592621E-9</v>
      </c>
    </row>
    <row r="116" spans="1:12" ht="16" x14ac:dyDescent="0.2">
      <c r="J116" s="6"/>
      <c r="K116" s="6"/>
      <c r="L116" s="6"/>
    </row>
    <row r="117" spans="1:12" ht="16" x14ac:dyDescent="0.2">
      <c r="A117" s="1" t="s">
        <v>3</v>
      </c>
      <c r="B117" s="1" t="s">
        <v>99</v>
      </c>
    </row>
    <row r="118" spans="1:12" x14ac:dyDescent="0.2">
      <c r="A118" t="s">
        <v>11</v>
      </c>
      <c r="B118" t="s">
        <v>117</v>
      </c>
    </row>
    <row r="119" spans="1:12" x14ac:dyDescent="0.2">
      <c r="A119" t="s">
        <v>10</v>
      </c>
      <c r="B119" t="s">
        <v>137</v>
      </c>
    </row>
    <row r="120" spans="1:12" x14ac:dyDescent="0.2">
      <c r="A120" t="s">
        <v>4</v>
      </c>
      <c r="B120" t="s">
        <v>5</v>
      </c>
    </row>
    <row r="121" spans="1:12" x14ac:dyDescent="0.2">
      <c r="A121" t="s">
        <v>6</v>
      </c>
      <c r="B121" t="s">
        <v>36</v>
      </c>
    </row>
    <row r="122" spans="1:12" x14ac:dyDescent="0.2">
      <c r="A122" t="s">
        <v>8</v>
      </c>
      <c r="B122" t="s">
        <v>18</v>
      </c>
    </row>
    <row r="123" spans="1:12" x14ac:dyDescent="0.2">
      <c r="A123" t="s">
        <v>93</v>
      </c>
      <c r="B123" s="11">
        <f>parameters!N10</f>
        <v>108000000000</v>
      </c>
    </row>
    <row r="124" spans="1:12" x14ac:dyDescent="0.2">
      <c r="A124" t="s">
        <v>94</v>
      </c>
      <c r="B124" s="11">
        <f>parameters!O10</f>
        <v>90000000000</v>
      </c>
    </row>
    <row r="125" spans="1:12" x14ac:dyDescent="0.2">
      <c r="A125" t="s">
        <v>95</v>
      </c>
      <c r="B125" s="11">
        <f>parameters!P10</f>
        <v>117000000000</v>
      </c>
    </row>
    <row r="126" spans="1:12" x14ac:dyDescent="0.2">
      <c r="A126" t="s">
        <v>159</v>
      </c>
      <c r="B126" s="13">
        <f>parameters!I10</f>
        <v>0.4</v>
      </c>
    </row>
    <row r="127" spans="1:12" x14ac:dyDescent="0.2">
      <c r="A127" t="s">
        <v>160</v>
      </c>
      <c r="B127" s="13">
        <f>parameters!J10</f>
        <v>0.35</v>
      </c>
    </row>
    <row r="128" spans="1:12" x14ac:dyDescent="0.2">
      <c r="A128" t="s">
        <v>161</v>
      </c>
      <c r="B128" s="13">
        <f>parameters!K10</f>
        <v>0.5</v>
      </c>
    </row>
    <row r="129" spans="1:12" x14ac:dyDescent="0.2">
      <c r="A129" t="s">
        <v>135</v>
      </c>
      <c r="B129" s="13">
        <f>parameters!$C$15</f>
        <v>0.42500000000000004</v>
      </c>
    </row>
    <row r="130" spans="1:12" x14ac:dyDescent="0.2">
      <c r="A130" t="s">
        <v>132</v>
      </c>
      <c r="B130" s="13">
        <f>parameters!C21</f>
        <v>0.45</v>
      </c>
    </row>
    <row r="131" spans="1:12" x14ac:dyDescent="0.2">
      <c r="A131" t="s">
        <v>133</v>
      </c>
      <c r="B131" s="13">
        <f>parameters!D21</f>
        <v>0.4</v>
      </c>
    </row>
    <row r="132" spans="1:12" x14ac:dyDescent="0.2">
      <c r="A132" t="s">
        <v>134</v>
      </c>
      <c r="B132" s="13">
        <f>parameters!E21</f>
        <v>0.5</v>
      </c>
    </row>
    <row r="133" spans="1:12" ht="16" x14ac:dyDescent="0.2">
      <c r="A133" s="1" t="s">
        <v>12</v>
      </c>
    </row>
    <row r="134" spans="1:12" x14ac:dyDescent="0.2">
      <c r="A134" s="2" t="s">
        <v>13</v>
      </c>
      <c r="B134" s="2" t="s">
        <v>14</v>
      </c>
      <c r="C134" s="2" t="s">
        <v>4</v>
      </c>
      <c r="D134" s="2" t="s">
        <v>15</v>
      </c>
      <c r="E134" s="2" t="s">
        <v>8</v>
      </c>
      <c r="F134" s="2" t="s">
        <v>7</v>
      </c>
      <c r="G134" s="2" t="s">
        <v>6</v>
      </c>
      <c r="H134" s="2" t="s">
        <v>11</v>
      </c>
      <c r="I134" s="2" t="s">
        <v>37</v>
      </c>
      <c r="J134" s="2" t="s">
        <v>45</v>
      </c>
      <c r="K134" s="2" t="s">
        <v>38</v>
      </c>
      <c r="L134" s="2" t="s">
        <v>39</v>
      </c>
    </row>
    <row r="135" spans="1:12" x14ac:dyDescent="0.2">
      <c r="A135" t="str">
        <f>B117</f>
        <v>transport, freight, sea, container ship, powered with synthetic methane</v>
      </c>
      <c r="B135">
        <v>1</v>
      </c>
      <c r="C135" t="s">
        <v>5</v>
      </c>
      <c r="E135" t="str">
        <f>B122</f>
        <v>ton kilometer</v>
      </c>
      <c r="F135" t="s">
        <v>16</v>
      </c>
      <c r="G135" t="str">
        <f>B121</f>
        <v>transport, freight, sea, container ship</v>
      </c>
    </row>
    <row r="136" spans="1:12" ht="16" x14ac:dyDescent="0.2">
      <c r="A136" t="s">
        <v>109</v>
      </c>
      <c r="B136" s="12">
        <f>0.11*(B129/B130)/47.5/(1-B126)</f>
        <v>3.6452241715399618E-3</v>
      </c>
      <c r="C136" t="s">
        <v>5</v>
      </c>
      <c r="E136" t="s">
        <v>9</v>
      </c>
      <c r="F136" t="s">
        <v>17</v>
      </c>
      <c r="G136" s="8" t="s">
        <v>110</v>
      </c>
      <c r="H136" t="s">
        <v>166</v>
      </c>
      <c r="I136">
        <v>5</v>
      </c>
      <c r="J136">
        <f>B136</f>
        <v>3.6452241715399618E-3</v>
      </c>
      <c r="K136" s="6">
        <f>0.11*(B129/B132)/47.5/(1-B127)</f>
        <v>3.0283400809716604E-3</v>
      </c>
      <c r="L136" s="6">
        <f>0.11*(B129/B131)/47.5/(1-B128)</f>
        <v>4.9210526315789475E-3</v>
      </c>
    </row>
    <row r="137" spans="1:12" x14ac:dyDescent="0.2">
      <c r="A137" t="s">
        <v>44</v>
      </c>
      <c r="B137" s="11">
        <f>1/B123</f>
        <v>9.2592592592592589E-12</v>
      </c>
      <c r="C137" t="s">
        <v>19</v>
      </c>
      <c r="E137" t="s">
        <v>8</v>
      </c>
      <c r="F137" t="s">
        <v>17</v>
      </c>
      <c r="G137" t="s">
        <v>43</v>
      </c>
      <c r="H137" t="s">
        <v>118</v>
      </c>
      <c r="I137">
        <v>5</v>
      </c>
      <c r="J137" s="11">
        <f>B137</f>
        <v>9.2592592592592589E-12</v>
      </c>
      <c r="K137" s="11">
        <f>1/B125</f>
        <v>8.5470085470085473E-12</v>
      </c>
      <c r="L137" s="11">
        <f>1/B124</f>
        <v>1.1111111111111111E-11</v>
      </c>
    </row>
    <row r="138" spans="1:12" x14ac:dyDescent="0.2">
      <c r="A138" t="s">
        <v>50</v>
      </c>
      <c r="B138" s="11">
        <f>1/B123</f>
        <v>9.2592592592592589E-12</v>
      </c>
      <c r="C138" t="s">
        <v>19</v>
      </c>
      <c r="E138" t="s">
        <v>8</v>
      </c>
      <c r="F138" t="s">
        <v>17</v>
      </c>
      <c r="G138" t="s">
        <v>49</v>
      </c>
      <c r="H138" t="s">
        <v>118</v>
      </c>
      <c r="I138">
        <v>5</v>
      </c>
      <c r="J138" s="11">
        <f>B138</f>
        <v>9.2592592592592589E-12</v>
      </c>
      <c r="K138" s="11">
        <f>1/B125</f>
        <v>8.5470085470085473E-12</v>
      </c>
      <c r="L138" s="11">
        <f>1/B124</f>
        <v>1.1111111111111111E-11</v>
      </c>
    </row>
    <row r="139" spans="1:12" x14ac:dyDescent="0.2">
      <c r="A139" t="s">
        <v>52</v>
      </c>
      <c r="B139" s="11">
        <f>1.38106E-16</f>
        <v>1.38106E-16</v>
      </c>
      <c r="C139" t="s">
        <v>19</v>
      </c>
      <c r="E139" t="s">
        <v>8</v>
      </c>
      <c r="F139" t="s">
        <v>17</v>
      </c>
      <c r="G139" t="s">
        <v>51</v>
      </c>
      <c r="J139" s="11"/>
      <c r="K139" s="11"/>
      <c r="L139" s="11"/>
    </row>
    <row r="140" spans="1:12" ht="16" x14ac:dyDescent="0.2">
      <c r="A140" t="s">
        <v>69</v>
      </c>
      <c r="B140" s="12">
        <f>B136*2.74</f>
        <v>9.9879142300194953E-3</v>
      </c>
      <c r="D140" t="s">
        <v>23</v>
      </c>
      <c r="E140" t="s">
        <v>9</v>
      </c>
      <c r="F140" t="s">
        <v>20</v>
      </c>
      <c r="H140" t="s">
        <v>111</v>
      </c>
      <c r="I140">
        <v>5</v>
      </c>
      <c r="J140" s="6">
        <f>B140</f>
        <v>9.9879142300194953E-3</v>
      </c>
      <c r="K140" s="6">
        <f>K136*2.74</f>
        <v>8.2976518218623504E-3</v>
      </c>
      <c r="L140" s="6">
        <f>L136*2.74</f>
        <v>1.3483684210526318E-2</v>
      </c>
    </row>
    <row r="141" spans="1:12" ht="16" x14ac:dyDescent="0.2">
      <c r="A141" t="s">
        <v>61</v>
      </c>
      <c r="B141" s="11">
        <f>0.00186*(B136*47.5*B130/3.6)</f>
        <v>4.0256944444444453E-5</v>
      </c>
      <c r="D141" t="s">
        <v>23</v>
      </c>
      <c r="E141" t="s">
        <v>9</v>
      </c>
      <c r="F141" t="s">
        <v>20</v>
      </c>
      <c r="H141" t="s">
        <v>143</v>
      </c>
      <c r="I141">
        <v>5</v>
      </c>
      <c r="J141" s="6">
        <f t="shared" ref="J141:J144" si="3">B141</f>
        <v>4.0256944444444453E-5</v>
      </c>
      <c r="K141" s="6">
        <f>0.00186*(B136*47.5*B131/3.6)</f>
        <v>3.5783950617283966E-5</v>
      </c>
      <c r="L141" s="6">
        <f>0.00186*(B136*47.5*B132/3.6)</f>
        <v>4.4729938271604947E-5</v>
      </c>
    </row>
    <row r="142" spans="1:12" ht="16" x14ac:dyDescent="0.2">
      <c r="A142" t="s">
        <v>24</v>
      </c>
      <c r="B142">
        <f>0.00117*(B136*47.5*B130/3.6)</f>
        <v>2.5322916666666675E-5</v>
      </c>
      <c r="D142" t="s">
        <v>23</v>
      </c>
      <c r="E142" t="s">
        <v>9</v>
      </c>
      <c r="F142" t="s">
        <v>20</v>
      </c>
      <c r="H142" t="s">
        <v>144</v>
      </c>
      <c r="I142">
        <v>5</v>
      </c>
      <c r="J142" s="6">
        <f t="shared" si="3"/>
        <v>2.5322916666666675E-5</v>
      </c>
      <c r="K142" s="6">
        <f>0.00117*(B136*47.5*B131/3.6)</f>
        <v>2.2509259259259268E-5</v>
      </c>
      <c r="L142" s="6">
        <f>0.00117*(B136*47.5*B132/3.6)</f>
        <v>2.8136574074074081E-5</v>
      </c>
    </row>
    <row r="143" spans="1:12" ht="16" x14ac:dyDescent="0.2">
      <c r="A143" t="s">
        <v>112</v>
      </c>
      <c r="B143" s="11">
        <f>0.00003*(B136*47.5*B130/3.6)</f>
        <v>6.4930555555555568E-7</v>
      </c>
      <c r="D143" t="s">
        <v>23</v>
      </c>
      <c r="E143" t="s">
        <v>9</v>
      </c>
      <c r="F143" t="s">
        <v>20</v>
      </c>
      <c r="H143" t="s">
        <v>145</v>
      </c>
      <c r="I143">
        <v>5</v>
      </c>
      <c r="J143" s="6">
        <f t="shared" ref="J143" si="4">B143</f>
        <v>6.4930555555555568E-7</v>
      </c>
      <c r="K143" s="6">
        <f>0.00003*(B136*47.5*B131/3.6)</f>
        <v>5.7716049382716071E-7</v>
      </c>
      <c r="L143" s="6">
        <f>0.00003*(B136*47.5*B132/3.6)</f>
        <v>7.2145061728395076E-7</v>
      </c>
    </row>
    <row r="144" spans="1:12" ht="16" x14ac:dyDescent="0.2">
      <c r="A144" t="s">
        <v>62</v>
      </c>
      <c r="B144" s="11">
        <f>0.00003*(B136*47.5*B130/3.6)</f>
        <v>6.4930555555555568E-7</v>
      </c>
      <c r="D144" t="s">
        <v>23</v>
      </c>
      <c r="E144" t="s">
        <v>9</v>
      </c>
      <c r="F144" t="s">
        <v>20</v>
      </c>
      <c r="H144" t="s">
        <v>146</v>
      </c>
      <c r="I144">
        <v>5</v>
      </c>
      <c r="J144" s="6">
        <f t="shared" si="3"/>
        <v>6.4930555555555568E-7</v>
      </c>
      <c r="K144" s="6">
        <f>0.00003*(B136*47.5*B131/3.6)</f>
        <v>5.7716049382716071E-7</v>
      </c>
      <c r="L144" s="6">
        <f>0.00003*(B136*47.5*B132/3.6)</f>
        <v>7.2145061728395076E-7</v>
      </c>
    </row>
    <row r="145" spans="1:12" ht="16" x14ac:dyDescent="0.2">
      <c r="A145" t="s">
        <v>113</v>
      </c>
      <c r="B145" s="11">
        <f>B136*0.02</f>
        <v>7.2904483430799236E-5</v>
      </c>
      <c r="D145" t="s">
        <v>23</v>
      </c>
      <c r="E145" t="s">
        <v>9</v>
      </c>
      <c r="F145" t="s">
        <v>20</v>
      </c>
      <c r="H145" t="s">
        <v>147</v>
      </c>
      <c r="I145">
        <v>5</v>
      </c>
      <c r="J145" s="6">
        <f t="shared" ref="J145:J147" si="5">B145</f>
        <v>7.2904483430799236E-5</v>
      </c>
      <c r="K145" s="6">
        <f>B136*0.02</f>
        <v>7.2904483430799236E-5</v>
      </c>
      <c r="L145" s="6">
        <f>B136*0.067</f>
        <v>2.4423001949317743E-4</v>
      </c>
    </row>
    <row r="146" spans="1:12" ht="16" x14ac:dyDescent="0.2">
      <c r="A146" t="s">
        <v>63</v>
      </c>
      <c r="B146" s="11">
        <f>0.00038*(B136*47.5*B130/3.6)</f>
        <v>8.2245370370370392E-6</v>
      </c>
      <c r="D146" t="s">
        <v>23</v>
      </c>
      <c r="E146" t="s">
        <v>9</v>
      </c>
      <c r="F146" t="s">
        <v>20</v>
      </c>
      <c r="H146" t="s">
        <v>148</v>
      </c>
      <c r="I146">
        <v>5</v>
      </c>
      <c r="J146" s="6">
        <f t="shared" si="5"/>
        <v>8.2245370370370392E-6</v>
      </c>
      <c r="K146" s="6">
        <f>0.00038*(B136*47.5*B131/3.6)</f>
        <v>7.3106995884773691E-6</v>
      </c>
      <c r="L146" s="6">
        <f>0.00038*(B136*47.5*B132/3.6)</f>
        <v>9.1383744855967103E-6</v>
      </c>
    </row>
    <row r="147" spans="1:12" ht="16" x14ac:dyDescent="0.2">
      <c r="A147" t="s">
        <v>114</v>
      </c>
      <c r="B147" s="11">
        <f>0.00002*(B136*47.5*B130/3.6)</f>
        <v>4.3287037037037051E-7</v>
      </c>
      <c r="D147" t="s">
        <v>23</v>
      </c>
      <c r="E147" t="s">
        <v>9</v>
      </c>
      <c r="F147" t="s">
        <v>20</v>
      </c>
      <c r="H147" t="s">
        <v>149</v>
      </c>
      <c r="I147">
        <v>5</v>
      </c>
      <c r="J147" s="6">
        <f t="shared" si="5"/>
        <v>4.3287037037037051E-7</v>
      </c>
      <c r="K147" s="11">
        <f>0.00002*(B136*47.5*B131/3.6)</f>
        <v>3.8477366255144049E-7</v>
      </c>
      <c r="L147" s="11">
        <f>0.00002*(B136*47.5*B132/3.6)</f>
        <v>4.8096707818930057E-7</v>
      </c>
    </row>
    <row r="150" spans="1:12" ht="16" x14ac:dyDescent="0.2">
      <c r="A150" s="1" t="s">
        <v>3</v>
      </c>
      <c r="B150" s="1" t="s">
        <v>108</v>
      </c>
    </row>
    <row r="151" spans="1:12" x14ac:dyDescent="0.2">
      <c r="A151" t="s">
        <v>11</v>
      </c>
      <c r="B151" t="s">
        <v>121</v>
      </c>
    </row>
    <row r="152" spans="1:12" x14ac:dyDescent="0.2">
      <c r="A152" t="s">
        <v>10</v>
      </c>
      <c r="B152" t="s">
        <v>137</v>
      </c>
    </row>
    <row r="153" spans="1:12" x14ac:dyDescent="0.2">
      <c r="A153" t="s">
        <v>4</v>
      </c>
      <c r="B153" t="s">
        <v>5</v>
      </c>
    </row>
    <row r="154" spans="1:12" x14ac:dyDescent="0.2">
      <c r="A154" t="s">
        <v>6</v>
      </c>
      <c r="B154" t="s">
        <v>36</v>
      </c>
    </row>
    <row r="155" spans="1:12" x14ac:dyDescent="0.2">
      <c r="A155" t="s">
        <v>8</v>
      </c>
      <c r="B155" t="s">
        <v>18</v>
      </c>
    </row>
    <row r="156" spans="1:12" x14ac:dyDescent="0.2">
      <c r="A156" t="s">
        <v>93</v>
      </c>
      <c r="B156" s="11">
        <f>parameters!N9</f>
        <v>158400000000</v>
      </c>
    </row>
    <row r="157" spans="1:12" x14ac:dyDescent="0.2">
      <c r="A157" t="s">
        <v>94</v>
      </c>
      <c r="B157" s="11">
        <f>parameters!O9</f>
        <v>153000000000</v>
      </c>
    </row>
    <row r="158" spans="1:12" x14ac:dyDescent="0.2">
      <c r="A158" t="s">
        <v>95</v>
      </c>
      <c r="B158" s="11">
        <f>parameters!P9</f>
        <v>162000000000</v>
      </c>
    </row>
    <row r="159" spans="1:12" x14ac:dyDescent="0.2">
      <c r="A159" t="s">
        <v>159</v>
      </c>
      <c r="B159" s="13">
        <f>parameters!I9</f>
        <v>0.12</v>
      </c>
    </row>
    <row r="160" spans="1:12" x14ac:dyDescent="0.2">
      <c r="A160" t="s">
        <v>160</v>
      </c>
      <c r="B160" s="13">
        <f>parameters!J9</f>
        <v>0.1</v>
      </c>
    </row>
    <row r="161" spans="1:12" x14ac:dyDescent="0.2">
      <c r="A161" t="s">
        <v>161</v>
      </c>
      <c r="B161" s="13">
        <f>parameters!K9</f>
        <v>0.15</v>
      </c>
    </row>
    <row r="162" spans="1:12" x14ac:dyDescent="0.2">
      <c r="A162" t="s">
        <v>135</v>
      </c>
      <c r="B162" s="13">
        <f>parameters!$C$15</f>
        <v>0.42500000000000004</v>
      </c>
    </row>
    <row r="163" spans="1:12" x14ac:dyDescent="0.2">
      <c r="A163" t="s">
        <v>132</v>
      </c>
      <c r="B163" s="13">
        <f>parameters!C20</f>
        <v>0.41500000000000004</v>
      </c>
    </row>
    <row r="164" spans="1:12" x14ac:dyDescent="0.2">
      <c r="A164" t="s">
        <v>133</v>
      </c>
      <c r="B164" s="13">
        <f>parameters!D20</f>
        <v>0.38</v>
      </c>
    </row>
    <row r="165" spans="1:12" x14ac:dyDescent="0.2">
      <c r="A165" t="s">
        <v>134</v>
      </c>
      <c r="B165" s="13">
        <f>parameters!E20</f>
        <v>0.45</v>
      </c>
    </row>
    <row r="166" spans="1:12" ht="16" x14ac:dyDescent="0.2">
      <c r="A166" s="1" t="s">
        <v>12</v>
      </c>
    </row>
    <row r="167" spans="1:12" x14ac:dyDescent="0.2">
      <c r="A167" s="2" t="s">
        <v>13</v>
      </c>
      <c r="B167" s="2" t="s">
        <v>14</v>
      </c>
      <c r="C167" s="2" t="s">
        <v>4</v>
      </c>
      <c r="D167" s="2" t="s">
        <v>15</v>
      </c>
      <c r="E167" s="2" t="s">
        <v>8</v>
      </c>
      <c r="F167" s="2" t="s">
        <v>7</v>
      </c>
      <c r="G167" s="2" t="s">
        <v>6</v>
      </c>
      <c r="H167" s="2" t="s">
        <v>11</v>
      </c>
      <c r="I167" s="2" t="s">
        <v>37</v>
      </c>
      <c r="J167" s="2" t="s">
        <v>45</v>
      </c>
      <c r="K167" s="2" t="s">
        <v>38</v>
      </c>
      <c r="L167" s="2" t="s">
        <v>39</v>
      </c>
    </row>
    <row r="168" spans="1:12" x14ac:dyDescent="0.2">
      <c r="A168" t="str">
        <f>B150</f>
        <v>transport, freight, sea, container ship, powered with synthetic liquefied petroleum gas</v>
      </c>
      <c r="B168">
        <v>1</v>
      </c>
      <c r="C168" t="s">
        <v>5</v>
      </c>
      <c r="E168" t="str">
        <f>B155</f>
        <v>ton kilometer</v>
      </c>
      <c r="F168" t="s">
        <v>16</v>
      </c>
      <c r="G168" t="str">
        <f>B154</f>
        <v>transport, freight, sea, container ship</v>
      </c>
    </row>
    <row r="169" spans="1:12" ht="16" x14ac:dyDescent="0.2">
      <c r="A169" t="s">
        <v>115</v>
      </c>
      <c r="B169" s="12">
        <f>0.11*(B162/B163)/46/(1-B159)</f>
        <v>2.7828706128863278E-3</v>
      </c>
      <c r="C169" t="s">
        <v>5</v>
      </c>
      <c r="E169" t="s">
        <v>9</v>
      </c>
      <c r="F169" t="s">
        <v>17</v>
      </c>
      <c r="G169" s="8" t="s">
        <v>116</v>
      </c>
      <c r="H169" t="s">
        <v>167</v>
      </c>
      <c r="I169">
        <v>5</v>
      </c>
      <c r="J169">
        <f>B169</f>
        <v>2.7828706128863278E-3</v>
      </c>
      <c r="K169" s="6">
        <f>0.11*(B162/B165)/46/(1-B160)</f>
        <v>2.5093934514224371E-3</v>
      </c>
      <c r="L169" s="6">
        <f>0.11*(B162/B164)/46/(1-B161)</f>
        <v>3.1464530892448515E-3</v>
      </c>
    </row>
    <row r="170" spans="1:12" x14ac:dyDescent="0.2">
      <c r="A170" t="s">
        <v>44</v>
      </c>
      <c r="B170" s="11">
        <f>1/B156</f>
        <v>6.313131313131313E-12</v>
      </c>
      <c r="C170" t="s">
        <v>19</v>
      </c>
      <c r="E170" t="s">
        <v>8</v>
      </c>
      <c r="F170" t="s">
        <v>17</v>
      </c>
      <c r="G170" t="s">
        <v>43</v>
      </c>
      <c r="H170" t="s">
        <v>119</v>
      </c>
      <c r="I170">
        <v>5</v>
      </c>
      <c r="J170" s="11">
        <f>B170</f>
        <v>6.313131313131313E-12</v>
      </c>
      <c r="K170" s="11">
        <f>1/B158</f>
        <v>6.1728395061728393E-12</v>
      </c>
      <c r="L170" s="11">
        <f>1/B157</f>
        <v>6.5359477124183003E-12</v>
      </c>
    </row>
    <row r="171" spans="1:12" x14ac:dyDescent="0.2">
      <c r="A171" t="s">
        <v>50</v>
      </c>
      <c r="B171" s="11">
        <f>1/B156</f>
        <v>6.313131313131313E-12</v>
      </c>
      <c r="C171" t="s">
        <v>19</v>
      </c>
      <c r="E171" t="s">
        <v>8</v>
      </c>
      <c r="F171" t="s">
        <v>17</v>
      </c>
      <c r="G171" t="s">
        <v>49</v>
      </c>
      <c r="H171" t="s">
        <v>119</v>
      </c>
      <c r="I171">
        <v>5</v>
      </c>
      <c r="J171" s="11">
        <f>B171</f>
        <v>6.313131313131313E-12</v>
      </c>
      <c r="K171" s="11">
        <f>1/B158</f>
        <v>6.1728395061728393E-12</v>
      </c>
      <c r="L171" s="11">
        <f>1/B157</f>
        <v>6.5359477124183003E-12</v>
      </c>
    </row>
    <row r="172" spans="1:12" x14ac:dyDescent="0.2">
      <c r="A172" t="s">
        <v>52</v>
      </c>
      <c r="B172" s="11">
        <f>1.38106E-16</f>
        <v>1.38106E-16</v>
      </c>
      <c r="C172" t="s">
        <v>19</v>
      </c>
      <c r="E172" t="s">
        <v>8</v>
      </c>
      <c r="F172" t="s">
        <v>17</v>
      </c>
      <c r="G172" t="s">
        <v>51</v>
      </c>
      <c r="J172" s="11"/>
      <c r="K172" s="11"/>
      <c r="L172" s="11"/>
    </row>
    <row r="173" spans="1:12" ht="16" x14ac:dyDescent="0.2">
      <c r="A173" t="s">
        <v>69</v>
      </c>
      <c r="B173" s="12">
        <f>B169*3</f>
        <v>8.3486118386589831E-3</v>
      </c>
      <c r="D173" t="s">
        <v>23</v>
      </c>
      <c r="E173" t="s">
        <v>9</v>
      </c>
      <c r="F173" t="s">
        <v>20</v>
      </c>
      <c r="H173" t="s">
        <v>120</v>
      </c>
      <c r="I173">
        <v>5</v>
      </c>
      <c r="J173" s="6">
        <f>B173</f>
        <v>8.3486118386589831E-3</v>
      </c>
      <c r="K173" s="6">
        <f>K169*3</f>
        <v>7.5281803542673114E-3</v>
      </c>
      <c r="L173" s="6">
        <f>L169*3</f>
        <v>9.4393592677345546E-3</v>
      </c>
    </row>
    <row r="174" spans="1:12" ht="16" x14ac:dyDescent="0.2">
      <c r="A174" t="s">
        <v>61</v>
      </c>
      <c r="B174" s="11">
        <f>0.00186*(B169*46*B163/3.6)</f>
        <v>2.7447916666666672E-5</v>
      </c>
      <c r="D174" t="s">
        <v>23</v>
      </c>
      <c r="E174" t="s">
        <v>9</v>
      </c>
      <c r="F174" t="s">
        <v>20</v>
      </c>
      <c r="H174" t="s">
        <v>150</v>
      </c>
      <c r="I174">
        <v>5</v>
      </c>
      <c r="J174" s="6">
        <f t="shared" ref="J174:J180" si="6">B174</f>
        <v>2.7447916666666672E-5</v>
      </c>
      <c r="K174" s="6">
        <f>0.00186*(B169*46*B164/3.6)</f>
        <v>2.5133032128514057E-5</v>
      </c>
      <c r="L174" s="6">
        <f>0.00186*(B169*46*B165/3.6)</f>
        <v>2.976280120481928E-5</v>
      </c>
    </row>
    <row r="175" spans="1:12" ht="16" x14ac:dyDescent="0.2">
      <c r="A175" t="s">
        <v>24</v>
      </c>
      <c r="B175">
        <f>0.00117*(B169*46*B163/3.6)</f>
        <v>1.7265625000000001E-5</v>
      </c>
      <c r="D175" t="s">
        <v>23</v>
      </c>
      <c r="E175" t="s">
        <v>9</v>
      </c>
      <c r="F175" t="s">
        <v>20</v>
      </c>
      <c r="H175" t="s">
        <v>151</v>
      </c>
      <c r="I175">
        <v>5</v>
      </c>
      <c r="J175" s="6">
        <f t="shared" si="6"/>
        <v>1.7265625000000001E-5</v>
      </c>
      <c r="K175" s="6">
        <f>0.00117*(B169*46*B164/3.6)</f>
        <v>1.5809487951807229E-5</v>
      </c>
      <c r="L175" s="6">
        <f>0.00117*(B169*46*B165/3.6)</f>
        <v>1.8721762048192773E-5</v>
      </c>
    </row>
    <row r="176" spans="1:12" ht="16" x14ac:dyDescent="0.2">
      <c r="A176" t="s">
        <v>112</v>
      </c>
      <c r="B176" s="11">
        <f>0.00003*(B169*46*B163/3.6)</f>
        <v>4.4270833333333337E-7</v>
      </c>
      <c r="D176" t="s">
        <v>23</v>
      </c>
      <c r="E176" t="s">
        <v>9</v>
      </c>
      <c r="F176" t="s">
        <v>20</v>
      </c>
      <c r="H176" t="s">
        <v>152</v>
      </c>
      <c r="I176">
        <v>5</v>
      </c>
      <c r="J176" s="6">
        <f t="shared" si="6"/>
        <v>4.4270833333333337E-7</v>
      </c>
      <c r="K176" s="6">
        <f>0.00003*(B169*46*B164/3.6)</f>
        <v>4.0537148594377509E-7</v>
      </c>
      <c r="L176" s="6">
        <f>0.00003*(B169*46*B165/3.6)</f>
        <v>4.8004518072289164E-7</v>
      </c>
    </row>
    <row r="177" spans="1:12" ht="16" x14ac:dyDescent="0.2">
      <c r="A177" t="s">
        <v>62</v>
      </c>
      <c r="B177" s="11">
        <f>0.00003*(B169*46*B163/3.6)</f>
        <v>4.4270833333333337E-7</v>
      </c>
      <c r="D177" t="s">
        <v>23</v>
      </c>
      <c r="E177" t="s">
        <v>9</v>
      </c>
      <c r="F177" t="s">
        <v>20</v>
      </c>
      <c r="H177" t="s">
        <v>153</v>
      </c>
      <c r="I177">
        <v>5</v>
      </c>
      <c r="J177" s="6">
        <f t="shared" si="6"/>
        <v>4.4270833333333337E-7</v>
      </c>
      <c r="K177" s="6">
        <f>0.00003*(B169*46*B164/3.6)</f>
        <v>4.0537148594377509E-7</v>
      </c>
      <c r="L177" s="6">
        <f>0.00003*(B169*46*B165/3.6)</f>
        <v>4.8004518072289164E-7</v>
      </c>
    </row>
    <row r="178" spans="1:12" ht="16" x14ac:dyDescent="0.2">
      <c r="A178" t="s">
        <v>113</v>
      </c>
      <c r="B178" s="11">
        <f>B169*0.02</f>
        <v>5.5657412257726559E-5</v>
      </c>
      <c r="D178" t="s">
        <v>23</v>
      </c>
      <c r="E178" t="s">
        <v>9</v>
      </c>
      <c r="F178" t="s">
        <v>20</v>
      </c>
      <c r="H178" t="s">
        <v>154</v>
      </c>
      <c r="I178">
        <v>5</v>
      </c>
      <c r="J178" s="6">
        <f t="shared" si="6"/>
        <v>5.5657412257726559E-5</v>
      </c>
      <c r="K178" s="6">
        <f>J178</f>
        <v>5.5657412257726559E-5</v>
      </c>
      <c r="L178" s="6">
        <f>0.067*B169</f>
        <v>1.8645233106338397E-4</v>
      </c>
    </row>
    <row r="179" spans="1:12" ht="16" x14ac:dyDescent="0.2">
      <c r="A179" t="s">
        <v>63</v>
      </c>
      <c r="B179" s="11">
        <f>0.00038*(B169*46*B163/3.6)</f>
        <v>5.6076388888888899E-6</v>
      </c>
      <c r="D179" t="s">
        <v>23</v>
      </c>
      <c r="E179" t="s">
        <v>9</v>
      </c>
      <c r="F179" t="s">
        <v>20</v>
      </c>
      <c r="H179" t="s">
        <v>155</v>
      </c>
      <c r="I179">
        <v>5</v>
      </c>
      <c r="J179" s="6">
        <f t="shared" si="6"/>
        <v>5.6076388888888899E-6</v>
      </c>
      <c r="K179" s="6">
        <f>0.00038*(B169*46*B164/3.6)</f>
        <v>5.1347054886211519E-6</v>
      </c>
      <c r="L179" s="6">
        <f>0.00038*(B169*46*B165/3.6)</f>
        <v>6.080572289156627E-6</v>
      </c>
    </row>
    <row r="180" spans="1:12" ht="16" x14ac:dyDescent="0.2">
      <c r="A180" t="s">
        <v>114</v>
      </c>
      <c r="B180" s="11">
        <f>0.00002*(B169*46*B163/3.6)</f>
        <v>2.9513888888888895E-7</v>
      </c>
      <c r="D180" t="s">
        <v>23</v>
      </c>
      <c r="E180" t="s">
        <v>9</v>
      </c>
      <c r="F180" t="s">
        <v>20</v>
      </c>
      <c r="H180" t="s">
        <v>156</v>
      </c>
      <c r="I180">
        <v>5</v>
      </c>
      <c r="J180" s="6">
        <f t="shared" si="6"/>
        <v>2.9513888888888895E-7</v>
      </c>
      <c r="K180" s="11">
        <f>0.00002*(B169*46*B164/3.6)</f>
        <v>2.7024765729585008E-7</v>
      </c>
      <c r="L180">
        <f>0.00002*(B169*46*B165/3.6)</f>
        <v>3.2003012048192776E-7</v>
      </c>
    </row>
    <row r="182" spans="1:12" ht="16" x14ac:dyDescent="0.2">
      <c r="A182" s="1" t="s">
        <v>3</v>
      </c>
      <c r="B182" s="1" t="s">
        <v>184</v>
      </c>
    </row>
    <row r="183" spans="1:12" x14ac:dyDescent="0.2">
      <c r="A183" t="s">
        <v>11</v>
      </c>
      <c r="B183" t="s">
        <v>170</v>
      </c>
    </row>
    <row r="184" spans="1:12" x14ac:dyDescent="0.2">
      <c r="A184" t="s">
        <v>10</v>
      </c>
      <c r="B184" t="s">
        <v>137</v>
      </c>
    </row>
    <row r="185" spans="1:12" x14ac:dyDescent="0.2">
      <c r="A185" t="s">
        <v>4</v>
      </c>
      <c r="B185" t="s">
        <v>5</v>
      </c>
    </row>
    <row r="186" spans="1:12" x14ac:dyDescent="0.2">
      <c r="A186" t="s">
        <v>6</v>
      </c>
      <c r="B186" t="s">
        <v>36</v>
      </c>
    </row>
    <row r="187" spans="1:12" x14ac:dyDescent="0.2">
      <c r="A187" t="s">
        <v>8</v>
      </c>
      <c r="B187" t="s">
        <v>18</v>
      </c>
    </row>
    <row r="188" spans="1:12" x14ac:dyDescent="0.2">
      <c r="A188" t="s">
        <v>93</v>
      </c>
      <c r="B188" s="11">
        <f>parameters!N4</f>
        <v>180000000000</v>
      </c>
    </row>
    <row r="189" spans="1:12" x14ac:dyDescent="0.2">
      <c r="A189" t="s">
        <v>94</v>
      </c>
      <c r="B189" s="11">
        <f>parameters!O4</f>
        <v>180000000000</v>
      </c>
    </row>
    <row r="190" spans="1:12" x14ac:dyDescent="0.2">
      <c r="A190" t="s">
        <v>95</v>
      </c>
      <c r="B190" s="11">
        <f>parameters!P4</f>
        <v>180000000000</v>
      </c>
    </row>
    <row r="191" spans="1:12" x14ac:dyDescent="0.2">
      <c r="A191" t="s">
        <v>159</v>
      </c>
      <c r="B191" s="13">
        <v>0</v>
      </c>
    </row>
    <row r="192" spans="1:12" x14ac:dyDescent="0.2">
      <c r="A192" t="s">
        <v>160</v>
      </c>
      <c r="B192" s="13">
        <v>0</v>
      </c>
    </row>
    <row r="193" spans="1:12" x14ac:dyDescent="0.2">
      <c r="A193" t="s">
        <v>161</v>
      </c>
      <c r="B193" s="13">
        <v>0</v>
      </c>
    </row>
    <row r="194" spans="1:12" x14ac:dyDescent="0.2">
      <c r="A194" t="s">
        <v>135</v>
      </c>
      <c r="B194" s="13">
        <f>parameters!$C$15</f>
        <v>0.42500000000000004</v>
      </c>
    </row>
    <row r="195" spans="1:12" x14ac:dyDescent="0.2">
      <c r="A195" t="s">
        <v>132</v>
      </c>
      <c r="B195" s="13">
        <v>0</v>
      </c>
    </row>
    <row r="196" spans="1:12" x14ac:dyDescent="0.2">
      <c r="A196" t="s">
        <v>133</v>
      </c>
      <c r="B196" s="13">
        <v>0</v>
      </c>
    </row>
    <row r="197" spans="1:12" x14ac:dyDescent="0.2">
      <c r="A197" t="s">
        <v>134</v>
      </c>
      <c r="B197" s="13">
        <v>0</v>
      </c>
    </row>
    <row r="198" spans="1:12" ht="16" x14ac:dyDescent="0.2">
      <c r="A198" s="1" t="s">
        <v>12</v>
      </c>
    </row>
    <row r="199" spans="1:12" x14ac:dyDescent="0.2">
      <c r="A199" s="2" t="s">
        <v>13</v>
      </c>
      <c r="B199" s="2" t="s">
        <v>14</v>
      </c>
      <c r="C199" s="2" t="s">
        <v>4</v>
      </c>
      <c r="D199" s="2" t="s">
        <v>15</v>
      </c>
      <c r="E199" s="2" t="s">
        <v>8</v>
      </c>
      <c r="F199" s="2" t="s">
        <v>7</v>
      </c>
      <c r="G199" s="2" t="s">
        <v>6</v>
      </c>
      <c r="H199" s="2" t="s">
        <v>11</v>
      </c>
      <c r="I199" s="2" t="s">
        <v>37</v>
      </c>
      <c r="J199" s="2" t="s">
        <v>45</v>
      </c>
      <c r="K199" s="2" t="s">
        <v>38</v>
      </c>
      <c r="L199" s="2" t="s">
        <v>39</v>
      </c>
    </row>
    <row r="200" spans="1:12" x14ac:dyDescent="0.2">
      <c r="A200" t="str">
        <f>B182</f>
        <v>transport, freight, sea, container ship, powered with diesel</v>
      </c>
      <c r="B200">
        <v>1</v>
      </c>
      <c r="C200" t="s">
        <v>5</v>
      </c>
      <c r="E200" t="str">
        <f>B187</f>
        <v>ton kilometer</v>
      </c>
      <c r="F200" t="s">
        <v>16</v>
      </c>
      <c r="G200" t="str">
        <f>B186</f>
        <v>transport, freight, sea, container ship</v>
      </c>
    </row>
    <row r="201" spans="1:12" ht="16" x14ac:dyDescent="0.2">
      <c r="A201" t="s">
        <v>188</v>
      </c>
      <c r="B201" s="12">
        <f>0.11/43</f>
        <v>2.5581395348837212E-3</v>
      </c>
      <c r="C201" t="s">
        <v>189</v>
      </c>
      <c r="E201" t="s">
        <v>9</v>
      </c>
      <c r="F201" t="s">
        <v>17</v>
      </c>
      <c r="G201" s="8" t="s">
        <v>190</v>
      </c>
      <c r="H201" t="s">
        <v>173</v>
      </c>
      <c r="K201" s="6"/>
      <c r="L201" s="6"/>
    </row>
    <row r="202" spans="1:12" x14ac:dyDescent="0.2">
      <c r="A202" t="s">
        <v>44</v>
      </c>
      <c r="B202" s="11">
        <f>1/B188</f>
        <v>5.5555555555555555E-12</v>
      </c>
      <c r="C202" t="s">
        <v>19</v>
      </c>
      <c r="E202" t="s">
        <v>8</v>
      </c>
      <c r="F202" t="s">
        <v>17</v>
      </c>
      <c r="G202" t="s">
        <v>43</v>
      </c>
      <c r="H202" t="s">
        <v>119</v>
      </c>
      <c r="J202" s="11"/>
      <c r="K202" s="11"/>
      <c r="L202" s="11"/>
    </row>
    <row r="203" spans="1:12" x14ac:dyDescent="0.2">
      <c r="A203" t="s">
        <v>50</v>
      </c>
      <c r="B203" s="11">
        <f>1/B188</f>
        <v>5.5555555555555555E-12</v>
      </c>
      <c r="C203" t="s">
        <v>19</v>
      </c>
      <c r="E203" t="s">
        <v>8</v>
      </c>
      <c r="F203" t="s">
        <v>17</v>
      </c>
      <c r="G203" t="s">
        <v>49</v>
      </c>
      <c r="H203" t="s">
        <v>119</v>
      </c>
      <c r="J203" s="11"/>
      <c r="K203" s="11"/>
      <c r="L203" s="11"/>
    </row>
    <row r="204" spans="1:12" x14ac:dyDescent="0.2">
      <c r="A204" t="s">
        <v>52</v>
      </c>
      <c r="B204" s="11">
        <f>1.38106E-16</f>
        <v>1.38106E-16</v>
      </c>
      <c r="C204" t="s">
        <v>19</v>
      </c>
      <c r="E204" t="s">
        <v>8</v>
      </c>
      <c r="F204" t="s">
        <v>17</v>
      </c>
      <c r="G204" t="s">
        <v>51</v>
      </c>
      <c r="J204" s="11"/>
      <c r="K204" s="11"/>
      <c r="L204" s="11"/>
    </row>
    <row r="205" spans="1:12" ht="16" x14ac:dyDescent="0.2">
      <c r="A205" t="s">
        <v>185</v>
      </c>
      <c r="B205" s="12">
        <f>B201*3.15</f>
        <v>8.0581395348837213E-3</v>
      </c>
      <c r="D205" t="s">
        <v>23</v>
      </c>
      <c r="E205" t="s">
        <v>9</v>
      </c>
      <c r="F205" t="s">
        <v>20</v>
      </c>
      <c r="H205" t="s">
        <v>120</v>
      </c>
      <c r="J205" s="6"/>
      <c r="K205" s="6"/>
      <c r="L205" s="6"/>
    </row>
    <row r="206" spans="1:12" ht="16" x14ac:dyDescent="0.2">
      <c r="A206" t="s">
        <v>186</v>
      </c>
      <c r="B206" s="11">
        <f>0.0009*(B201*43*B194/3.6)</f>
        <v>1.1687500000000003E-5</v>
      </c>
      <c r="D206" t="s">
        <v>23</v>
      </c>
      <c r="E206" t="s">
        <v>9</v>
      </c>
      <c r="F206" t="s">
        <v>20</v>
      </c>
      <c r="H206" t="s">
        <v>174</v>
      </c>
      <c r="I206">
        <v>5</v>
      </c>
      <c r="J206" s="6">
        <f t="shared" ref="J206:J211" si="7">B206</f>
        <v>1.1687500000000003E-5</v>
      </c>
      <c r="K206" s="6">
        <f>J206*0.5</f>
        <v>5.8437500000000014E-6</v>
      </c>
      <c r="L206" s="6">
        <f>J206*2</f>
        <v>2.3375000000000006E-5</v>
      </c>
    </row>
    <row r="207" spans="1:12" ht="16" x14ac:dyDescent="0.2">
      <c r="A207" t="s">
        <v>24</v>
      </c>
      <c r="B207">
        <f>0.0026*(B201*43*B194/3.6)</f>
        <v>3.3763888888888895E-5</v>
      </c>
      <c r="D207" t="s">
        <v>23</v>
      </c>
      <c r="E207" t="s">
        <v>9</v>
      </c>
      <c r="F207" t="s">
        <v>20</v>
      </c>
      <c r="H207" t="s">
        <v>175</v>
      </c>
      <c r="I207">
        <v>5</v>
      </c>
      <c r="J207" s="6">
        <f t="shared" si="7"/>
        <v>3.3763888888888895E-5</v>
      </c>
      <c r="K207" s="6">
        <f t="shared" ref="K207:K211" si="8">J207*0.5</f>
        <v>1.6881944444444447E-5</v>
      </c>
      <c r="L207" s="6">
        <f t="shared" ref="L207:L211" si="9">J207*2</f>
        <v>6.752777777777779E-5</v>
      </c>
    </row>
    <row r="208" spans="1:12" ht="16" x14ac:dyDescent="0.2">
      <c r="A208" t="s">
        <v>62</v>
      </c>
      <c r="B208" s="11">
        <f>0.00025*(B201*43*B194/3.6)</f>
        <v>3.2465277777777787E-6</v>
      </c>
      <c r="D208" t="s">
        <v>23</v>
      </c>
      <c r="E208" t="s">
        <v>9</v>
      </c>
      <c r="F208" t="s">
        <v>20</v>
      </c>
      <c r="H208" t="s">
        <v>177</v>
      </c>
      <c r="I208">
        <v>5</v>
      </c>
      <c r="J208" s="6">
        <f t="shared" si="7"/>
        <v>3.2465277777777787E-6</v>
      </c>
      <c r="K208" s="6">
        <f t="shared" si="8"/>
        <v>1.6232638888888894E-6</v>
      </c>
      <c r="L208" s="6">
        <f t="shared" si="9"/>
        <v>6.4930555555555574E-6</v>
      </c>
    </row>
    <row r="209" spans="1:12" ht="16" x14ac:dyDescent="0.2">
      <c r="A209" t="s">
        <v>187</v>
      </c>
      <c r="B209" s="11">
        <f>0.00001*(B201*43*B194/3.6)</f>
        <v>1.2986111111111117E-7</v>
      </c>
      <c r="D209" t="s">
        <v>23</v>
      </c>
      <c r="E209" t="s">
        <v>9</v>
      </c>
      <c r="F209" t="s">
        <v>20</v>
      </c>
      <c r="H209" t="s">
        <v>178</v>
      </c>
      <c r="I209">
        <v>5</v>
      </c>
      <c r="J209" s="6">
        <f t="shared" si="7"/>
        <v>1.2986111111111117E-7</v>
      </c>
      <c r="K209" s="6">
        <f t="shared" si="8"/>
        <v>6.4930555555555584E-8</v>
      </c>
      <c r="L209" s="6">
        <f t="shared" si="9"/>
        <v>2.5972222222222234E-7</v>
      </c>
    </row>
    <row r="210" spans="1:12" ht="16" x14ac:dyDescent="0.2">
      <c r="A210" t="s">
        <v>63</v>
      </c>
      <c r="B210" s="11">
        <f>0.00041*(B201*43*B194/3.6)</f>
        <v>5.324305555555557E-6</v>
      </c>
      <c r="D210" t="s">
        <v>23</v>
      </c>
      <c r="E210" t="s">
        <v>9</v>
      </c>
      <c r="F210" t="s">
        <v>20</v>
      </c>
      <c r="H210" t="s">
        <v>179</v>
      </c>
      <c r="I210">
        <v>5</v>
      </c>
      <c r="J210" s="6">
        <f t="shared" si="7"/>
        <v>5.324305555555557E-6</v>
      </c>
      <c r="K210" s="6">
        <f t="shared" si="8"/>
        <v>2.6621527777777785E-6</v>
      </c>
      <c r="L210" s="6">
        <f t="shared" si="9"/>
        <v>1.0648611111111114E-5</v>
      </c>
    </row>
    <row r="211" spans="1:12" ht="16" x14ac:dyDescent="0.2">
      <c r="A211" t="s">
        <v>114</v>
      </c>
      <c r="B211" s="11">
        <f>0.00003*(B201*43*B194/3.6)</f>
        <v>3.8958333333333345E-7</v>
      </c>
      <c r="D211" t="s">
        <v>23</v>
      </c>
      <c r="E211" t="s">
        <v>9</v>
      </c>
      <c r="F211" t="s">
        <v>20</v>
      </c>
      <c r="H211" t="s">
        <v>176</v>
      </c>
      <c r="I211">
        <v>5</v>
      </c>
      <c r="J211" s="6">
        <f t="shared" si="7"/>
        <v>3.8958333333333345E-7</v>
      </c>
      <c r="K211" s="6">
        <f t="shared" si="8"/>
        <v>1.9479166666666673E-7</v>
      </c>
      <c r="L211" s="6">
        <f t="shared" si="9"/>
        <v>7.791666666666669E-7</v>
      </c>
    </row>
    <row r="213" spans="1:12" ht="16" x14ac:dyDescent="0.2">
      <c r="A213" s="1" t="s">
        <v>3</v>
      </c>
      <c r="B213" s="1" t="s">
        <v>168</v>
      </c>
    </row>
    <row r="214" spans="1:12" x14ac:dyDescent="0.2">
      <c r="A214" t="s">
        <v>11</v>
      </c>
      <c r="B214" t="s">
        <v>170</v>
      </c>
    </row>
    <row r="215" spans="1:12" x14ac:dyDescent="0.2">
      <c r="A215" t="s">
        <v>10</v>
      </c>
      <c r="B215" t="s">
        <v>137</v>
      </c>
    </row>
    <row r="216" spans="1:12" x14ac:dyDescent="0.2">
      <c r="A216" t="s">
        <v>4</v>
      </c>
      <c r="B216" t="s">
        <v>5</v>
      </c>
    </row>
    <row r="217" spans="1:12" x14ac:dyDescent="0.2">
      <c r="A217" t="s">
        <v>6</v>
      </c>
      <c r="B217" t="s">
        <v>36</v>
      </c>
    </row>
    <row r="218" spans="1:12" x14ac:dyDescent="0.2">
      <c r="A218" t="s">
        <v>8</v>
      </c>
      <c r="B218" t="s">
        <v>18</v>
      </c>
    </row>
    <row r="219" spans="1:12" x14ac:dyDescent="0.2">
      <c r="A219" t="s">
        <v>93</v>
      </c>
      <c r="B219" s="11">
        <f>parameters!N4</f>
        <v>180000000000</v>
      </c>
    </row>
    <row r="220" spans="1:12" x14ac:dyDescent="0.2">
      <c r="A220" t="s">
        <v>94</v>
      </c>
      <c r="B220" s="11">
        <f>parameters!O4</f>
        <v>180000000000</v>
      </c>
    </row>
    <row r="221" spans="1:12" x14ac:dyDescent="0.2">
      <c r="A221" t="s">
        <v>95</v>
      </c>
      <c r="B221" s="11">
        <f>parameters!P4</f>
        <v>180000000000</v>
      </c>
    </row>
    <row r="222" spans="1:12" x14ac:dyDescent="0.2">
      <c r="A222" t="s">
        <v>159</v>
      </c>
      <c r="B222" s="13">
        <f>parameters!I41</f>
        <v>0</v>
      </c>
    </row>
    <row r="223" spans="1:12" x14ac:dyDescent="0.2">
      <c r="A223" t="s">
        <v>160</v>
      </c>
      <c r="B223" s="13">
        <f>parameters!J41</f>
        <v>0</v>
      </c>
    </row>
    <row r="224" spans="1:12" x14ac:dyDescent="0.2">
      <c r="A224" t="s">
        <v>161</v>
      </c>
      <c r="B224" s="13">
        <f>parameters!K41</f>
        <v>0</v>
      </c>
    </row>
    <row r="225" spans="1:12" x14ac:dyDescent="0.2">
      <c r="A225" t="s">
        <v>135</v>
      </c>
      <c r="B225" s="13">
        <f>parameters!$C$15</f>
        <v>0.42500000000000004</v>
      </c>
    </row>
    <row r="226" spans="1:12" x14ac:dyDescent="0.2">
      <c r="A226" t="s">
        <v>132</v>
      </c>
      <c r="B226" s="13">
        <f>parameters!C52</f>
        <v>0</v>
      </c>
    </row>
    <row r="227" spans="1:12" x14ac:dyDescent="0.2">
      <c r="A227" t="s">
        <v>133</v>
      </c>
      <c r="B227" s="13">
        <f>parameters!D52</f>
        <v>0</v>
      </c>
    </row>
    <row r="228" spans="1:12" x14ac:dyDescent="0.2">
      <c r="A228" t="s">
        <v>134</v>
      </c>
      <c r="B228" s="13">
        <f>parameters!E52</f>
        <v>0</v>
      </c>
    </row>
    <row r="229" spans="1:12" ht="16" x14ac:dyDescent="0.2">
      <c r="A229" s="1" t="s">
        <v>12</v>
      </c>
    </row>
    <row r="230" spans="1:12" x14ac:dyDescent="0.2">
      <c r="A230" s="2" t="s">
        <v>13</v>
      </c>
      <c r="B230" s="2" t="s">
        <v>14</v>
      </c>
      <c r="C230" s="2" t="s">
        <v>4</v>
      </c>
      <c r="D230" s="2" t="s">
        <v>15</v>
      </c>
      <c r="E230" s="2" t="s">
        <v>8</v>
      </c>
      <c r="F230" s="2" t="s">
        <v>7</v>
      </c>
      <c r="G230" s="2" t="s">
        <v>6</v>
      </c>
      <c r="H230" s="2" t="s">
        <v>11</v>
      </c>
      <c r="I230" s="2" t="s">
        <v>37</v>
      </c>
      <c r="J230" s="2" t="s">
        <v>45</v>
      </c>
      <c r="K230" s="2" t="s">
        <v>38</v>
      </c>
      <c r="L230" s="2" t="s">
        <v>39</v>
      </c>
    </row>
    <row r="231" spans="1:12" x14ac:dyDescent="0.2">
      <c r="A231" t="str">
        <f>B213</f>
        <v>transport, freight, sea, container ship, powered with synthetic diesel</v>
      </c>
      <c r="B231">
        <v>1</v>
      </c>
      <c r="C231" t="s">
        <v>5</v>
      </c>
      <c r="E231" t="str">
        <f>B218</f>
        <v>ton kilometer</v>
      </c>
      <c r="F231" t="s">
        <v>16</v>
      </c>
      <c r="G231" t="str">
        <f>B217</f>
        <v>transport, freight, sea, container ship</v>
      </c>
    </row>
    <row r="232" spans="1:12" ht="16" x14ac:dyDescent="0.2">
      <c r="A232" t="s">
        <v>171</v>
      </c>
      <c r="B232" s="12">
        <f>0.11/43</f>
        <v>2.5581395348837212E-3</v>
      </c>
      <c r="C232" t="s">
        <v>5</v>
      </c>
      <c r="E232" t="s">
        <v>9</v>
      </c>
      <c r="F232" t="s">
        <v>17</v>
      </c>
      <c r="G232" s="8" t="s">
        <v>172</v>
      </c>
      <c r="H232" t="s">
        <v>173</v>
      </c>
      <c r="K232" s="6"/>
      <c r="L232" s="6"/>
    </row>
    <row r="233" spans="1:12" x14ac:dyDescent="0.2">
      <c r="A233" t="s">
        <v>44</v>
      </c>
      <c r="B233" s="11">
        <f>1/B219</f>
        <v>5.5555555555555555E-12</v>
      </c>
      <c r="C233" t="s">
        <v>19</v>
      </c>
      <c r="E233" t="s">
        <v>8</v>
      </c>
      <c r="F233" t="s">
        <v>17</v>
      </c>
      <c r="G233" t="s">
        <v>43</v>
      </c>
      <c r="H233" t="s">
        <v>119</v>
      </c>
      <c r="J233" s="11"/>
      <c r="K233" s="11"/>
      <c r="L233" s="11"/>
    </row>
    <row r="234" spans="1:12" x14ac:dyDescent="0.2">
      <c r="A234" t="s">
        <v>50</v>
      </c>
      <c r="B234" s="11">
        <f>1/B219</f>
        <v>5.5555555555555555E-12</v>
      </c>
      <c r="C234" t="s">
        <v>19</v>
      </c>
      <c r="E234" t="s">
        <v>8</v>
      </c>
      <c r="F234" t="s">
        <v>17</v>
      </c>
      <c r="G234" t="s">
        <v>49</v>
      </c>
      <c r="H234" t="s">
        <v>119</v>
      </c>
      <c r="J234" s="11"/>
      <c r="K234" s="11"/>
      <c r="L234" s="11"/>
    </row>
    <row r="235" spans="1:12" x14ac:dyDescent="0.2">
      <c r="A235" t="s">
        <v>52</v>
      </c>
      <c r="B235" s="11">
        <f>1.38106E-16</f>
        <v>1.38106E-16</v>
      </c>
      <c r="C235" t="s">
        <v>19</v>
      </c>
      <c r="E235" t="s">
        <v>8</v>
      </c>
      <c r="F235" t="s">
        <v>17</v>
      </c>
      <c r="G235" t="s">
        <v>51</v>
      </c>
      <c r="J235" s="11"/>
      <c r="K235" s="11"/>
      <c r="L235" s="11"/>
    </row>
    <row r="236" spans="1:12" ht="16" x14ac:dyDescent="0.2">
      <c r="A236" t="s">
        <v>69</v>
      </c>
      <c r="B236" s="12">
        <f>B232*3.15</f>
        <v>8.0581395348837213E-3</v>
      </c>
      <c r="D236" t="s">
        <v>23</v>
      </c>
      <c r="E236" t="s">
        <v>9</v>
      </c>
      <c r="F236" t="s">
        <v>20</v>
      </c>
      <c r="H236" t="s">
        <v>120</v>
      </c>
      <c r="J236" s="6"/>
      <c r="K236" s="6"/>
      <c r="L236" s="6"/>
    </row>
    <row r="237" spans="1:12" ht="16" x14ac:dyDescent="0.2">
      <c r="A237" t="s">
        <v>61</v>
      </c>
      <c r="B237" s="11">
        <f>0.0009*(B232*43*B225/3.6)</f>
        <v>1.1687500000000003E-5</v>
      </c>
      <c r="D237" t="s">
        <v>23</v>
      </c>
      <c r="E237" t="s">
        <v>9</v>
      </c>
      <c r="F237" t="s">
        <v>20</v>
      </c>
      <c r="H237" t="s">
        <v>174</v>
      </c>
      <c r="I237">
        <v>5</v>
      </c>
      <c r="J237" s="6">
        <f t="shared" ref="J237:J242" si="10">B237</f>
        <v>1.1687500000000003E-5</v>
      </c>
      <c r="K237" s="6">
        <f>J237*0.5</f>
        <v>5.8437500000000014E-6</v>
      </c>
      <c r="L237" s="6">
        <f>J237*2</f>
        <v>2.3375000000000006E-5</v>
      </c>
    </row>
    <row r="238" spans="1:12" ht="16" x14ac:dyDescent="0.2">
      <c r="A238" t="s">
        <v>24</v>
      </c>
      <c r="B238">
        <f>0.0026*(B232*43*B225/3.6)</f>
        <v>3.3763888888888895E-5</v>
      </c>
      <c r="D238" t="s">
        <v>23</v>
      </c>
      <c r="E238" t="s">
        <v>9</v>
      </c>
      <c r="F238" t="s">
        <v>20</v>
      </c>
      <c r="H238" t="s">
        <v>175</v>
      </c>
      <c r="I238">
        <v>5</v>
      </c>
      <c r="J238" s="6">
        <f t="shared" si="10"/>
        <v>3.3763888888888895E-5</v>
      </c>
      <c r="K238" s="6">
        <f t="shared" ref="K238:K242" si="11">J238*0.5</f>
        <v>1.6881944444444447E-5</v>
      </c>
      <c r="L238" s="6">
        <f t="shared" ref="L238:L242" si="12">J238*2</f>
        <v>6.752777777777779E-5</v>
      </c>
    </row>
    <row r="239" spans="1:12" ht="16" x14ac:dyDescent="0.2">
      <c r="A239" t="s">
        <v>62</v>
      </c>
      <c r="B239" s="11">
        <f>0.00025*(B232*43*B225/3.6)</f>
        <v>3.2465277777777787E-6</v>
      </c>
      <c r="D239" t="s">
        <v>23</v>
      </c>
      <c r="E239" t="s">
        <v>9</v>
      </c>
      <c r="F239" t="s">
        <v>20</v>
      </c>
      <c r="H239" t="s">
        <v>177</v>
      </c>
      <c r="I239">
        <v>5</v>
      </c>
      <c r="J239" s="6">
        <f t="shared" si="10"/>
        <v>3.2465277777777787E-6</v>
      </c>
      <c r="K239" s="6">
        <f t="shared" si="11"/>
        <v>1.6232638888888894E-6</v>
      </c>
      <c r="L239" s="6">
        <f t="shared" si="12"/>
        <v>6.4930555555555574E-6</v>
      </c>
    </row>
    <row r="240" spans="1:12" ht="16" x14ac:dyDescent="0.2">
      <c r="A240" t="s">
        <v>113</v>
      </c>
      <c r="B240" s="11">
        <f>0.00001*(B232*43*B225/3.6)</f>
        <v>1.2986111111111117E-7</v>
      </c>
      <c r="D240" t="s">
        <v>23</v>
      </c>
      <c r="E240" t="s">
        <v>9</v>
      </c>
      <c r="F240" t="s">
        <v>20</v>
      </c>
      <c r="H240" t="s">
        <v>178</v>
      </c>
      <c r="I240">
        <v>5</v>
      </c>
      <c r="J240" s="6">
        <f t="shared" si="10"/>
        <v>1.2986111111111117E-7</v>
      </c>
      <c r="K240" s="6">
        <f t="shared" si="11"/>
        <v>6.4930555555555584E-8</v>
      </c>
      <c r="L240" s="6">
        <f t="shared" si="12"/>
        <v>2.5972222222222234E-7</v>
      </c>
    </row>
    <row r="241" spans="1:12" ht="16" x14ac:dyDescent="0.2">
      <c r="A241" t="s">
        <v>63</v>
      </c>
      <c r="B241" s="11">
        <f>0.00041*(B232*43*B225/3.6)</f>
        <v>5.324305555555557E-6</v>
      </c>
      <c r="D241" t="s">
        <v>23</v>
      </c>
      <c r="E241" t="s">
        <v>9</v>
      </c>
      <c r="F241" t="s">
        <v>20</v>
      </c>
      <c r="H241" t="s">
        <v>179</v>
      </c>
      <c r="I241">
        <v>5</v>
      </c>
      <c r="J241" s="6">
        <f t="shared" si="10"/>
        <v>5.324305555555557E-6</v>
      </c>
      <c r="K241" s="6">
        <f t="shared" si="11"/>
        <v>2.6621527777777785E-6</v>
      </c>
      <c r="L241" s="6">
        <f t="shared" si="12"/>
        <v>1.0648611111111114E-5</v>
      </c>
    </row>
    <row r="242" spans="1:12" ht="16" x14ac:dyDescent="0.2">
      <c r="A242" t="s">
        <v>114</v>
      </c>
      <c r="B242" s="11">
        <f>0.00003*(B232*43*B225/3.6)</f>
        <v>3.8958333333333345E-7</v>
      </c>
      <c r="D242" t="s">
        <v>23</v>
      </c>
      <c r="E242" t="s">
        <v>9</v>
      </c>
      <c r="F242" t="s">
        <v>20</v>
      </c>
      <c r="H242" t="s">
        <v>176</v>
      </c>
      <c r="I242">
        <v>5</v>
      </c>
      <c r="J242" s="6">
        <f t="shared" si="10"/>
        <v>3.8958333333333345E-7</v>
      </c>
      <c r="K242" s="6">
        <f t="shared" si="11"/>
        <v>1.9479166666666673E-7</v>
      </c>
      <c r="L242" s="6">
        <f t="shared" si="12"/>
        <v>7.791666666666669E-7</v>
      </c>
    </row>
    <row r="244" spans="1:12" ht="16" x14ac:dyDescent="0.2">
      <c r="A244" s="1" t="s">
        <v>3</v>
      </c>
      <c r="B244" s="1" t="s">
        <v>180</v>
      </c>
    </row>
    <row r="245" spans="1:12" x14ac:dyDescent="0.2">
      <c r="A245" t="s">
        <v>11</v>
      </c>
      <c r="B245" t="s">
        <v>181</v>
      </c>
    </row>
    <row r="246" spans="1:12" x14ac:dyDescent="0.2">
      <c r="A246" t="s">
        <v>10</v>
      </c>
      <c r="B246" t="s">
        <v>137</v>
      </c>
    </row>
    <row r="247" spans="1:12" x14ac:dyDescent="0.2">
      <c r="A247" t="s">
        <v>4</v>
      </c>
      <c r="B247" t="s">
        <v>5</v>
      </c>
    </row>
    <row r="248" spans="1:12" x14ac:dyDescent="0.2">
      <c r="A248" t="s">
        <v>6</v>
      </c>
      <c r="B248" t="s">
        <v>36</v>
      </c>
    </row>
    <row r="249" spans="1:12" x14ac:dyDescent="0.2">
      <c r="A249" t="s">
        <v>8</v>
      </c>
      <c r="B249" t="s">
        <v>18</v>
      </c>
    </row>
    <row r="250" spans="1:12" x14ac:dyDescent="0.2">
      <c r="A250" t="s">
        <v>93</v>
      </c>
      <c r="B250" s="11">
        <f>parameters!N4</f>
        <v>180000000000</v>
      </c>
    </row>
    <row r="251" spans="1:12" x14ac:dyDescent="0.2">
      <c r="A251" t="s">
        <v>94</v>
      </c>
      <c r="B251" s="11">
        <f>parameters!O4</f>
        <v>180000000000</v>
      </c>
    </row>
    <row r="252" spans="1:12" x14ac:dyDescent="0.2">
      <c r="A252" t="s">
        <v>95</v>
      </c>
      <c r="B252" s="11">
        <f>parameters!P4</f>
        <v>180000000000</v>
      </c>
    </row>
    <row r="253" spans="1:12" x14ac:dyDescent="0.2">
      <c r="A253" t="s">
        <v>159</v>
      </c>
      <c r="B253" s="13">
        <f>parameters!I72</f>
        <v>0</v>
      </c>
    </row>
    <row r="254" spans="1:12" x14ac:dyDescent="0.2">
      <c r="A254" t="s">
        <v>160</v>
      </c>
      <c r="B254" s="13">
        <f>parameters!J72</f>
        <v>0</v>
      </c>
    </row>
    <row r="255" spans="1:12" x14ac:dyDescent="0.2">
      <c r="A255" t="s">
        <v>161</v>
      </c>
      <c r="B255" s="13">
        <f>parameters!K72</f>
        <v>0</v>
      </c>
    </row>
    <row r="256" spans="1:12" x14ac:dyDescent="0.2">
      <c r="A256" t="s">
        <v>135</v>
      </c>
      <c r="B256" s="13">
        <f>parameters!$C$15</f>
        <v>0.42500000000000004</v>
      </c>
    </row>
    <row r="257" spans="1:12" x14ac:dyDescent="0.2">
      <c r="A257" t="s">
        <v>132</v>
      </c>
      <c r="B257" s="13">
        <f>parameters!C83</f>
        <v>0</v>
      </c>
    </row>
    <row r="258" spans="1:12" x14ac:dyDescent="0.2">
      <c r="A258" t="s">
        <v>133</v>
      </c>
      <c r="B258" s="13">
        <f>parameters!D83</f>
        <v>0</v>
      </c>
    </row>
    <row r="259" spans="1:12" x14ac:dyDescent="0.2">
      <c r="A259" t="s">
        <v>134</v>
      </c>
      <c r="B259" s="13">
        <f>parameters!E83</f>
        <v>0</v>
      </c>
    </row>
    <row r="260" spans="1:12" ht="16" x14ac:dyDescent="0.2">
      <c r="A260" s="1" t="s">
        <v>12</v>
      </c>
    </row>
    <row r="261" spans="1:12" x14ac:dyDescent="0.2">
      <c r="A261" s="2" t="s">
        <v>13</v>
      </c>
      <c r="B261" s="2" t="s">
        <v>14</v>
      </c>
      <c r="C261" s="2" t="s">
        <v>4</v>
      </c>
      <c r="D261" s="2" t="s">
        <v>15</v>
      </c>
      <c r="E261" s="2" t="s">
        <v>8</v>
      </c>
      <c r="F261" s="2" t="s">
        <v>7</v>
      </c>
      <c r="G261" s="2" t="s">
        <v>6</v>
      </c>
      <c r="H261" s="2" t="s">
        <v>11</v>
      </c>
      <c r="I261" s="2" t="s">
        <v>37</v>
      </c>
      <c r="J261" s="2" t="s">
        <v>45</v>
      </c>
      <c r="K261" s="2" t="s">
        <v>38</v>
      </c>
      <c r="L261" s="2" t="s">
        <v>39</v>
      </c>
    </row>
    <row r="262" spans="1:12" x14ac:dyDescent="0.2">
      <c r="A262" t="str">
        <f>B244</f>
        <v>transport, freight, sea, container ship, powered with biodiesel</v>
      </c>
      <c r="B262">
        <v>1</v>
      </c>
      <c r="C262" t="s">
        <v>5</v>
      </c>
      <c r="E262" t="str">
        <f>B249</f>
        <v>ton kilometer</v>
      </c>
      <c r="F262" t="s">
        <v>16</v>
      </c>
      <c r="G262" t="str">
        <f>B248</f>
        <v>transport, freight, sea, container ship</v>
      </c>
    </row>
    <row r="263" spans="1:12" ht="16" x14ac:dyDescent="0.2">
      <c r="A263" t="s">
        <v>182</v>
      </c>
      <c r="B263" s="12">
        <f>0.11/43</f>
        <v>2.5581395348837212E-3</v>
      </c>
      <c r="C263" t="s">
        <v>5</v>
      </c>
      <c r="E263" t="s">
        <v>9</v>
      </c>
      <c r="F263" t="s">
        <v>17</v>
      </c>
      <c r="G263" s="8" t="s">
        <v>183</v>
      </c>
      <c r="H263" t="s">
        <v>173</v>
      </c>
      <c r="K263" s="6"/>
      <c r="L263" s="6"/>
    </row>
    <row r="264" spans="1:12" x14ac:dyDescent="0.2">
      <c r="A264" t="s">
        <v>44</v>
      </c>
      <c r="B264" s="11">
        <f>1/B250</f>
        <v>5.5555555555555555E-12</v>
      </c>
      <c r="C264" t="s">
        <v>19</v>
      </c>
      <c r="E264" t="s">
        <v>8</v>
      </c>
      <c r="F264" t="s">
        <v>17</v>
      </c>
      <c r="G264" t="s">
        <v>43</v>
      </c>
      <c r="H264" t="s">
        <v>119</v>
      </c>
      <c r="J264" s="11"/>
      <c r="K264" s="11"/>
      <c r="L264" s="11"/>
    </row>
    <row r="265" spans="1:12" x14ac:dyDescent="0.2">
      <c r="A265" t="s">
        <v>50</v>
      </c>
      <c r="B265" s="11">
        <f>1/B250</f>
        <v>5.5555555555555555E-12</v>
      </c>
      <c r="C265" t="s">
        <v>19</v>
      </c>
      <c r="E265" t="s">
        <v>8</v>
      </c>
      <c r="F265" t="s">
        <v>17</v>
      </c>
      <c r="G265" t="s">
        <v>49</v>
      </c>
      <c r="H265" t="s">
        <v>119</v>
      </c>
      <c r="J265" s="11"/>
      <c r="K265" s="11"/>
      <c r="L265" s="11"/>
    </row>
    <row r="266" spans="1:12" x14ac:dyDescent="0.2">
      <c r="A266" t="s">
        <v>52</v>
      </c>
      <c r="B266" s="11">
        <f>1.38106E-16</f>
        <v>1.38106E-16</v>
      </c>
      <c r="C266" t="s">
        <v>19</v>
      </c>
      <c r="E266" t="s">
        <v>8</v>
      </c>
      <c r="F266" t="s">
        <v>17</v>
      </c>
      <c r="G266" t="s">
        <v>51</v>
      </c>
      <c r="J266" s="11"/>
      <c r="K266" s="11"/>
      <c r="L266" s="11"/>
    </row>
    <row r="267" spans="1:12" ht="16" x14ac:dyDescent="0.2">
      <c r="A267" t="s">
        <v>69</v>
      </c>
      <c r="B267" s="12">
        <f>B263*3.15</f>
        <v>8.0581395348837213E-3</v>
      </c>
      <c r="D267" t="s">
        <v>23</v>
      </c>
      <c r="E267" t="s">
        <v>9</v>
      </c>
      <c r="F267" t="s">
        <v>20</v>
      </c>
      <c r="H267" t="s">
        <v>120</v>
      </c>
      <c r="J267" s="6"/>
      <c r="K267" s="6"/>
      <c r="L267" s="6"/>
    </row>
    <row r="268" spans="1:12" ht="16" x14ac:dyDescent="0.2">
      <c r="A268" t="s">
        <v>61</v>
      </c>
      <c r="B268" s="11">
        <f>0.0009*(B263*43*B256/3.6)</f>
        <v>1.1687500000000003E-5</v>
      </c>
      <c r="D268" t="s">
        <v>23</v>
      </c>
      <c r="E268" t="s">
        <v>9</v>
      </c>
      <c r="F268" t="s">
        <v>20</v>
      </c>
      <c r="H268" t="s">
        <v>174</v>
      </c>
      <c r="I268">
        <v>5</v>
      </c>
      <c r="J268" s="6">
        <f t="shared" ref="J268:J273" si="13">B268</f>
        <v>1.1687500000000003E-5</v>
      </c>
      <c r="K268" s="6">
        <f>J268*0.5</f>
        <v>5.8437500000000014E-6</v>
      </c>
      <c r="L268" s="6">
        <f>J268*2</f>
        <v>2.3375000000000006E-5</v>
      </c>
    </row>
    <row r="269" spans="1:12" ht="16" x14ac:dyDescent="0.2">
      <c r="A269" t="s">
        <v>24</v>
      </c>
      <c r="B269">
        <f>0.0026*(B263*43*B256/3.6)</f>
        <v>3.3763888888888895E-5</v>
      </c>
      <c r="D269" t="s">
        <v>23</v>
      </c>
      <c r="E269" t="s">
        <v>9</v>
      </c>
      <c r="F269" t="s">
        <v>20</v>
      </c>
      <c r="H269" t="s">
        <v>175</v>
      </c>
      <c r="I269">
        <v>5</v>
      </c>
      <c r="J269" s="6">
        <f t="shared" si="13"/>
        <v>3.3763888888888895E-5</v>
      </c>
      <c r="K269" s="6">
        <f t="shared" ref="K269:K273" si="14">J269*0.5</f>
        <v>1.6881944444444447E-5</v>
      </c>
      <c r="L269" s="6">
        <f t="shared" ref="L269:L273" si="15">J269*2</f>
        <v>6.752777777777779E-5</v>
      </c>
    </row>
    <row r="270" spans="1:12" ht="16" x14ac:dyDescent="0.2">
      <c r="A270" t="s">
        <v>62</v>
      </c>
      <c r="B270" s="11">
        <f>0.00025*(B263*43*B256/3.6)</f>
        <v>3.2465277777777787E-6</v>
      </c>
      <c r="D270" t="s">
        <v>23</v>
      </c>
      <c r="E270" t="s">
        <v>9</v>
      </c>
      <c r="F270" t="s">
        <v>20</v>
      </c>
      <c r="H270" t="s">
        <v>177</v>
      </c>
      <c r="I270">
        <v>5</v>
      </c>
      <c r="J270" s="6">
        <f t="shared" si="13"/>
        <v>3.2465277777777787E-6</v>
      </c>
      <c r="K270" s="6">
        <f t="shared" si="14"/>
        <v>1.6232638888888894E-6</v>
      </c>
      <c r="L270" s="6">
        <f t="shared" si="15"/>
        <v>6.4930555555555574E-6</v>
      </c>
    </row>
    <row r="271" spans="1:12" ht="16" x14ac:dyDescent="0.2">
      <c r="A271" t="s">
        <v>113</v>
      </c>
      <c r="B271" s="11">
        <f>0.00001*(B263*43*B256/3.6)</f>
        <v>1.2986111111111117E-7</v>
      </c>
      <c r="D271" t="s">
        <v>23</v>
      </c>
      <c r="E271" t="s">
        <v>9</v>
      </c>
      <c r="F271" t="s">
        <v>20</v>
      </c>
      <c r="H271" t="s">
        <v>178</v>
      </c>
      <c r="I271">
        <v>5</v>
      </c>
      <c r="J271" s="6">
        <f t="shared" si="13"/>
        <v>1.2986111111111117E-7</v>
      </c>
      <c r="K271" s="6">
        <f t="shared" si="14"/>
        <v>6.4930555555555584E-8</v>
      </c>
      <c r="L271" s="6">
        <f t="shared" si="15"/>
        <v>2.5972222222222234E-7</v>
      </c>
    </row>
    <row r="272" spans="1:12" ht="16" x14ac:dyDescent="0.2">
      <c r="A272" t="s">
        <v>63</v>
      </c>
      <c r="B272" s="11">
        <f>0.00041*(B263*43*B256/3.6)</f>
        <v>5.324305555555557E-6</v>
      </c>
      <c r="D272" t="s">
        <v>23</v>
      </c>
      <c r="E272" t="s">
        <v>9</v>
      </c>
      <c r="F272" t="s">
        <v>20</v>
      </c>
      <c r="H272" t="s">
        <v>179</v>
      </c>
      <c r="I272">
        <v>5</v>
      </c>
      <c r="J272" s="6">
        <f t="shared" si="13"/>
        <v>5.324305555555557E-6</v>
      </c>
      <c r="K272" s="6">
        <f t="shared" si="14"/>
        <v>2.6621527777777785E-6</v>
      </c>
      <c r="L272" s="6">
        <f t="shared" si="15"/>
        <v>1.0648611111111114E-5</v>
      </c>
    </row>
    <row r="273" spans="1:12" ht="16" x14ac:dyDescent="0.2">
      <c r="A273" t="s">
        <v>114</v>
      </c>
      <c r="B273" s="11">
        <f>0.00003*(B263*43*B256/3.6)</f>
        <v>3.8958333333333345E-7</v>
      </c>
      <c r="D273" t="s">
        <v>23</v>
      </c>
      <c r="E273" t="s">
        <v>9</v>
      </c>
      <c r="F273" t="s">
        <v>20</v>
      </c>
      <c r="H273" t="s">
        <v>176</v>
      </c>
      <c r="I273">
        <v>5</v>
      </c>
      <c r="J273" s="6">
        <f t="shared" si="13"/>
        <v>3.8958333333333345E-7</v>
      </c>
      <c r="K273" s="6">
        <f t="shared" si="14"/>
        <v>1.9479166666666673E-7</v>
      </c>
      <c r="L273" s="6">
        <f t="shared" si="15"/>
        <v>7.791666666666669E-7</v>
      </c>
    </row>
  </sheetData>
  <autoFilter ref="A1:O225" xr:uid="{00000000-0001-0000-0000-00000000000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A7F4-A2B5-7747-AA61-2990069064F9}">
  <dimension ref="A1:P21"/>
  <sheetViews>
    <sheetView workbookViewId="0">
      <selection activeCell="B5" sqref="B5"/>
    </sheetView>
  </sheetViews>
  <sheetFormatPr baseColWidth="10" defaultRowHeight="15" x14ac:dyDescent="0.2"/>
  <cols>
    <col min="1" max="1" width="4.1640625" bestFit="1" customWidth="1"/>
    <col min="2" max="2" width="24.6640625" customWidth="1"/>
    <col min="3" max="3" width="19" bestFit="1" customWidth="1"/>
    <col min="4" max="4" width="17.83203125" bestFit="1" customWidth="1"/>
    <col min="5" max="5" width="23" bestFit="1" customWidth="1"/>
    <col min="6" max="6" width="16" bestFit="1" customWidth="1"/>
    <col min="7" max="7" width="17" bestFit="1" customWidth="1"/>
    <col min="8" max="8" width="23.6640625" bestFit="1" customWidth="1"/>
    <col min="9" max="9" width="23.83203125" bestFit="1" customWidth="1"/>
    <col min="10" max="10" width="22.5" bestFit="1" customWidth="1"/>
    <col min="11" max="11" width="22.6640625" bestFit="1" customWidth="1"/>
    <col min="12" max="12" width="23.6640625" bestFit="1" customWidth="1"/>
    <col min="13" max="13" width="12.33203125" bestFit="1" customWidth="1"/>
    <col min="14" max="14" width="25.5" bestFit="1" customWidth="1"/>
    <col min="15" max="15" width="24.1640625" bestFit="1" customWidth="1"/>
    <col min="16" max="16" width="24.33203125" bestFit="1" customWidth="1"/>
  </cols>
  <sheetData>
    <row r="1" spans="1:16" x14ac:dyDescent="0.2">
      <c r="A1" t="s">
        <v>77</v>
      </c>
    </row>
    <row r="3" spans="1:16" x14ac:dyDescent="0.2">
      <c r="B3" s="2" t="s">
        <v>78</v>
      </c>
      <c r="C3" s="2" t="s">
        <v>79</v>
      </c>
      <c r="D3" s="2" t="s">
        <v>80</v>
      </c>
      <c r="E3" s="2" t="s">
        <v>104</v>
      </c>
      <c r="F3" s="2" t="s">
        <v>105</v>
      </c>
      <c r="G3" s="2" t="s">
        <v>106</v>
      </c>
      <c r="H3" s="2" t="s">
        <v>107</v>
      </c>
      <c r="I3" s="2" t="s">
        <v>90</v>
      </c>
      <c r="J3" s="2" t="s">
        <v>91</v>
      </c>
      <c r="K3" s="2" t="s">
        <v>92</v>
      </c>
      <c r="L3" s="2" t="s">
        <v>126</v>
      </c>
      <c r="M3" s="2" t="s">
        <v>122</v>
      </c>
      <c r="N3" s="2" t="s">
        <v>123</v>
      </c>
      <c r="O3" s="2" t="s">
        <v>124</v>
      </c>
      <c r="P3" s="2" t="s">
        <v>125</v>
      </c>
    </row>
    <row r="4" spans="1:16" x14ac:dyDescent="0.2">
      <c r="B4" t="s">
        <v>169</v>
      </c>
      <c r="C4" t="s">
        <v>81</v>
      </c>
      <c r="D4" s="16">
        <v>1</v>
      </c>
      <c r="E4" s="16">
        <f>1/D4</f>
        <v>1</v>
      </c>
      <c r="F4" s="16">
        <v>1</v>
      </c>
      <c r="G4" s="16">
        <f>E4*F4</f>
        <v>1</v>
      </c>
      <c r="H4" s="14">
        <f>1-(1/G4)</f>
        <v>0</v>
      </c>
      <c r="I4" s="13">
        <v>0</v>
      </c>
      <c r="L4" s="15">
        <v>7200000000</v>
      </c>
      <c r="M4">
        <v>25</v>
      </c>
      <c r="N4" s="15">
        <f>L4*M4*(1-I4)</f>
        <v>180000000000</v>
      </c>
      <c r="O4" s="15">
        <f>L4*M4*(1-K4)</f>
        <v>180000000000</v>
      </c>
      <c r="P4" s="15">
        <f>L4*M4*(1-J4)</f>
        <v>180000000000</v>
      </c>
    </row>
    <row r="5" spans="1:16" x14ac:dyDescent="0.2">
      <c r="B5" t="s">
        <v>82</v>
      </c>
      <c r="C5" t="s">
        <v>83</v>
      </c>
      <c r="D5" s="16">
        <v>0.43880000000000002</v>
      </c>
      <c r="E5" s="16">
        <f t="shared" ref="E5:E10" si="0">1/D5</f>
        <v>2.2789425706472195</v>
      </c>
      <c r="F5" s="16">
        <v>1.1000000000000001</v>
      </c>
      <c r="G5" s="16">
        <f t="shared" ref="G5:G10" si="1">E5*F5</f>
        <v>2.5068368277119415</v>
      </c>
      <c r="H5" s="14">
        <f t="shared" ref="H5:H10" si="2">1-(1/G5)</f>
        <v>0.60109090909090912</v>
      </c>
      <c r="I5" s="13">
        <f>AVERAGE(J5:K5)</f>
        <v>0.2</v>
      </c>
      <c r="J5" s="13">
        <v>0.15</v>
      </c>
      <c r="K5" s="13">
        <v>0.25</v>
      </c>
      <c r="L5" s="15">
        <v>7200000000</v>
      </c>
      <c r="M5">
        <v>25</v>
      </c>
      <c r="N5" s="15">
        <f t="shared" ref="N5" si="3">L5*M5*(1-I5)</f>
        <v>144000000000</v>
      </c>
      <c r="O5" s="15">
        <f t="shared" ref="O5:O10" si="4">L5*M5*(1-K5)</f>
        <v>135000000000</v>
      </c>
      <c r="P5" s="15">
        <f t="shared" ref="P5:P10" si="5">L5*M5*(1-J5)</f>
        <v>153000000000</v>
      </c>
    </row>
    <row r="6" spans="1:16" x14ac:dyDescent="0.2">
      <c r="B6" t="s">
        <v>84</v>
      </c>
      <c r="C6" t="s">
        <v>85</v>
      </c>
      <c r="D6" s="16">
        <v>0.35270000000000001</v>
      </c>
      <c r="E6" s="16">
        <f t="shared" si="0"/>
        <v>2.8352707683583782</v>
      </c>
      <c r="F6" s="16">
        <v>1.2</v>
      </c>
      <c r="G6" s="16">
        <f t="shared" si="1"/>
        <v>3.4023249220300538</v>
      </c>
      <c r="H6" s="14">
        <f t="shared" si="2"/>
        <v>0.7060833333333334</v>
      </c>
      <c r="I6" s="13">
        <f t="shared" ref="I6:I8" si="6">AVERAGE(J6:K6)</f>
        <v>0.2</v>
      </c>
      <c r="J6" s="14">
        <v>0.15</v>
      </c>
      <c r="K6" s="14">
        <v>0.25</v>
      </c>
      <c r="L6" s="15">
        <v>7200000000</v>
      </c>
      <c r="M6">
        <v>25</v>
      </c>
      <c r="N6" s="15">
        <f>L6*M6*(1-I6)</f>
        <v>144000000000</v>
      </c>
      <c r="O6" s="15">
        <f t="shared" si="4"/>
        <v>135000000000</v>
      </c>
      <c r="P6" s="15">
        <f t="shared" si="5"/>
        <v>153000000000</v>
      </c>
    </row>
    <row r="7" spans="1:16" x14ac:dyDescent="0.2">
      <c r="B7" t="s">
        <v>86</v>
      </c>
      <c r="C7" t="s">
        <v>87</v>
      </c>
      <c r="D7" s="16">
        <v>0.25</v>
      </c>
      <c r="E7" s="16">
        <f t="shared" si="0"/>
        <v>4</v>
      </c>
      <c r="F7" s="16">
        <v>1.3</v>
      </c>
      <c r="G7" s="16">
        <f t="shared" si="1"/>
        <v>5.2</v>
      </c>
      <c r="H7" s="14">
        <f t="shared" si="2"/>
        <v>0.80769230769230771</v>
      </c>
      <c r="I7" s="13">
        <f t="shared" si="6"/>
        <v>0.32500000000000001</v>
      </c>
      <c r="J7" s="14">
        <v>0.25</v>
      </c>
      <c r="K7" s="14">
        <v>0.4</v>
      </c>
      <c r="L7" s="15">
        <v>7200000000</v>
      </c>
      <c r="M7">
        <v>25</v>
      </c>
      <c r="N7" s="15">
        <f t="shared" ref="N7:N10" si="7">L7*M7*(1-I7)</f>
        <v>121500000000.00002</v>
      </c>
      <c r="O7" s="15">
        <f t="shared" si="4"/>
        <v>108000000000</v>
      </c>
      <c r="P7" s="15">
        <f t="shared" si="5"/>
        <v>135000000000</v>
      </c>
    </row>
    <row r="8" spans="1:16" x14ac:dyDescent="0.2">
      <c r="B8" t="s">
        <v>88</v>
      </c>
      <c r="C8" t="s">
        <v>89</v>
      </c>
      <c r="D8" s="16">
        <v>8.3300000000000006E-3</v>
      </c>
      <c r="E8" s="16">
        <f t="shared" si="0"/>
        <v>120.04801920768307</v>
      </c>
      <c r="F8" s="16">
        <v>1</v>
      </c>
      <c r="G8" s="16">
        <f t="shared" si="1"/>
        <v>120.04801920768307</v>
      </c>
      <c r="H8" s="14">
        <f t="shared" si="2"/>
        <v>0.99167000000000005</v>
      </c>
      <c r="I8" s="13">
        <f t="shared" si="6"/>
        <v>0.5</v>
      </c>
      <c r="J8" s="14">
        <v>0.4</v>
      </c>
      <c r="K8" s="14">
        <v>0.6</v>
      </c>
      <c r="L8" s="15">
        <v>7200000000</v>
      </c>
      <c r="M8">
        <v>25</v>
      </c>
      <c r="N8" s="15">
        <f t="shared" si="7"/>
        <v>90000000000</v>
      </c>
      <c r="O8" s="15">
        <f t="shared" si="4"/>
        <v>72000000000</v>
      </c>
      <c r="P8" s="15">
        <f t="shared" si="5"/>
        <v>108000000000</v>
      </c>
    </row>
    <row r="9" spans="1:16" x14ac:dyDescent="0.2">
      <c r="B9" t="s">
        <v>103</v>
      </c>
      <c r="C9" t="s">
        <v>100</v>
      </c>
      <c r="D9" s="16">
        <v>0.61109999999999998</v>
      </c>
      <c r="E9" s="16">
        <f t="shared" si="0"/>
        <v>1.6363933889707085</v>
      </c>
      <c r="F9" s="16">
        <v>1.1000000000000001</v>
      </c>
      <c r="G9" s="16">
        <f t="shared" si="1"/>
        <v>1.8000327278677795</v>
      </c>
      <c r="H9" s="14">
        <f t="shared" si="2"/>
        <v>0.44445454545454544</v>
      </c>
      <c r="I9" s="13">
        <v>0.12</v>
      </c>
      <c r="J9" s="13">
        <v>0.1</v>
      </c>
      <c r="K9" s="13">
        <v>0.15</v>
      </c>
      <c r="L9" s="15">
        <v>7200000000</v>
      </c>
      <c r="M9">
        <v>25</v>
      </c>
      <c r="N9" s="15">
        <f t="shared" si="7"/>
        <v>158400000000</v>
      </c>
      <c r="O9" s="15">
        <f t="shared" si="4"/>
        <v>153000000000</v>
      </c>
      <c r="P9" s="15">
        <f t="shared" si="5"/>
        <v>162000000000</v>
      </c>
    </row>
    <row r="10" spans="1:16" x14ac:dyDescent="0.2">
      <c r="B10" t="s">
        <v>101</v>
      </c>
      <c r="C10" t="s">
        <v>102</v>
      </c>
      <c r="D10" s="16">
        <v>0.27700000000000002</v>
      </c>
      <c r="E10" s="16">
        <f t="shared" si="0"/>
        <v>3.6101083032490973</v>
      </c>
      <c r="F10" s="16">
        <v>1.3</v>
      </c>
      <c r="G10" s="16">
        <f t="shared" si="1"/>
        <v>4.6931407942238268</v>
      </c>
      <c r="H10" s="14">
        <f t="shared" si="2"/>
        <v>0.78692307692307695</v>
      </c>
      <c r="I10" s="13">
        <v>0.4</v>
      </c>
      <c r="J10" s="13">
        <v>0.35</v>
      </c>
      <c r="K10" s="13">
        <v>0.5</v>
      </c>
      <c r="L10" s="15">
        <v>7200000000</v>
      </c>
      <c r="M10">
        <v>25</v>
      </c>
      <c r="N10" s="15">
        <f t="shared" si="7"/>
        <v>108000000000</v>
      </c>
      <c r="O10" s="15">
        <f t="shared" si="4"/>
        <v>90000000000</v>
      </c>
      <c r="P10" s="15">
        <f t="shared" si="5"/>
        <v>117000000000</v>
      </c>
    </row>
    <row r="12" spans="1:16" x14ac:dyDescent="0.2">
      <c r="O12" s="11"/>
    </row>
    <row r="14" spans="1:16" x14ac:dyDescent="0.2">
      <c r="B14" s="2" t="s">
        <v>127</v>
      </c>
      <c r="C14" s="2" t="s">
        <v>128</v>
      </c>
      <c r="D14" s="2" t="s">
        <v>129</v>
      </c>
      <c r="E14" s="2" t="s">
        <v>130</v>
      </c>
    </row>
    <row r="15" spans="1:16" x14ac:dyDescent="0.2">
      <c r="B15" t="s">
        <v>131</v>
      </c>
      <c r="C15" s="14">
        <f>AVERAGE(D15:E15)</f>
        <v>0.42500000000000004</v>
      </c>
      <c r="D15" s="14">
        <v>0.4</v>
      </c>
      <c r="E15" s="14">
        <v>0.45</v>
      </c>
    </row>
    <row r="16" spans="1:16" x14ac:dyDescent="0.2">
      <c r="B16" t="s">
        <v>82</v>
      </c>
      <c r="C16" s="14">
        <f>AVERAGE(D16:E16)</f>
        <v>0.375</v>
      </c>
      <c r="D16" s="14">
        <v>0.35</v>
      </c>
      <c r="E16" s="14">
        <v>0.4</v>
      </c>
    </row>
    <row r="17" spans="2:5" x14ac:dyDescent="0.2">
      <c r="B17" t="s">
        <v>84</v>
      </c>
      <c r="C17" s="14">
        <v>0.44</v>
      </c>
      <c r="D17" s="14">
        <v>0.35</v>
      </c>
      <c r="E17" s="14">
        <v>0.45</v>
      </c>
    </row>
    <row r="18" spans="2:5" x14ac:dyDescent="0.2">
      <c r="B18" t="s">
        <v>86</v>
      </c>
      <c r="C18" s="14">
        <f>AVERAGE(D18:E18)</f>
        <v>0.47500000000000003</v>
      </c>
      <c r="D18" s="14">
        <v>0.4</v>
      </c>
      <c r="E18" s="14">
        <v>0.55000000000000004</v>
      </c>
    </row>
    <row r="19" spans="2:5" x14ac:dyDescent="0.2">
      <c r="B19" t="s">
        <v>88</v>
      </c>
      <c r="C19" s="14">
        <f>AVERAGE(D19:E19)</f>
        <v>0.8</v>
      </c>
      <c r="D19" s="14">
        <v>0.75</v>
      </c>
      <c r="E19" s="14">
        <v>0.85</v>
      </c>
    </row>
    <row r="20" spans="2:5" x14ac:dyDescent="0.2">
      <c r="B20" t="s">
        <v>103</v>
      </c>
      <c r="C20" s="14">
        <f>AVERAGE(D20:E20)</f>
        <v>0.41500000000000004</v>
      </c>
      <c r="D20" s="14">
        <v>0.38</v>
      </c>
      <c r="E20" s="14">
        <v>0.45</v>
      </c>
    </row>
    <row r="21" spans="2:5" x14ac:dyDescent="0.2">
      <c r="B21" t="s">
        <v>101</v>
      </c>
      <c r="C21" s="14">
        <f>AVERAGE(D21:E21)</f>
        <v>0.45</v>
      </c>
      <c r="D21" s="14">
        <v>0.4</v>
      </c>
      <c r="E21" s="14">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2025-04-14T10:19:53Z</dcterms:modified>
</cp:coreProperties>
</file>